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klein/Documents/MATLAB/_postDocStuff/TIMS_extrusives/apatiteManuscript/"/>
    </mc:Choice>
  </mc:AlternateContent>
  <xr:revisionPtr revIDLastSave="0" documentId="13_ncr:1_{6457D58E-4B1A-D84B-AE9E-CE4897EF66F8}" xr6:coauthVersionLast="47" xr6:coauthVersionMax="47" xr10:uidLastSave="{00000000-0000-0000-0000-000000000000}"/>
  <bookViews>
    <workbookView xWindow="0" yWindow="760" windowWidth="30240" windowHeight="17420" xr2:uid="{D06D3373-A946-A448-8AAD-B0FB43A566B4}"/>
  </bookViews>
  <sheets>
    <sheet name="CalibrationDataSet" sheetId="1" r:id="rId1"/>
    <sheet name="ExcludedData" sheetId="2" r:id="rId2"/>
    <sheet name="nonApatiteDat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H3" i="2"/>
  <c r="H4" i="2"/>
  <c r="H5" i="2"/>
  <c r="F4" i="2"/>
  <c r="F3" i="2"/>
  <c r="Y76" i="3"/>
  <c r="Y75" i="3"/>
  <c r="Y74" i="3"/>
  <c r="F79" i="3"/>
  <c r="F78" i="3"/>
  <c r="H78" i="3"/>
  <c r="F77" i="3"/>
  <c r="H77" i="3" s="1"/>
  <c r="F76" i="3"/>
  <c r="H76" i="3"/>
  <c r="F75" i="3"/>
  <c r="F74" i="3"/>
  <c r="H74" i="3"/>
  <c r="F73" i="3"/>
  <c r="H73" i="3" s="1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F296" i="2"/>
  <c r="H296" i="2"/>
  <c r="F189" i="2"/>
  <c r="H189" i="2"/>
  <c r="AC442" i="1"/>
  <c r="AC441" i="1"/>
  <c r="AC440" i="1"/>
  <c r="AC438" i="1"/>
  <c r="AC437" i="1"/>
  <c r="AC436" i="1"/>
  <c r="AC435" i="1"/>
  <c r="AC434" i="1"/>
  <c r="AC433" i="1"/>
  <c r="AC432" i="1"/>
  <c r="AC431" i="1"/>
  <c r="AC430" i="1"/>
  <c r="AC445" i="1"/>
  <c r="AC446" i="1"/>
  <c r="AC447" i="1"/>
  <c r="AC444" i="1"/>
  <c r="AC414" i="1"/>
  <c r="AC413" i="1"/>
  <c r="AC412" i="1"/>
  <c r="AC411" i="1"/>
  <c r="AC41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90" i="1"/>
  <c r="F321" i="2"/>
  <c r="H321" i="2"/>
  <c r="F320" i="2"/>
  <c r="H320" i="2"/>
  <c r="F319" i="2"/>
  <c r="H319" i="2"/>
  <c r="F318" i="2"/>
  <c r="H318" i="2"/>
  <c r="F317" i="2"/>
  <c r="H317" i="2"/>
  <c r="F316" i="2"/>
  <c r="H316" i="2"/>
  <c r="F315" i="2"/>
  <c r="H315" i="2"/>
  <c r="F314" i="2"/>
  <c r="H314" i="2"/>
  <c r="F313" i="2"/>
  <c r="H313" i="2"/>
  <c r="F312" i="2"/>
  <c r="H312" i="2"/>
  <c r="F311" i="2"/>
  <c r="H311" i="2"/>
  <c r="F310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F255" i="2"/>
  <c r="H255" i="2"/>
  <c r="F254" i="2"/>
  <c r="H254" i="2"/>
  <c r="F253" i="2"/>
  <c r="H253" i="2"/>
  <c r="F252" i="2"/>
  <c r="H252" i="2"/>
  <c r="F251" i="2"/>
  <c r="H251" i="2"/>
  <c r="F250" i="2"/>
  <c r="H250" i="2"/>
  <c r="F249" i="2"/>
  <c r="H249" i="2"/>
  <c r="F248" i="2"/>
  <c r="H248" i="2"/>
  <c r="F247" i="2"/>
  <c r="H247" i="2"/>
  <c r="F246" i="2"/>
  <c r="H246" i="2"/>
  <c r="F245" i="2"/>
  <c r="H245" i="2"/>
  <c r="F244" i="2"/>
  <c r="H244" i="2"/>
  <c r="F243" i="2"/>
  <c r="H243" i="2"/>
  <c r="F242" i="2"/>
  <c r="H242" i="2"/>
  <c r="F241" i="2"/>
  <c r="H241" i="2"/>
  <c r="F240" i="2"/>
  <c r="H240" i="2"/>
  <c r="F239" i="2"/>
  <c r="H239" i="2"/>
  <c r="F238" i="2"/>
  <c r="H238" i="2"/>
  <c r="F237" i="2"/>
  <c r="H237" i="2"/>
  <c r="F236" i="2"/>
  <c r="H236" i="2"/>
  <c r="F235" i="2"/>
  <c r="H235" i="2"/>
  <c r="F234" i="2"/>
  <c r="H234" i="2"/>
  <c r="F233" i="2"/>
  <c r="H233" i="2"/>
  <c r="F232" i="2"/>
  <c r="H232" i="2"/>
  <c r="F231" i="2"/>
  <c r="H231" i="2"/>
  <c r="F230" i="2"/>
  <c r="H230" i="2"/>
  <c r="F229" i="2"/>
  <c r="H229" i="2"/>
  <c r="F228" i="2"/>
  <c r="H228" i="2"/>
  <c r="F227" i="2"/>
  <c r="H227" i="2"/>
  <c r="F226" i="2"/>
  <c r="H226" i="2"/>
  <c r="F225" i="2"/>
  <c r="H225" i="2"/>
  <c r="F224" i="2"/>
  <c r="H224" i="2"/>
  <c r="F223" i="2"/>
  <c r="H223" i="2"/>
  <c r="F222" i="2"/>
  <c r="H222" i="2"/>
  <c r="F221" i="2"/>
  <c r="H221" i="2"/>
  <c r="F220" i="2"/>
  <c r="H220" i="2"/>
  <c r="F219" i="2"/>
  <c r="H219" i="2"/>
  <c r="F218" i="2"/>
  <c r="H218" i="2"/>
  <c r="F217" i="2"/>
  <c r="H217" i="2"/>
  <c r="F216" i="2"/>
  <c r="H216" i="2"/>
  <c r="F215" i="2"/>
  <c r="H215" i="2"/>
  <c r="F214" i="2"/>
  <c r="H214" i="2"/>
  <c r="F213" i="2"/>
  <c r="H213" i="2"/>
  <c r="AB212" i="2"/>
  <c r="F212" i="2"/>
  <c r="H212" i="2"/>
  <c r="AA211" i="2"/>
  <c r="F211" i="2"/>
  <c r="H211" i="2"/>
  <c r="AA210" i="2"/>
  <c r="F210" i="2"/>
  <c r="H210" i="2"/>
  <c r="AA209" i="2"/>
  <c r="F209" i="2"/>
  <c r="H209" i="2"/>
  <c r="AA208" i="2"/>
  <c r="F208" i="2"/>
  <c r="H208" i="2"/>
  <c r="AA207" i="2"/>
  <c r="F207" i="2"/>
  <c r="H207" i="2"/>
  <c r="AA206" i="2"/>
  <c r="F206" i="2"/>
  <c r="H206" i="2"/>
  <c r="AA205" i="2"/>
  <c r="F205" i="2"/>
  <c r="H205" i="2"/>
  <c r="H196" i="2"/>
  <c r="H195" i="2"/>
  <c r="H194" i="2"/>
  <c r="H193" i="2"/>
  <c r="H192" i="2"/>
  <c r="H191" i="2"/>
  <c r="H190" i="2"/>
  <c r="F188" i="2"/>
  <c r="H188" i="2"/>
  <c r="AB187" i="2"/>
  <c r="F187" i="2"/>
  <c r="H187" i="2"/>
  <c r="AB186" i="2"/>
  <c r="F186" i="2"/>
  <c r="H186" i="2"/>
  <c r="F185" i="2"/>
  <c r="H185" i="2"/>
  <c r="F184" i="2"/>
  <c r="H184" i="2"/>
  <c r="F183" i="2"/>
  <c r="H183" i="2"/>
  <c r="F182" i="2"/>
  <c r="H182" i="2"/>
  <c r="F181" i="2"/>
  <c r="H181" i="2"/>
  <c r="F180" i="2"/>
  <c r="H180" i="2"/>
  <c r="F179" i="2"/>
  <c r="H179" i="2"/>
  <c r="F178" i="2"/>
  <c r="H178" i="2"/>
  <c r="F177" i="2"/>
  <c r="H177" i="2"/>
  <c r="F176" i="2"/>
  <c r="H176" i="2"/>
  <c r="F175" i="2"/>
  <c r="H175" i="2"/>
  <c r="F174" i="2"/>
  <c r="H174" i="2"/>
  <c r="F173" i="2"/>
  <c r="H173" i="2"/>
  <c r="F172" i="2"/>
  <c r="H172" i="2"/>
  <c r="F171" i="2"/>
  <c r="H171" i="2"/>
  <c r="F170" i="2"/>
  <c r="H170" i="2"/>
  <c r="F169" i="2"/>
  <c r="H169" i="2"/>
  <c r="F168" i="2"/>
  <c r="H168" i="2"/>
  <c r="F167" i="2"/>
  <c r="H167" i="2"/>
  <c r="F166" i="2"/>
  <c r="H166" i="2"/>
  <c r="F165" i="2"/>
  <c r="H165" i="2"/>
  <c r="F164" i="2"/>
  <c r="H164" i="2"/>
  <c r="F163" i="2"/>
  <c r="H163" i="2"/>
  <c r="F162" i="2"/>
  <c r="H162" i="2"/>
  <c r="F161" i="2"/>
  <c r="H161" i="2"/>
  <c r="F160" i="2"/>
  <c r="H160" i="2"/>
  <c r="F159" i="2"/>
  <c r="H159" i="2"/>
  <c r="F158" i="2"/>
  <c r="H158" i="2"/>
  <c r="F157" i="2"/>
  <c r="H157" i="2"/>
  <c r="F156" i="2"/>
  <c r="H156" i="2"/>
  <c r="F155" i="2"/>
  <c r="H155" i="2"/>
  <c r="F154" i="2"/>
  <c r="H154" i="2"/>
  <c r="F153" i="2"/>
  <c r="H153" i="2"/>
  <c r="F152" i="2"/>
  <c r="H152" i="2"/>
  <c r="F151" i="2"/>
  <c r="H151" i="2"/>
  <c r="F150" i="2"/>
  <c r="H150" i="2"/>
  <c r="F149" i="2"/>
  <c r="H149" i="2"/>
  <c r="F148" i="2"/>
  <c r="H148" i="2"/>
  <c r="F147" i="2"/>
  <c r="H147" i="2"/>
  <c r="F146" i="2"/>
  <c r="H146" i="2"/>
  <c r="F145" i="2"/>
  <c r="H145" i="2"/>
  <c r="F144" i="2"/>
  <c r="H144" i="2"/>
  <c r="F143" i="2"/>
  <c r="H143" i="2"/>
  <c r="F142" i="2"/>
  <c r="H142" i="2"/>
  <c r="F141" i="2"/>
  <c r="H141" i="2"/>
  <c r="F140" i="2"/>
  <c r="H140" i="2"/>
  <c r="F139" i="2"/>
  <c r="H139" i="2"/>
  <c r="F138" i="2"/>
  <c r="H138" i="2"/>
  <c r="F137" i="2"/>
  <c r="H137" i="2"/>
  <c r="F136" i="2"/>
  <c r="H136" i="2"/>
  <c r="F135" i="2"/>
  <c r="H135" i="2"/>
  <c r="F134" i="2"/>
  <c r="H134" i="2"/>
  <c r="F133" i="2"/>
  <c r="H133" i="2"/>
  <c r="F132" i="2"/>
  <c r="H132" i="2"/>
  <c r="F131" i="2"/>
  <c r="H131" i="2"/>
  <c r="F130" i="2"/>
  <c r="H130" i="2"/>
  <c r="F129" i="2"/>
  <c r="H129" i="2"/>
  <c r="F128" i="2"/>
  <c r="H128" i="2"/>
  <c r="F127" i="2"/>
  <c r="H127" i="2"/>
  <c r="F126" i="2"/>
  <c r="H126" i="2"/>
  <c r="F125" i="2"/>
  <c r="H125" i="2"/>
  <c r="F124" i="2"/>
  <c r="H124" i="2"/>
  <c r="F123" i="2"/>
  <c r="H123" i="2"/>
  <c r="F122" i="2"/>
  <c r="H122" i="2"/>
  <c r="F121" i="2"/>
  <c r="H121" i="2"/>
  <c r="AC120" i="2"/>
  <c r="F120" i="2"/>
  <c r="H120" i="2"/>
  <c r="F119" i="2"/>
  <c r="H119" i="2"/>
  <c r="AC118" i="2"/>
  <c r="F118" i="2"/>
  <c r="H118" i="2"/>
  <c r="F117" i="2"/>
  <c r="H117" i="2"/>
  <c r="F116" i="2"/>
  <c r="H116" i="2"/>
  <c r="F115" i="2"/>
  <c r="H115" i="2"/>
  <c r="F114" i="2"/>
  <c r="H114" i="2"/>
  <c r="F113" i="2"/>
  <c r="H113" i="2"/>
  <c r="F112" i="2"/>
  <c r="H112" i="2"/>
  <c r="F111" i="2"/>
  <c r="H111" i="2"/>
  <c r="F110" i="2"/>
  <c r="H110" i="2"/>
  <c r="F109" i="2"/>
  <c r="H109" i="2"/>
  <c r="F108" i="2"/>
  <c r="H108" i="2"/>
  <c r="F107" i="2"/>
  <c r="H107" i="2"/>
  <c r="F106" i="2"/>
  <c r="H106" i="2"/>
  <c r="F105" i="2"/>
  <c r="H105" i="2"/>
  <c r="F104" i="2"/>
  <c r="H104" i="2"/>
  <c r="F103" i="2"/>
  <c r="H103" i="2"/>
  <c r="F102" i="2"/>
  <c r="H102" i="2"/>
  <c r="F101" i="2"/>
  <c r="H101" i="2"/>
  <c r="F100" i="2"/>
  <c r="H100" i="2"/>
  <c r="F99" i="2"/>
  <c r="H99" i="2"/>
  <c r="F98" i="2"/>
  <c r="H98" i="2"/>
  <c r="F97" i="2"/>
  <c r="H97" i="2"/>
  <c r="F96" i="2"/>
  <c r="H96" i="2"/>
  <c r="F95" i="2"/>
  <c r="H95" i="2"/>
  <c r="F94" i="2"/>
  <c r="H94" i="2"/>
  <c r="F93" i="2"/>
  <c r="H93" i="2"/>
  <c r="F92" i="2"/>
  <c r="H92" i="2"/>
  <c r="F91" i="2"/>
  <c r="H91" i="2"/>
  <c r="AB87" i="2"/>
  <c r="F87" i="2"/>
  <c r="H87" i="2"/>
  <c r="F86" i="2"/>
  <c r="H86" i="2"/>
  <c r="F85" i="2"/>
  <c r="H85" i="2"/>
  <c r="F84" i="2"/>
  <c r="H84" i="2"/>
  <c r="F83" i="2"/>
  <c r="H83" i="2"/>
  <c r="F82" i="2"/>
  <c r="H82" i="2"/>
  <c r="F81" i="2"/>
  <c r="H81" i="2"/>
  <c r="F80" i="2"/>
  <c r="H80" i="2"/>
  <c r="F79" i="2"/>
  <c r="H79" i="2"/>
  <c r="F78" i="2"/>
  <c r="H78" i="2"/>
  <c r="F77" i="2"/>
  <c r="H77" i="2"/>
  <c r="F76" i="2"/>
  <c r="H76" i="2"/>
  <c r="F75" i="2"/>
  <c r="H75" i="2"/>
  <c r="F74" i="2"/>
  <c r="H74" i="2"/>
  <c r="F73" i="2"/>
  <c r="H73" i="2"/>
  <c r="F72" i="2"/>
  <c r="H72" i="2"/>
  <c r="F71" i="2"/>
  <c r="H71" i="2"/>
  <c r="F70" i="2"/>
  <c r="H70" i="2"/>
  <c r="F69" i="2"/>
  <c r="H69" i="2"/>
  <c r="F68" i="2"/>
  <c r="H68" i="2"/>
  <c r="F67" i="2"/>
  <c r="H67" i="2"/>
  <c r="F66" i="2"/>
  <c r="H66" i="2"/>
  <c r="F65" i="2"/>
  <c r="H65" i="2"/>
  <c r="AB57" i="2"/>
  <c r="F57" i="2"/>
  <c r="H57" i="2"/>
  <c r="AB56" i="2"/>
  <c r="F56" i="2"/>
  <c r="H56" i="2"/>
  <c r="AB55" i="2"/>
  <c r="F55" i="2"/>
  <c r="H55" i="2"/>
  <c r="AB54" i="2"/>
  <c r="F54" i="2"/>
  <c r="H54" i="2"/>
  <c r="AB53" i="2"/>
  <c r="F53" i="2"/>
  <c r="H53" i="2"/>
  <c r="AB52" i="2"/>
  <c r="F52" i="2"/>
  <c r="H52" i="2"/>
  <c r="AB51" i="2"/>
  <c r="F50" i="2"/>
  <c r="H50" i="2"/>
  <c r="F49" i="2"/>
  <c r="H49" i="2"/>
  <c r="F48" i="2"/>
  <c r="H48" i="2"/>
  <c r="F47" i="2"/>
  <c r="H47" i="2"/>
  <c r="F46" i="2"/>
  <c r="H46" i="2"/>
  <c r="F45" i="2"/>
  <c r="H45" i="2"/>
  <c r="F44" i="2"/>
  <c r="H44" i="2"/>
  <c r="F43" i="2"/>
  <c r="H43" i="2"/>
  <c r="F42" i="2"/>
  <c r="H42" i="2"/>
  <c r="F41" i="2"/>
  <c r="H41" i="2"/>
  <c r="F40" i="2"/>
  <c r="H40" i="2"/>
  <c r="F39" i="2"/>
  <c r="H39" i="2"/>
  <c r="F38" i="2"/>
  <c r="H38" i="2"/>
  <c r="F37" i="2"/>
  <c r="H37" i="2"/>
  <c r="F36" i="2"/>
  <c r="H36" i="2"/>
  <c r="F35" i="2"/>
  <c r="H35" i="2"/>
  <c r="F34" i="2"/>
  <c r="H34" i="2"/>
  <c r="F33" i="2"/>
  <c r="H33" i="2"/>
  <c r="AB32" i="2"/>
  <c r="F32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F14" i="2"/>
  <c r="H14" i="2"/>
  <c r="F13" i="2"/>
  <c r="H13" i="2"/>
  <c r="F12" i="2"/>
  <c r="H12" i="2"/>
  <c r="F11" i="2"/>
  <c r="H11" i="2"/>
  <c r="F10" i="2"/>
  <c r="H10" i="2"/>
  <c r="F9" i="2"/>
  <c r="H9" i="2"/>
  <c r="F8" i="2"/>
  <c r="H8" i="2"/>
  <c r="F7" i="2"/>
  <c r="H7" i="2"/>
  <c r="F6" i="2"/>
  <c r="H6" i="2"/>
  <c r="F5" i="2"/>
  <c r="F421" i="1"/>
  <c r="H421" i="1"/>
  <c r="F420" i="1"/>
  <c r="H420" i="1"/>
  <c r="F419" i="1"/>
  <c r="H419" i="1"/>
  <c r="F418" i="1"/>
  <c r="H418" i="1"/>
  <c r="F326" i="1"/>
  <c r="H326" i="1"/>
  <c r="F325" i="1"/>
  <c r="H325" i="1"/>
  <c r="F324" i="1"/>
  <c r="H324" i="1"/>
  <c r="F183" i="1"/>
  <c r="H183" i="1"/>
  <c r="F182" i="1"/>
  <c r="H182" i="1"/>
  <c r="F181" i="1"/>
  <c r="H181" i="1"/>
  <c r="F180" i="1"/>
  <c r="H180" i="1"/>
  <c r="F179" i="1"/>
  <c r="H179" i="1"/>
  <c r="F178" i="1"/>
  <c r="H178" i="1"/>
  <c r="F177" i="1"/>
  <c r="H177" i="1"/>
  <c r="F176" i="1"/>
  <c r="H176" i="1"/>
  <c r="F454" i="1"/>
  <c r="H454" i="1"/>
  <c r="F453" i="1"/>
  <c r="H453" i="1"/>
  <c r="F53" i="1"/>
  <c r="H53" i="1"/>
  <c r="F52" i="1"/>
  <c r="H52" i="1"/>
  <c r="F51" i="1"/>
  <c r="H51" i="1"/>
  <c r="F50" i="1"/>
  <c r="H50" i="1"/>
  <c r="F49" i="1"/>
  <c r="H49" i="1"/>
  <c r="F48" i="1"/>
  <c r="H48" i="1"/>
  <c r="F47" i="1"/>
  <c r="H47" i="1"/>
  <c r="F46" i="1"/>
  <c r="H46" i="1"/>
  <c r="F331" i="1"/>
  <c r="H331" i="1"/>
  <c r="F330" i="1"/>
  <c r="H330" i="1"/>
  <c r="F329" i="1"/>
  <c r="H329" i="1"/>
  <c r="F328" i="1"/>
  <c r="H328" i="1"/>
  <c r="F327" i="1"/>
  <c r="H327" i="1"/>
  <c r="K311" i="1"/>
  <c r="F311" i="1"/>
  <c r="H311" i="1"/>
  <c r="K310" i="1"/>
  <c r="F310" i="1"/>
  <c r="H310" i="1"/>
  <c r="K309" i="1"/>
  <c r="F309" i="1"/>
  <c r="H309" i="1"/>
  <c r="K308" i="1"/>
  <c r="F308" i="1"/>
  <c r="H308" i="1"/>
  <c r="K307" i="1"/>
  <c r="F307" i="1"/>
  <c r="H307" i="1"/>
  <c r="K306" i="1"/>
  <c r="F306" i="1"/>
  <c r="H306" i="1"/>
  <c r="K305" i="1"/>
  <c r="F305" i="1"/>
  <c r="H305" i="1"/>
  <c r="K304" i="1"/>
  <c r="F304" i="1"/>
  <c r="H304" i="1"/>
  <c r="K303" i="1"/>
  <c r="F303" i="1"/>
  <c r="H303" i="1"/>
  <c r="K302" i="1"/>
  <c r="F302" i="1"/>
  <c r="H302" i="1"/>
  <c r="K301" i="1"/>
  <c r="F301" i="1"/>
  <c r="H301" i="1"/>
  <c r="K300" i="1"/>
  <c r="F300" i="1"/>
  <c r="H300" i="1"/>
  <c r="K299" i="1"/>
  <c r="F299" i="1"/>
  <c r="H299" i="1"/>
  <c r="K298" i="1"/>
  <c r="F298" i="1"/>
  <c r="H298" i="1"/>
  <c r="K297" i="1"/>
  <c r="F297" i="1"/>
  <c r="H297" i="1"/>
  <c r="K296" i="1"/>
  <c r="F296" i="1"/>
  <c r="H296" i="1"/>
  <c r="K295" i="1"/>
  <c r="F295" i="1"/>
  <c r="H295" i="1"/>
  <c r="K294" i="1"/>
  <c r="F294" i="1"/>
  <c r="H294" i="1"/>
  <c r="K293" i="1"/>
  <c r="F293" i="1"/>
  <c r="H293" i="1"/>
  <c r="K292" i="1"/>
  <c r="F292" i="1"/>
  <c r="H292" i="1"/>
  <c r="K291" i="1"/>
  <c r="F291" i="1"/>
  <c r="H291" i="1"/>
  <c r="K290" i="1"/>
  <c r="F290" i="1"/>
  <c r="H290" i="1"/>
  <c r="K289" i="1"/>
  <c r="F289" i="1"/>
  <c r="H289" i="1"/>
  <c r="F288" i="1"/>
  <c r="H288" i="1"/>
  <c r="F287" i="1"/>
  <c r="H287" i="1"/>
  <c r="F340" i="1"/>
  <c r="H340" i="1"/>
  <c r="F339" i="1"/>
  <c r="H339" i="1"/>
  <c r="F185" i="1"/>
  <c r="H185" i="1"/>
  <c r="F184" i="1"/>
  <c r="H184" i="1"/>
  <c r="F149" i="1"/>
  <c r="H149" i="1"/>
  <c r="F256" i="1"/>
  <c r="H256" i="1"/>
  <c r="F255" i="1"/>
  <c r="H255" i="1"/>
  <c r="F254" i="1"/>
  <c r="H254" i="1"/>
  <c r="F253" i="1"/>
  <c r="H253" i="1"/>
  <c r="F252" i="1"/>
  <c r="H252" i="1"/>
  <c r="F251" i="1"/>
  <c r="H251" i="1"/>
  <c r="F250" i="1"/>
  <c r="H250" i="1"/>
  <c r="F249" i="1"/>
  <c r="H249" i="1"/>
  <c r="F248" i="1"/>
  <c r="H248" i="1"/>
  <c r="F247" i="1"/>
  <c r="H247" i="1"/>
  <c r="F29" i="1"/>
  <c r="H29" i="1"/>
  <c r="F28" i="1"/>
  <c r="H28" i="1"/>
  <c r="F27" i="1"/>
  <c r="H27" i="1"/>
  <c r="F26" i="1"/>
  <c r="H26" i="1"/>
  <c r="F25" i="1"/>
  <c r="H25" i="1"/>
  <c r="F24" i="1"/>
  <c r="H24" i="1"/>
  <c r="F23" i="1"/>
  <c r="H23" i="1"/>
  <c r="F22" i="1"/>
  <c r="H22" i="1"/>
  <c r="F21" i="1"/>
  <c r="H21" i="1"/>
  <c r="F20" i="1"/>
  <c r="H20" i="1"/>
  <c r="F19" i="1"/>
  <c r="H19" i="1"/>
  <c r="K18" i="1"/>
  <c r="F18" i="1"/>
  <c r="H18" i="1"/>
  <c r="K17" i="1"/>
  <c r="F17" i="1"/>
  <c r="H17" i="1"/>
  <c r="K16" i="1"/>
  <c r="F16" i="1"/>
  <c r="H16" i="1"/>
  <c r="K15" i="1"/>
  <c r="F15" i="1"/>
  <c r="H15" i="1"/>
  <c r="K14" i="1"/>
  <c r="F14" i="1"/>
  <c r="H14" i="1"/>
  <c r="K13" i="1"/>
  <c r="F13" i="1"/>
  <c r="H13" i="1"/>
  <c r="K12" i="1"/>
  <c r="F12" i="1"/>
  <c r="H12" i="1"/>
  <c r="K11" i="1"/>
  <c r="F11" i="1"/>
  <c r="H11" i="1"/>
  <c r="K10" i="1"/>
  <c r="F10" i="1"/>
  <c r="H10" i="1"/>
  <c r="K9" i="1"/>
  <c r="F9" i="1"/>
  <c r="H9" i="1"/>
  <c r="K8" i="1"/>
  <c r="F8" i="1"/>
  <c r="H8" i="1"/>
  <c r="K7" i="1"/>
  <c r="F7" i="1"/>
  <c r="H7" i="1"/>
  <c r="K6" i="1"/>
  <c r="F6" i="1"/>
  <c r="H6" i="1"/>
  <c r="K5" i="1"/>
  <c r="F5" i="1"/>
  <c r="H5" i="1"/>
  <c r="K4" i="1"/>
  <c r="F4" i="1"/>
  <c r="H4" i="1"/>
  <c r="F3" i="1"/>
  <c r="H3" i="1"/>
  <c r="F338" i="1"/>
  <c r="H338" i="1"/>
  <c r="F337" i="1"/>
  <c r="H337" i="1"/>
  <c r="F336" i="1"/>
  <c r="H336" i="1"/>
  <c r="F335" i="1"/>
  <c r="H335" i="1"/>
  <c r="F334" i="1"/>
  <c r="H334" i="1"/>
  <c r="F333" i="1"/>
  <c r="H333" i="1"/>
  <c r="F332" i="1"/>
  <c r="H332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F2" i="1"/>
  <c r="H2" i="1"/>
  <c r="F464" i="1"/>
  <c r="H464" i="1"/>
  <c r="F463" i="1"/>
  <c r="H463" i="1"/>
  <c r="F462" i="1"/>
  <c r="H462" i="1"/>
  <c r="F461" i="1"/>
  <c r="H461" i="1"/>
  <c r="F460" i="1"/>
  <c r="H460" i="1"/>
  <c r="F459" i="1"/>
  <c r="H459" i="1"/>
  <c r="F458" i="1"/>
  <c r="H458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F87" i="1"/>
  <c r="H87" i="1"/>
  <c r="F86" i="1"/>
  <c r="H86" i="1"/>
  <c r="F85" i="1"/>
  <c r="H85" i="1"/>
  <c r="F84" i="1"/>
  <c r="H84" i="1"/>
  <c r="F83" i="1"/>
  <c r="H83" i="1"/>
  <c r="F82" i="1"/>
  <c r="H82" i="1"/>
  <c r="F81" i="1"/>
  <c r="H81" i="1"/>
  <c r="F80" i="1"/>
  <c r="H80" i="1"/>
  <c r="F79" i="1"/>
  <c r="H79" i="1"/>
  <c r="F78" i="1"/>
  <c r="H78" i="1"/>
  <c r="F77" i="1"/>
  <c r="H77" i="1"/>
  <c r="F76" i="1"/>
  <c r="H76" i="1"/>
  <c r="F75" i="1"/>
  <c r="H75" i="1"/>
  <c r="F74" i="1"/>
  <c r="H74" i="1"/>
  <c r="F73" i="1"/>
  <c r="H73" i="1"/>
  <c r="AB148" i="1"/>
  <c r="F148" i="1"/>
  <c r="H148" i="1"/>
  <c r="AB147" i="1"/>
  <c r="F147" i="1"/>
  <c r="H147" i="1"/>
  <c r="AB146" i="1"/>
  <c r="F146" i="1"/>
  <c r="H146" i="1"/>
  <c r="AB145" i="1"/>
  <c r="F145" i="1"/>
  <c r="H145" i="1"/>
  <c r="AB144" i="1"/>
  <c r="F144" i="1"/>
  <c r="H144" i="1"/>
  <c r="AB143" i="1"/>
  <c r="F143" i="1"/>
  <c r="H143" i="1"/>
  <c r="AB142" i="1"/>
  <c r="F142" i="1"/>
  <c r="H142" i="1"/>
  <c r="AB141" i="1"/>
  <c r="F141" i="1"/>
  <c r="H141" i="1"/>
  <c r="AB140" i="1"/>
  <c r="F140" i="1"/>
  <c r="H140" i="1"/>
  <c r="AB139" i="1"/>
  <c r="F139" i="1"/>
  <c r="H139" i="1"/>
  <c r="AB138" i="1"/>
  <c r="F138" i="1"/>
  <c r="H138" i="1"/>
  <c r="AB137" i="1"/>
  <c r="F137" i="1"/>
  <c r="H137" i="1"/>
  <c r="AB136" i="1"/>
  <c r="F136" i="1"/>
  <c r="H136" i="1"/>
  <c r="AB135" i="1"/>
  <c r="F135" i="1"/>
  <c r="H135" i="1"/>
  <c r="AB134" i="1"/>
  <c r="F134" i="1"/>
  <c r="H134" i="1"/>
  <c r="AB133" i="1"/>
  <c r="F133" i="1"/>
  <c r="H133" i="1"/>
  <c r="AB132" i="1"/>
  <c r="F132" i="1"/>
  <c r="H132" i="1"/>
  <c r="AB457" i="1"/>
  <c r="F457" i="1"/>
  <c r="H457" i="1"/>
  <c r="AB456" i="1"/>
  <c r="F456" i="1"/>
  <c r="H456" i="1"/>
  <c r="AB455" i="1"/>
  <c r="F455" i="1"/>
  <c r="H455" i="1"/>
  <c r="AB186" i="1"/>
  <c r="F186" i="1"/>
  <c r="H186" i="1"/>
  <c r="AB246" i="1"/>
  <c r="F246" i="1"/>
  <c r="H246" i="1"/>
  <c r="AB175" i="1"/>
  <c r="F175" i="1"/>
  <c r="H175" i="1"/>
  <c r="AB174" i="1"/>
  <c r="F174" i="1"/>
  <c r="H174" i="1"/>
  <c r="AB173" i="1"/>
  <c r="F173" i="1"/>
  <c r="H173" i="1"/>
  <c r="AB172" i="1"/>
  <c r="F172" i="1"/>
  <c r="H172" i="1"/>
  <c r="AB171" i="1"/>
  <c r="F171" i="1"/>
  <c r="H171" i="1"/>
  <c r="AB170" i="1"/>
  <c r="F170" i="1"/>
  <c r="H170" i="1"/>
  <c r="AB169" i="1"/>
  <c r="F169" i="1"/>
  <c r="H169" i="1"/>
  <c r="AB168" i="1"/>
  <c r="F168" i="1"/>
  <c r="H168" i="1"/>
  <c r="AB167" i="1"/>
  <c r="F167" i="1"/>
  <c r="H167" i="1"/>
  <c r="AB166" i="1"/>
  <c r="F166" i="1"/>
  <c r="H166" i="1"/>
  <c r="AB165" i="1"/>
  <c r="F165" i="1"/>
  <c r="H165" i="1"/>
  <c r="AB164" i="1"/>
  <c r="F164" i="1"/>
  <c r="H164" i="1"/>
  <c r="AB163" i="1"/>
  <c r="F163" i="1"/>
  <c r="H163" i="1"/>
  <c r="AB162" i="1"/>
  <c r="F162" i="1"/>
  <c r="H162" i="1"/>
  <c r="AB161" i="1"/>
  <c r="F161" i="1"/>
  <c r="H161" i="1"/>
  <c r="AB160" i="1"/>
  <c r="F160" i="1"/>
  <c r="H160" i="1"/>
  <c r="AB159" i="1"/>
  <c r="F159" i="1"/>
  <c r="H159" i="1"/>
  <c r="AB158" i="1"/>
  <c r="F158" i="1"/>
  <c r="H158" i="1"/>
  <c r="AB157" i="1"/>
  <c r="F157" i="1"/>
  <c r="H157" i="1"/>
  <c r="F131" i="1"/>
  <c r="H131" i="1"/>
  <c r="F234" i="1"/>
  <c r="H234" i="1"/>
  <c r="F233" i="1"/>
  <c r="H233" i="1"/>
  <c r="F232" i="1"/>
  <c r="H232" i="1"/>
  <c r="F231" i="1"/>
  <c r="H231" i="1"/>
  <c r="F230" i="1"/>
  <c r="H230" i="1"/>
  <c r="F229" i="1"/>
  <c r="H229" i="1"/>
  <c r="F228" i="1"/>
  <c r="H228" i="1"/>
  <c r="F227" i="1"/>
  <c r="H227" i="1"/>
  <c r="F245" i="1"/>
  <c r="H245" i="1"/>
  <c r="F244" i="1"/>
  <c r="H244" i="1"/>
  <c r="F243" i="1"/>
  <c r="H243" i="1"/>
  <c r="F242" i="1"/>
  <c r="H242" i="1"/>
  <c r="F241" i="1"/>
  <c r="H241" i="1"/>
  <c r="H414" i="1"/>
  <c r="H413" i="1"/>
  <c r="H412" i="1"/>
  <c r="H411" i="1"/>
  <c r="H410" i="1"/>
  <c r="F130" i="1"/>
  <c r="H130" i="1"/>
  <c r="F129" i="1"/>
  <c r="H129" i="1"/>
  <c r="F128" i="1"/>
  <c r="H128" i="1"/>
  <c r="F127" i="1"/>
  <c r="H127" i="1"/>
  <c r="F126" i="1"/>
  <c r="H126" i="1"/>
  <c r="F125" i="1"/>
  <c r="H125" i="1"/>
  <c r="F124" i="1"/>
  <c r="H124" i="1"/>
  <c r="F123" i="1"/>
  <c r="H123" i="1"/>
  <c r="F122" i="1"/>
  <c r="H122" i="1"/>
  <c r="F121" i="1"/>
  <c r="H121" i="1"/>
  <c r="F120" i="1"/>
  <c r="H120" i="1"/>
  <c r="F119" i="1"/>
  <c r="H119" i="1"/>
  <c r="F118" i="1"/>
  <c r="H118" i="1"/>
  <c r="F117" i="1"/>
  <c r="H117" i="1"/>
  <c r="F116" i="1"/>
  <c r="H116" i="1"/>
  <c r="F115" i="1"/>
  <c r="H115" i="1"/>
  <c r="F114" i="1"/>
  <c r="H114" i="1"/>
  <c r="F113" i="1"/>
  <c r="H113" i="1"/>
  <c r="F112" i="1"/>
  <c r="H112" i="1"/>
  <c r="F191" i="1"/>
  <c r="H191" i="1"/>
  <c r="F190" i="1"/>
  <c r="H190" i="1"/>
  <c r="F189" i="1"/>
  <c r="H189" i="1"/>
  <c r="F188" i="1"/>
  <c r="H188" i="1"/>
  <c r="F187" i="1"/>
  <c r="H187" i="1"/>
  <c r="F286" i="1"/>
  <c r="H286" i="1"/>
  <c r="F285" i="1"/>
  <c r="H285" i="1"/>
  <c r="F284" i="1"/>
  <c r="H284" i="1"/>
  <c r="F283" i="1"/>
  <c r="H283" i="1"/>
  <c r="F282" i="1"/>
  <c r="H282" i="1"/>
  <c r="F281" i="1"/>
  <c r="H281" i="1"/>
  <c r="F280" i="1"/>
  <c r="H280" i="1"/>
  <c r="F279" i="1"/>
  <c r="H279" i="1"/>
  <c r="F278" i="1"/>
  <c r="H278" i="1"/>
  <c r="F277" i="1"/>
  <c r="H277" i="1"/>
  <c r="F276" i="1"/>
  <c r="H276" i="1"/>
  <c r="F275" i="1"/>
  <c r="H275" i="1"/>
  <c r="F274" i="1"/>
  <c r="H274" i="1"/>
  <c r="F273" i="1"/>
  <c r="H273" i="1"/>
  <c r="F272" i="1"/>
  <c r="H272" i="1"/>
  <c r="F271" i="1"/>
  <c r="H271" i="1"/>
  <c r="F270" i="1"/>
  <c r="H270" i="1"/>
  <c r="F269" i="1"/>
  <c r="H269" i="1"/>
  <c r="F268" i="1"/>
  <c r="H268" i="1"/>
  <c r="F267" i="1"/>
  <c r="H267" i="1"/>
  <c r="F266" i="1"/>
  <c r="H266" i="1"/>
  <c r="F265" i="1"/>
  <c r="H265" i="1"/>
  <c r="F264" i="1"/>
  <c r="H264" i="1"/>
  <c r="F263" i="1"/>
  <c r="H263" i="1"/>
  <c r="F262" i="1"/>
  <c r="H262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F220" i="1"/>
  <c r="H220" i="1"/>
  <c r="F219" i="1"/>
  <c r="H219" i="1"/>
  <c r="F218" i="1"/>
  <c r="H218" i="1"/>
  <c r="F217" i="1"/>
  <c r="H217" i="1"/>
  <c r="F216" i="1"/>
  <c r="H216" i="1"/>
  <c r="F215" i="1"/>
  <c r="H215" i="1"/>
  <c r="F214" i="1"/>
  <c r="H214" i="1"/>
  <c r="F213" i="1"/>
  <c r="H213" i="1"/>
  <c r="F212" i="1"/>
  <c r="H212" i="1"/>
  <c r="F211" i="1"/>
  <c r="H211" i="1"/>
  <c r="F210" i="1"/>
  <c r="H210" i="1"/>
  <c r="F209" i="1"/>
  <c r="H209" i="1"/>
  <c r="F208" i="1"/>
  <c r="H208" i="1"/>
  <c r="F207" i="1"/>
  <c r="H207" i="1"/>
  <c r="F206" i="1"/>
  <c r="H206" i="1"/>
  <c r="F205" i="1"/>
  <c r="H205" i="1"/>
  <c r="F204" i="1"/>
  <c r="H204" i="1"/>
  <c r="F409" i="1"/>
  <c r="H409" i="1"/>
  <c r="F408" i="1"/>
  <c r="H408" i="1"/>
  <c r="F407" i="1"/>
  <c r="H407" i="1"/>
  <c r="F406" i="1"/>
  <c r="H406" i="1"/>
  <c r="F405" i="1"/>
  <c r="H405" i="1"/>
  <c r="F428" i="1"/>
  <c r="H428" i="1"/>
  <c r="F427" i="1"/>
  <c r="H427" i="1"/>
  <c r="F426" i="1"/>
  <c r="H426" i="1"/>
  <c r="F425" i="1"/>
  <c r="H425" i="1"/>
  <c r="F424" i="1"/>
  <c r="H424" i="1"/>
  <c r="F423" i="1"/>
  <c r="H423" i="1"/>
  <c r="F422" i="1"/>
  <c r="H422" i="1"/>
  <c r="F153" i="1"/>
  <c r="H153" i="1"/>
  <c r="F152" i="1"/>
  <c r="H152" i="1"/>
  <c r="F151" i="1"/>
  <c r="H151" i="1"/>
  <c r="F150" i="1"/>
  <c r="H150" i="1"/>
  <c r="F45" i="1"/>
  <c r="H45" i="1"/>
  <c r="F44" i="1"/>
  <c r="H44" i="1"/>
  <c r="F43" i="1"/>
  <c r="H43" i="1"/>
  <c r="F42" i="1"/>
  <c r="H42" i="1"/>
  <c r="F41" i="1"/>
  <c r="H41" i="1"/>
  <c r="F40" i="1"/>
  <c r="H40" i="1"/>
  <c r="F39" i="1"/>
  <c r="H39" i="1"/>
  <c r="F38" i="1"/>
  <c r="H38" i="1"/>
  <c r="F37" i="1"/>
  <c r="H37" i="1"/>
  <c r="F36" i="1"/>
  <c r="H36" i="1"/>
  <c r="F111" i="1"/>
  <c r="H111" i="1"/>
  <c r="F110" i="1"/>
  <c r="H110" i="1"/>
  <c r="F109" i="1"/>
  <c r="H109" i="1"/>
  <c r="F108" i="1"/>
  <c r="H108" i="1"/>
  <c r="F107" i="1"/>
  <c r="H107" i="1"/>
  <c r="F106" i="1"/>
  <c r="H106" i="1"/>
  <c r="F105" i="1"/>
  <c r="H105" i="1"/>
  <c r="F104" i="1"/>
  <c r="H104" i="1"/>
  <c r="F103" i="1"/>
  <c r="H103" i="1"/>
  <c r="F102" i="1"/>
  <c r="H102" i="1"/>
  <c r="F101" i="1"/>
  <c r="H101" i="1"/>
  <c r="F100" i="1"/>
  <c r="H100" i="1"/>
  <c r="F99" i="1"/>
  <c r="H99" i="1"/>
  <c r="F98" i="1"/>
  <c r="H98" i="1"/>
  <c r="F97" i="1"/>
  <c r="H97" i="1"/>
  <c r="F96" i="1"/>
  <c r="H96" i="1"/>
  <c r="F95" i="1"/>
  <c r="H95" i="1"/>
  <c r="F94" i="1"/>
  <c r="H94" i="1"/>
  <c r="F93" i="1"/>
  <c r="H93" i="1"/>
  <c r="F92" i="1"/>
  <c r="H92" i="1"/>
  <c r="F91" i="1"/>
  <c r="H91" i="1"/>
  <c r="F90" i="1"/>
  <c r="H90" i="1"/>
  <c r="F156" i="1"/>
  <c r="H156" i="1"/>
  <c r="F155" i="1"/>
  <c r="H155" i="1"/>
  <c r="F154" i="1"/>
  <c r="H154" i="1"/>
  <c r="F451" i="1"/>
  <c r="H451" i="1"/>
  <c r="F450" i="1"/>
  <c r="H450" i="1"/>
  <c r="F449" i="1"/>
  <c r="H449" i="1"/>
  <c r="F448" i="1"/>
  <c r="H448" i="1"/>
  <c r="F226" i="1"/>
  <c r="H226" i="1"/>
  <c r="F225" i="1"/>
  <c r="H225" i="1"/>
  <c r="F224" i="1"/>
  <c r="H224" i="1"/>
  <c r="F223" i="1"/>
  <c r="H223" i="1"/>
  <c r="F222" i="1"/>
  <c r="H222" i="1"/>
  <c r="F221" i="1"/>
  <c r="H221" i="1"/>
  <c r="T203" i="1"/>
  <c r="F203" i="1"/>
  <c r="H203" i="1"/>
  <c r="B203" i="1"/>
  <c r="T202" i="1"/>
  <c r="F202" i="1"/>
  <c r="H202" i="1"/>
  <c r="B202" i="1"/>
  <c r="T201" i="1"/>
  <c r="F201" i="1"/>
  <c r="H201" i="1"/>
  <c r="B201" i="1"/>
  <c r="T200" i="1"/>
  <c r="F200" i="1"/>
  <c r="H200" i="1"/>
  <c r="B200" i="1"/>
  <c r="T199" i="1"/>
  <c r="F199" i="1"/>
  <c r="H199" i="1"/>
  <c r="B199" i="1"/>
  <c r="T198" i="1"/>
  <c r="F198" i="1"/>
  <c r="H198" i="1"/>
  <c r="B198" i="1"/>
  <c r="T197" i="1"/>
  <c r="F197" i="1"/>
  <c r="H197" i="1"/>
  <c r="B197" i="1"/>
  <c r="T196" i="1"/>
  <c r="F196" i="1"/>
  <c r="H196" i="1"/>
  <c r="B196" i="1"/>
  <c r="T195" i="1"/>
  <c r="F195" i="1"/>
  <c r="H195" i="1"/>
  <c r="B195" i="1"/>
  <c r="T194" i="1"/>
  <c r="F194" i="1"/>
  <c r="H194" i="1"/>
  <c r="B194" i="1"/>
  <c r="T193" i="1"/>
  <c r="F193" i="1"/>
  <c r="H193" i="1"/>
  <c r="B193" i="1"/>
  <c r="T192" i="1"/>
  <c r="F192" i="1"/>
  <c r="H192" i="1"/>
  <c r="B192" i="1"/>
  <c r="F442" i="1"/>
  <c r="H442" i="1"/>
  <c r="F441" i="1"/>
  <c r="H441" i="1"/>
  <c r="F440" i="1"/>
  <c r="H440" i="1"/>
  <c r="F439" i="1"/>
  <c r="H439" i="1"/>
  <c r="F438" i="1"/>
  <c r="H438" i="1"/>
  <c r="F437" i="1"/>
  <c r="H437" i="1"/>
  <c r="F436" i="1"/>
  <c r="H436" i="1"/>
  <c r="F435" i="1"/>
  <c r="H435" i="1"/>
  <c r="F434" i="1"/>
  <c r="H434" i="1"/>
  <c r="F433" i="1"/>
  <c r="H433" i="1"/>
  <c r="F432" i="1"/>
  <c r="H432" i="1"/>
  <c r="F431" i="1"/>
  <c r="H431" i="1"/>
  <c r="F430" i="1"/>
  <c r="H430" i="1"/>
  <c r="F429" i="1"/>
  <c r="H429" i="1"/>
  <c r="F452" i="1"/>
  <c r="H452" i="1"/>
  <c r="T35" i="1"/>
  <c r="F35" i="1"/>
  <c r="H35" i="1"/>
  <c r="T34" i="1"/>
  <c r="F34" i="1"/>
  <c r="H34" i="1"/>
  <c r="T33" i="1"/>
  <c r="F33" i="1"/>
  <c r="H33" i="1"/>
  <c r="T32" i="1"/>
  <c r="F32" i="1"/>
  <c r="H32" i="1"/>
  <c r="T31" i="1"/>
  <c r="F31" i="1"/>
  <c r="H31" i="1"/>
  <c r="T30" i="1"/>
  <c r="F30" i="1"/>
  <c r="H30" i="1"/>
  <c r="F236" i="1"/>
  <c r="H236" i="1"/>
  <c r="F235" i="1"/>
  <c r="H235" i="1"/>
  <c r="F240" i="1"/>
  <c r="H240" i="1"/>
  <c r="F239" i="1"/>
  <c r="H239" i="1"/>
  <c r="F238" i="1"/>
  <c r="H238" i="1"/>
  <c r="F237" i="1"/>
  <c r="H237" i="1"/>
  <c r="F261" i="1"/>
  <c r="H261" i="1"/>
  <c r="F260" i="1"/>
  <c r="H260" i="1"/>
  <c r="F259" i="1"/>
  <c r="H259" i="1"/>
  <c r="F258" i="1"/>
  <c r="H258" i="1"/>
  <c r="F257" i="1"/>
  <c r="H257" i="1"/>
  <c r="F447" i="1"/>
  <c r="H447" i="1"/>
  <c r="F446" i="1"/>
  <c r="H446" i="1"/>
  <c r="F445" i="1"/>
  <c r="H445" i="1"/>
  <c r="F444" i="1"/>
  <c r="H444" i="1"/>
  <c r="F355" i="1"/>
  <c r="H355" i="1"/>
  <c r="F354" i="1"/>
  <c r="H354" i="1"/>
  <c r="F353" i="1"/>
  <c r="H353" i="1"/>
  <c r="F404" i="1"/>
  <c r="H404" i="1"/>
  <c r="F403" i="1"/>
  <c r="H403" i="1"/>
  <c r="F402" i="1"/>
  <c r="H402" i="1"/>
  <c r="F401" i="1"/>
  <c r="H401" i="1"/>
  <c r="F400" i="1"/>
  <c r="H400" i="1"/>
  <c r="F399" i="1"/>
  <c r="H399" i="1"/>
  <c r="F398" i="1"/>
  <c r="H398" i="1"/>
  <c r="F397" i="1"/>
  <c r="H397" i="1"/>
  <c r="F396" i="1"/>
  <c r="H396" i="1"/>
  <c r="F395" i="1"/>
  <c r="H395" i="1"/>
  <c r="F394" i="1"/>
  <c r="H394" i="1"/>
  <c r="F393" i="1"/>
  <c r="H393" i="1"/>
  <c r="F392" i="1"/>
  <c r="H392" i="1"/>
  <c r="F391" i="1"/>
  <c r="H391" i="1"/>
  <c r="F390" i="1"/>
  <c r="H390" i="1"/>
  <c r="F389" i="1"/>
  <c r="H389" i="1"/>
  <c r="F388" i="1"/>
  <c r="H388" i="1"/>
  <c r="F387" i="1"/>
  <c r="H387" i="1"/>
  <c r="F386" i="1"/>
  <c r="H386" i="1"/>
  <c r="F385" i="1"/>
  <c r="H385" i="1"/>
  <c r="F384" i="1"/>
  <c r="H384" i="1"/>
  <c r="F383" i="1"/>
  <c r="H383" i="1"/>
  <c r="F382" i="1"/>
  <c r="H382" i="1"/>
  <c r="F381" i="1"/>
  <c r="H381" i="1"/>
  <c r="F380" i="1"/>
  <c r="H380" i="1"/>
  <c r="F379" i="1"/>
  <c r="H379" i="1"/>
  <c r="F378" i="1"/>
  <c r="H378" i="1"/>
  <c r="F377" i="1"/>
  <c r="H377" i="1"/>
  <c r="F376" i="1"/>
  <c r="H376" i="1"/>
  <c r="F375" i="1"/>
  <c r="H375" i="1"/>
  <c r="F374" i="1"/>
  <c r="H374" i="1"/>
  <c r="F373" i="1"/>
  <c r="H373" i="1"/>
  <c r="F372" i="1"/>
  <c r="H372" i="1"/>
  <c r="F371" i="1"/>
  <c r="H371" i="1"/>
  <c r="F370" i="1"/>
  <c r="H370" i="1"/>
  <c r="F369" i="1"/>
  <c r="H369" i="1"/>
  <c r="F368" i="1"/>
  <c r="H368" i="1"/>
  <c r="F367" i="1"/>
  <c r="H367" i="1"/>
  <c r="F366" i="1"/>
  <c r="H366" i="1"/>
  <c r="F365" i="1"/>
  <c r="H365" i="1"/>
  <c r="F364" i="1"/>
  <c r="H364" i="1"/>
  <c r="F363" i="1"/>
  <c r="H363" i="1"/>
  <c r="F362" i="1"/>
  <c r="H362" i="1"/>
  <c r="F361" i="1"/>
  <c r="H361" i="1"/>
  <c r="F360" i="1"/>
  <c r="H360" i="1"/>
  <c r="F359" i="1"/>
  <c r="H359" i="1"/>
  <c r="F358" i="1"/>
  <c r="H358" i="1"/>
  <c r="F357" i="1"/>
  <c r="H357" i="1"/>
  <c r="F356" i="1"/>
  <c r="H356" i="1"/>
  <c r="F89" i="1"/>
  <c r="H89" i="1"/>
  <c r="F88" i="1"/>
  <c r="H88" i="1"/>
  <c r="AB417" i="1"/>
  <c r="F417" i="1"/>
  <c r="H417" i="1"/>
  <c r="AB416" i="1"/>
  <c r="F416" i="1"/>
  <c r="H416" i="1"/>
  <c r="AB415" i="1"/>
  <c r="F415" i="1"/>
  <c r="H415" i="1"/>
  <c r="H75" i="3" l="1"/>
  <c r="H7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Benjamin Klein</author>
  </authors>
  <commentList>
    <comment ref="G1" authorId="0" shapeId="0" xr:uid="{CE2D27CB-392E-044E-9009-991A5755E97F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Calculated from Watson et al., 2015 (American Mineralogist)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AB1" authorId="0" shapeId="0" xr:uid="{7C140E06-28AF-B54D-937D-2D9D008DCBED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reported total prior to normalization when available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Benjamin Klein</author>
  </authors>
  <commentList>
    <comment ref="J1" authorId="0" shapeId="0" xr:uid="{67669858-8E1E-D44E-A9D8-6CB164F1A81B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red text = unspecified phosphate, probably whitlockite stable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purple text = multiple melts described (disequilibrium)
</t>
        </r>
      </text>
    </comment>
    <comment ref="AB1" authorId="0" shapeId="0" xr:uid="{21589AA3-D95B-4346-8FA9-6C786A19E30D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reported total prior to normalization when available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Benjamin Klein</author>
  </authors>
  <commentList>
    <comment ref="K1" authorId="0" shapeId="0" xr:uid="{3CE323E9-22FB-D749-AFC5-231A035D92E8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red text = unspecified phosphate, probably whitlockite stable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purple text = multiple melts described (disequilibrium)
</t>
        </r>
      </text>
    </comment>
    <comment ref="Y1" authorId="0" shapeId="0" xr:uid="{390DEA17-0277-B346-AC19-9BD2EC5D2468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red = reported total prior to normalization</t>
        </r>
      </text>
    </comment>
    <comment ref="K3" authorId="0" shapeId="0" xr:uid="{4D774E6F-7B5D-3F44-8B62-1B6B4D610F69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this is the more silicic of an immiscible liquid pair
</t>
        </r>
      </text>
    </comment>
    <comment ref="K7" authorId="0" shapeId="0" xr:uid="{13718399-699B-AA4C-AF08-D37EA04D767C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</rPr>
          <t xml:space="preserve">this is the more silicic of an immiscible liquid pair
</t>
        </r>
      </text>
    </comment>
    <comment ref="K9" authorId="0" shapeId="0" xr:uid="{5427A79C-6643-A24F-BC36-7ABAD8819BC7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</rPr>
          <t xml:space="preserve">this is the more silicic of an immiscible liquid pair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K11" authorId="0" shapeId="0" xr:uid="{88FE6992-7442-4844-92DF-22D873A33ACE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</rPr>
          <t xml:space="preserve">this is the more silicic of an immiscible liquid pair
</t>
        </r>
      </text>
    </comment>
    <comment ref="K13" authorId="0" shapeId="0" xr:uid="{73DFC15B-51F9-2B47-9D4E-B91AC790BC03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</rPr>
          <t xml:space="preserve">this is the more silicic of an immiscible liquid pair
</t>
        </r>
      </text>
    </comment>
    <comment ref="K15" authorId="0" shapeId="0" xr:uid="{319DC208-2DDB-174C-B820-29D1C6342E1E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  <scheme val="minor"/>
          </rPr>
          <t>this is the more silicic of an immiscible liquid pair</t>
        </r>
        <r>
          <rPr>
            <sz val="10"/>
            <color rgb="FF000000"/>
            <rFont val="Aptos Narrow"/>
            <scheme val="minor"/>
          </rPr>
          <t xml:space="preserve">
</t>
        </r>
      </text>
    </comment>
    <comment ref="K17" authorId="0" shapeId="0" xr:uid="{2960AB7C-9BA2-C847-86B2-D1246045B26F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  <scheme val="minor"/>
          </rPr>
          <t>this is the more silicic of an immiscible liquid pair</t>
        </r>
        <r>
          <rPr>
            <sz val="10"/>
            <color rgb="FF000000"/>
            <rFont val="Aptos Narrow"/>
            <scheme val="minor"/>
          </rPr>
          <t xml:space="preserve">
</t>
        </r>
      </text>
    </comment>
    <comment ref="K19" authorId="0" shapeId="0" xr:uid="{4228A97F-F848-BB47-8E47-2729195E4576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  <scheme val="minor"/>
          </rPr>
          <t>this is the more silicic of an immiscible liquid pair</t>
        </r>
        <r>
          <rPr>
            <sz val="10"/>
            <color rgb="FF000000"/>
            <rFont val="Aptos Narrow"/>
            <scheme val="minor"/>
          </rPr>
          <t xml:space="preserve">
</t>
        </r>
      </text>
    </comment>
    <comment ref="K21" authorId="0" shapeId="0" xr:uid="{9DF4E3C5-E573-7F4B-B974-098252867FCB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  <scheme val="minor"/>
          </rPr>
          <t>this is the more silicic of an immiscible liquid pair</t>
        </r>
        <r>
          <rPr>
            <sz val="10"/>
            <color rgb="FF000000"/>
            <rFont val="Aptos Narrow"/>
            <scheme val="minor"/>
          </rPr>
          <t xml:space="preserve">
</t>
        </r>
      </text>
    </comment>
    <comment ref="K23" authorId="0" shapeId="0" xr:uid="{95FBE4CA-A117-114A-A6A1-667730B83B0F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  <scheme val="minor"/>
          </rPr>
          <t>this is the more silicic of an immiscible liquid pair</t>
        </r>
        <r>
          <rPr>
            <sz val="10"/>
            <color rgb="FF000000"/>
            <rFont val="Aptos Narrow"/>
            <scheme val="minor"/>
          </rPr>
          <t xml:space="preserve">
</t>
        </r>
      </text>
    </comment>
    <comment ref="K25" authorId="0" shapeId="0" xr:uid="{A8040A82-61E0-F844-8EA9-67F636FB00D3}">
      <text>
        <r>
          <rPr>
            <b/>
            <sz val="10"/>
            <color rgb="FF000000"/>
            <rFont val="Tahoma"/>
            <family val="2"/>
          </rPr>
          <t>Benjamin Klein: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Aptos Narrow"/>
          </rPr>
          <t xml:space="preserve">this is the more silicic of an immiscible liquid pair
</t>
        </r>
      </text>
    </comment>
  </commentList>
</comments>
</file>

<file path=xl/sharedStrings.xml><?xml version="1.0" encoding="utf-8"?>
<sst xmlns="http://schemas.openxmlformats.org/spreadsheetml/2006/main" count="4754" uniqueCount="1310">
  <si>
    <t>Reference</t>
  </si>
  <si>
    <t>ExpNum</t>
  </si>
  <si>
    <t>expType</t>
  </si>
  <si>
    <t>T</t>
  </si>
  <si>
    <t>P (kbar)</t>
  </si>
  <si>
    <t>duration(s)</t>
  </si>
  <si>
    <t>diffusivity (basalt)</t>
  </si>
  <si>
    <t>Diffusive length scale (basalt, mm)</t>
  </si>
  <si>
    <t>H2O(bulk)</t>
  </si>
  <si>
    <t>assemblage</t>
  </si>
  <si>
    <t>meltFrac</t>
  </si>
  <si>
    <t>withH2O</t>
  </si>
  <si>
    <t>withF</t>
  </si>
  <si>
    <t>withCl</t>
  </si>
  <si>
    <t>natural SM</t>
  </si>
  <si>
    <t>SiO2</t>
  </si>
  <si>
    <t>TiO2</t>
  </si>
  <si>
    <t>Al2O3</t>
  </si>
  <si>
    <t>Cr2O3</t>
  </si>
  <si>
    <t>FeO</t>
  </si>
  <si>
    <t>MnO</t>
  </si>
  <si>
    <t>MgO</t>
  </si>
  <si>
    <t>CaO</t>
  </si>
  <si>
    <t>Na2O</t>
  </si>
  <si>
    <t>K2O</t>
  </si>
  <si>
    <t>P2O5</t>
  </si>
  <si>
    <t>P2O5(error_1sig)</t>
  </si>
  <si>
    <t>total</t>
  </si>
  <si>
    <t>H2O</t>
  </si>
  <si>
    <t>H2O method</t>
  </si>
  <si>
    <t>VB-4</t>
  </si>
  <si>
    <t>xtal</t>
  </si>
  <si>
    <t>liq, pl, ol, il, ap</t>
  </si>
  <si>
    <t>anhydrous</t>
  </si>
  <si>
    <t>VB-14</t>
  </si>
  <si>
    <t>liq, pl, pig, il, ap, opx</t>
  </si>
  <si>
    <t>VB-13</t>
  </si>
  <si>
    <t>liq, pl, ol, il, ap, pig</t>
  </si>
  <si>
    <t>MEL-3</t>
  </si>
  <si>
    <t>gl il ol ap</t>
  </si>
  <si>
    <t>S-18</t>
  </si>
  <si>
    <t>sat</t>
  </si>
  <si>
    <t>gl pig aug(?) sp ap</t>
  </si>
  <si>
    <t>magmasat</t>
  </si>
  <si>
    <t>S-19</t>
  </si>
  <si>
    <t>gl aug pig sp ap</t>
  </si>
  <si>
    <t>melt, pl, amph,cpx,oliv,ap,sulf,fl</t>
  </si>
  <si>
    <t>mb (undersaturated according to magmasat)</t>
  </si>
  <si>
    <t>melt, pl, amph,opx,ap,sulf,fl</t>
  </si>
  <si>
    <t>magmasat (saturated after including CO2)</t>
  </si>
  <si>
    <t>melt, pl, amph,bio,opx,cpx,ap,sulf,fl</t>
  </si>
  <si>
    <t>melt, pl, amph,bio,opx,ap,sulf,fl</t>
  </si>
  <si>
    <t>melt, pl, amph,opx,cpx,ap,tmt,fl</t>
  </si>
  <si>
    <t>melt, pl, amph,opx,ap,tmt,fl</t>
  </si>
  <si>
    <t>melt, pl, amph,bio,opx,ap,tmt,fl</t>
  </si>
  <si>
    <t>melt, pl, amph,ap,tmt,fl</t>
  </si>
  <si>
    <t>melt, pl, amph,opx,ap,tmt,ilm,fl</t>
  </si>
  <si>
    <t>melt, pl, amph,ap,tmt,ilm,fl</t>
  </si>
  <si>
    <t>melt, pl, amph,bio,ap,tmt,ilm,fl</t>
  </si>
  <si>
    <t>melt, pl, amph,bio,opx,ap,tmt,ilm,fl</t>
  </si>
  <si>
    <t>melt, pl, amph,bio,oliv,ap,sulf,fl</t>
  </si>
  <si>
    <t>melt, pl, amph,bio,opx,oliv,ap,sulf,fl</t>
  </si>
  <si>
    <t>melt, pl, amph,opx,ap,sulf,ilm,fl</t>
  </si>
  <si>
    <t>melt, pl, amph,opx,cpx,ap,sulf,ilm,fl</t>
  </si>
  <si>
    <t>melt, pl, amph,opx,cpx,ap,tmt,ilm,fl</t>
  </si>
  <si>
    <t>melt, pl, amph,opx,cpx,ap,ilm,fl</t>
  </si>
  <si>
    <t>melt, pl, amph,opx,cpx,qtz,ap,ilm,fl</t>
  </si>
  <si>
    <t>melt, pl, amph,opx,qtz,ap,tmt,ilm,fl</t>
  </si>
  <si>
    <t>87S35a_10</t>
  </si>
  <si>
    <t>gl, pl, amph, sp, ap</t>
  </si>
  <si>
    <t>87S35a_13</t>
  </si>
  <si>
    <t>83S296b</t>
  </si>
  <si>
    <t>gl, pl, hbl, bio, mt, ap, zr</t>
  </si>
  <si>
    <t>1-07-13A(MCE)</t>
  </si>
  <si>
    <t>gl, ap</t>
  </si>
  <si>
    <t>1-07-13B(MCE)</t>
  </si>
  <si>
    <t>gl,ap</t>
  </si>
  <si>
    <t>1-07-14A(MCE)</t>
  </si>
  <si>
    <t>1-07-14B(MCE)</t>
  </si>
  <si>
    <t>RN13V2</t>
  </si>
  <si>
    <t>gl, pl, amph, ap, v</t>
  </si>
  <si>
    <t>raman</t>
  </si>
  <si>
    <t>RN14V2</t>
  </si>
  <si>
    <t>gl, pl, amph, mt, ap, v</t>
  </si>
  <si>
    <t>RN15V2</t>
  </si>
  <si>
    <t>gl, pl, amph, mag, ap, v</t>
  </si>
  <si>
    <t>RN16V2</t>
  </si>
  <si>
    <t>RN17V2</t>
  </si>
  <si>
    <t>gl, pl, qtz, bt, mt, ap, v</t>
  </si>
  <si>
    <t>difference</t>
  </si>
  <si>
    <t>FM107</t>
  </si>
  <si>
    <t>gl, pl, amph, cpx, opx, ap, zr</t>
  </si>
  <si>
    <t>?</t>
  </si>
  <si>
    <t>sat, calculated in text</t>
  </si>
  <si>
    <t>FM108</t>
  </si>
  <si>
    <t>gl, pl, amph, opx, cpx, ap, zr</t>
  </si>
  <si>
    <t>FM159</t>
  </si>
  <si>
    <t>gl, pl, amph, opx, ap</t>
  </si>
  <si>
    <t>FM118</t>
  </si>
  <si>
    <t>gl, pl, amph, opx, cpx, mt, ap, bt, zr</t>
  </si>
  <si>
    <t>FM164</t>
  </si>
  <si>
    <t>gl, pl, mt, opx, ap, ol</t>
  </si>
  <si>
    <t>sat, magmasat calc value in text</t>
  </si>
  <si>
    <t>FM145</t>
  </si>
  <si>
    <t>gl, amph, pl, ilm, ap, bt</t>
  </si>
  <si>
    <t>PU1066</t>
  </si>
  <si>
    <t>gl, gt, pl, ap, ilm</t>
  </si>
  <si>
    <t>PU1068</t>
  </si>
  <si>
    <t>gl, amph, gt, pl, ilm, ap(t)</t>
  </si>
  <si>
    <t>PUI1072</t>
  </si>
  <si>
    <t>gl, pl, mt, ap, amph(t), gt(t)</t>
  </si>
  <si>
    <t>PU1072o</t>
  </si>
  <si>
    <t>gl, amph, pl, mt, qtz, ap(t), gt(t)</t>
  </si>
  <si>
    <t>PU1065</t>
  </si>
  <si>
    <t>gl, gt, pl, ap, ilm(t)</t>
  </si>
  <si>
    <t>PU1067</t>
  </si>
  <si>
    <t>PU1071</t>
  </si>
  <si>
    <t>liq, pl, mt, gt(t)</t>
  </si>
  <si>
    <t>liq, cpx, amph, pl, ap(t), v</t>
  </si>
  <si>
    <t>ATR-FTIR</t>
  </si>
  <si>
    <t>gl, cpx, amph, pl, ap(t), v</t>
  </si>
  <si>
    <t>gl, cpx, amph, ap(t), v</t>
  </si>
  <si>
    <t>HG-41</t>
  </si>
  <si>
    <t>apatite dissolution</t>
  </si>
  <si>
    <t>gl, pl, ap</t>
  </si>
  <si>
    <t>HG-42</t>
  </si>
  <si>
    <t>HG-43</t>
  </si>
  <si>
    <t>HG-44</t>
  </si>
  <si>
    <t>HG-32</t>
  </si>
  <si>
    <t>HG-33</t>
  </si>
  <si>
    <t>HG-45</t>
  </si>
  <si>
    <t>HG-46</t>
  </si>
  <si>
    <t>HG-47</t>
  </si>
  <si>
    <t>HG-48</t>
  </si>
  <si>
    <t>HG-49</t>
  </si>
  <si>
    <t>HG-51</t>
  </si>
  <si>
    <t>gl, ap, andalusite</t>
  </si>
  <si>
    <t>gl, andalusite, corundum</t>
  </si>
  <si>
    <t>804ta</t>
  </si>
  <si>
    <t>808a</t>
  </si>
  <si>
    <t>811b</t>
  </si>
  <si>
    <t>811ta</t>
  </si>
  <si>
    <t>812g</t>
  </si>
  <si>
    <t>815b</t>
  </si>
  <si>
    <t>815a</t>
  </si>
  <si>
    <t>818b</t>
  </si>
  <si>
    <t>812b</t>
  </si>
  <si>
    <t>812ta</t>
  </si>
  <si>
    <t>814b</t>
  </si>
  <si>
    <t>814hh</t>
  </si>
  <si>
    <t>814nh</t>
  </si>
  <si>
    <t>822ta</t>
  </si>
  <si>
    <t>823g</t>
  </si>
  <si>
    <t>825g</t>
  </si>
  <si>
    <t>825b</t>
  </si>
  <si>
    <t>825ta</t>
  </si>
  <si>
    <t>gl, cpx, opx, pl, mt</t>
  </si>
  <si>
    <t>mass balance</t>
  </si>
  <si>
    <t>gl, cpx, opx, pl, mt, amph(tr)</t>
  </si>
  <si>
    <t>gl, amph, cpx, opx, pl, mt</t>
  </si>
  <si>
    <t>gl, amph, opx, pl, mt</t>
  </si>
  <si>
    <t>gl, amph, cpx, pl, mt</t>
  </si>
  <si>
    <t>692Ja-29</t>
  </si>
  <si>
    <t>gl, pl, cpx, ol, il, mt, ap</t>
  </si>
  <si>
    <t>692Ja-38a</t>
  </si>
  <si>
    <t>692Ja-45</t>
  </si>
  <si>
    <t>272Ja-1</t>
  </si>
  <si>
    <t>gl, pl, cpx, opx, il, mt, ap</t>
  </si>
  <si>
    <t>272Ja-2b</t>
  </si>
  <si>
    <t>692Ja-26</t>
  </si>
  <si>
    <t>gl, amph, cpx, il, mt, ap</t>
  </si>
  <si>
    <t>100D3-03</t>
  </si>
  <si>
    <t>gl, ol, pl, cpx, ilm, ap</t>
  </si>
  <si>
    <t>published mass balance</t>
  </si>
  <si>
    <t>100D3-06</t>
  </si>
  <si>
    <t>100D3-07</t>
  </si>
  <si>
    <t>100D3-09</t>
  </si>
  <si>
    <t>gl, ol, pl, cpx, ilm, ap, pig</t>
  </si>
  <si>
    <t>1500m-1502m#2</t>
  </si>
  <si>
    <t>1500m-1502m#3</t>
  </si>
  <si>
    <t>gl, opx, pl, sp, ap</t>
  </si>
  <si>
    <t>1500m-1502m#7</t>
  </si>
  <si>
    <t>CS-09-03A</t>
  </si>
  <si>
    <t>sat(+F, Cl)</t>
  </si>
  <si>
    <t>CS-09-03B</t>
  </si>
  <si>
    <t>1-09-11A</t>
  </si>
  <si>
    <t>1-09-11C</t>
  </si>
  <si>
    <t>CS-09-04A</t>
  </si>
  <si>
    <t>CS-09-04B</t>
  </si>
  <si>
    <t>1-09-12C</t>
  </si>
  <si>
    <t>1-09-14A</t>
  </si>
  <si>
    <t>1-09-14B</t>
  </si>
  <si>
    <t>1-09-14C</t>
  </si>
  <si>
    <t>CS-09-06A</t>
  </si>
  <si>
    <t>CS-09-06B</t>
  </si>
  <si>
    <t>CS-09-07A</t>
  </si>
  <si>
    <t>CS-09-07B</t>
  </si>
  <si>
    <t>1-09-17B</t>
  </si>
  <si>
    <t>1-09-17C</t>
  </si>
  <si>
    <t>CS-10-05</t>
  </si>
  <si>
    <t>CS-11-04</t>
  </si>
  <si>
    <t>1-11-25A</t>
  </si>
  <si>
    <t>1-11-25B</t>
  </si>
  <si>
    <t>1-11-25C</t>
  </si>
  <si>
    <t>1-11-29A</t>
  </si>
  <si>
    <t>1-11-29B</t>
  </si>
  <si>
    <t>CS-11-01A</t>
  </si>
  <si>
    <t>CS-11-01B</t>
  </si>
  <si>
    <t>CS-11-02A</t>
  </si>
  <si>
    <t>CS-11-02B</t>
  </si>
  <si>
    <t>2992+gt</t>
  </si>
  <si>
    <t>gl, cpx, opx, amph, gt, plg, crmt, ap</t>
  </si>
  <si>
    <t>gl, cpx, opx, gt, pl, ap, rt, v</t>
  </si>
  <si>
    <t>FTIR</t>
  </si>
  <si>
    <t>gl, cpx, opx, amph, gt, pl, ap, rt, v</t>
  </si>
  <si>
    <t>3043+gt</t>
  </si>
  <si>
    <t>gl, opx, gt, pl, ilm, qtz, ap, v</t>
  </si>
  <si>
    <t>gl, opx, gt, pl, qtz, ap, rt, v</t>
  </si>
  <si>
    <t>gl, opx, amph, gt, pl, ilm, qtz, ap, v</t>
  </si>
  <si>
    <t>gl, amph, gt, pl, ap</t>
  </si>
  <si>
    <t>gl, amph, plg, ilm, ap</t>
  </si>
  <si>
    <t>1856_DG*P</t>
  </si>
  <si>
    <t>xtal (but with excess P2O5)</t>
  </si>
  <si>
    <t>1856_DGP</t>
  </si>
  <si>
    <t>1856_DGPK</t>
  </si>
  <si>
    <t>1863_DG*P</t>
  </si>
  <si>
    <t>1901_DGP</t>
  </si>
  <si>
    <t>1901_DGPK</t>
  </si>
  <si>
    <t>1857_DG*P</t>
  </si>
  <si>
    <t>1857_DGP</t>
  </si>
  <si>
    <t>1857_DGPK</t>
  </si>
  <si>
    <t>1899_DG*P</t>
  </si>
  <si>
    <t>1899_DGP</t>
  </si>
  <si>
    <t>1899_DGPK</t>
  </si>
  <si>
    <t>R39_TRNPK</t>
  </si>
  <si>
    <t>R40_TRNP</t>
  </si>
  <si>
    <t>R40_TRNPK</t>
  </si>
  <si>
    <t>R40_TRNPKK</t>
  </si>
  <si>
    <t>R58_TRNP</t>
  </si>
  <si>
    <t>R58_TRNPK</t>
  </si>
  <si>
    <t>R58_TRNPKK</t>
  </si>
  <si>
    <t>R60_TRNP</t>
  </si>
  <si>
    <t>R60_TRNPK</t>
  </si>
  <si>
    <t>R60_TRNPKK</t>
  </si>
  <si>
    <t>#46</t>
  </si>
  <si>
    <t>ap</t>
  </si>
  <si>
    <t>#47</t>
  </si>
  <si>
    <t>ap+anhydrite</t>
  </si>
  <si>
    <t>#34</t>
  </si>
  <si>
    <t>#35</t>
  </si>
  <si>
    <t>#26</t>
  </si>
  <si>
    <t>#27</t>
  </si>
  <si>
    <t>#50</t>
  </si>
  <si>
    <t>#51</t>
  </si>
  <si>
    <t>#48</t>
  </si>
  <si>
    <t>#36</t>
  </si>
  <si>
    <t>#37</t>
  </si>
  <si>
    <t>#28</t>
  </si>
  <si>
    <t>#29</t>
  </si>
  <si>
    <t>#52</t>
  </si>
  <si>
    <t>#53</t>
  </si>
  <si>
    <t>#56</t>
  </si>
  <si>
    <t>#57</t>
  </si>
  <si>
    <t>#58</t>
  </si>
  <si>
    <t>ap, anhydrite</t>
  </si>
  <si>
    <t>#59</t>
  </si>
  <si>
    <t>#60</t>
  </si>
  <si>
    <t>#61</t>
  </si>
  <si>
    <t>#62</t>
  </si>
  <si>
    <t>#63</t>
  </si>
  <si>
    <t>#64</t>
  </si>
  <si>
    <t>#65</t>
  </si>
  <si>
    <t>EM18</t>
  </si>
  <si>
    <t>fluid sat, xH2O=0.6</t>
  </si>
  <si>
    <t>gl, mt, cpx, hm, opx, pl, ap</t>
  </si>
  <si>
    <t>calibrated difference</t>
  </si>
  <si>
    <t>EM39</t>
  </si>
  <si>
    <t>fluid sat, xH2O=0.2</t>
  </si>
  <si>
    <t>gl, mt, cpx, ol, ilm, opx, pl, ap</t>
  </si>
  <si>
    <t>EM41</t>
  </si>
  <si>
    <t>gl, mt, cpx, iolm, opx, ap, amph</t>
  </si>
  <si>
    <t>EM60</t>
  </si>
  <si>
    <t>fluid sat, xH2O = 0.6</t>
  </si>
  <si>
    <t>gl, mt, cpx, hm, psb, opx, pl</t>
  </si>
  <si>
    <t>EM63</t>
  </si>
  <si>
    <t>gl, cpx, hm, psb, opx, pl, ap</t>
  </si>
  <si>
    <t>EM82</t>
  </si>
  <si>
    <t>gl, mt, cpx, ol, opx, ilm. Pl, ap</t>
  </si>
  <si>
    <t>EM85</t>
  </si>
  <si>
    <t>Las-SH-03</t>
  </si>
  <si>
    <t>fluid sat, aH2O=0.74</t>
  </si>
  <si>
    <t>gl, cpx, amph, pl, ap, mt</t>
  </si>
  <si>
    <t>Las-SH-04</t>
  </si>
  <si>
    <t>fluid sat, aH2O=0.61</t>
  </si>
  <si>
    <t>gl, cpx, opx, amph, pl, ap, mt</t>
  </si>
  <si>
    <t>Las-63</t>
  </si>
  <si>
    <t>fluid sat, aH2O=0.60</t>
  </si>
  <si>
    <t>Las-SH-02</t>
  </si>
  <si>
    <t>gl, amph, pl, ap, mt</t>
  </si>
  <si>
    <t>Las-SH-01</t>
  </si>
  <si>
    <t>fluid sat, aH2O = 0.84</t>
  </si>
  <si>
    <t>PB33</t>
  </si>
  <si>
    <t>gl, pl, opx, mt, ap</t>
  </si>
  <si>
    <t>SIMS</t>
  </si>
  <si>
    <t>PB32</t>
  </si>
  <si>
    <t>gl, pl, opx, mt, ilm, ap</t>
  </si>
  <si>
    <t>LS3</t>
  </si>
  <si>
    <t>fluid sat, xH2O = 0.4</t>
  </si>
  <si>
    <t>gl, mt, ilm, cpx, pl, ap</t>
  </si>
  <si>
    <t>LS4</t>
  </si>
  <si>
    <t>fluid sat, xH2O = 0.09</t>
  </si>
  <si>
    <t>LS5</t>
  </si>
  <si>
    <t>gl, mt, ilm, cpx, ap</t>
  </si>
  <si>
    <t>LS6</t>
  </si>
  <si>
    <t>fluid sat, xH2O = 0.79</t>
  </si>
  <si>
    <t>LS13</t>
  </si>
  <si>
    <t>LS14</t>
  </si>
  <si>
    <t>fluid sat, aH2O=0.85</t>
  </si>
  <si>
    <t>LS15s</t>
  </si>
  <si>
    <t>gl, mt, ilm, cpx, pl, ap, anhy</t>
  </si>
  <si>
    <t>LS16s</t>
  </si>
  <si>
    <t>fluid sat, xH2O = 0.83, +S</t>
  </si>
  <si>
    <t>LS21</t>
  </si>
  <si>
    <t>gl, mt, cpx, ilm, ap</t>
  </si>
  <si>
    <t>LS22</t>
  </si>
  <si>
    <t>fluid sat, aH2O=0.83</t>
  </si>
  <si>
    <t>LS23</t>
  </si>
  <si>
    <t>fluid sat, aH2O=0.49</t>
  </si>
  <si>
    <t>gl, mt, cpx, ilm, pl, ap</t>
  </si>
  <si>
    <t>LS25s</t>
  </si>
  <si>
    <t>sat, (S bearing)</t>
  </si>
  <si>
    <t>gl, mt, cpx, ilm, ap, po</t>
  </si>
  <si>
    <t>LS26</t>
  </si>
  <si>
    <t>LS27</t>
  </si>
  <si>
    <t>fluid sat, aH2O=0.87</t>
  </si>
  <si>
    <t>LS28s</t>
  </si>
  <si>
    <t>gl, mt, cpx, ilm, pl, ap, po</t>
  </si>
  <si>
    <t>LS29s</t>
  </si>
  <si>
    <t>fluid sat, aH2O=0.87 (+S)</t>
  </si>
  <si>
    <t>LS30s</t>
  </si>
  <si>
    <t>gl,pl,amph,cpx,gt,sph,ap</t>
  </si>
  <si>
    <t>mass balance published in text. Any fluid saturated exps wil include the H2O in fluid here</t>
  </si>
  <si>
    <t>gl,qtz,amph,cpx,gt,sph,ap</t>
  </si>
  <si>
    <t>gl,amph,cpx,gt,rt,ap</t>
  </si>
  <si>
    <t>gl,cpx,gt,rt,ap</t>
  </si>
  <si>
    <t>gl,qtz,cpx,gt,rt,ap</t>
  </si>
  <si>
    <t>gl,pl,amph,cpx,ilm,ap</t>
  </si>
  <si>
    <t>gl,amph,cpx,gt,ilm,ap</t>
  </si>
  <si>
    <t>MC1314_R02</t>
  </si>
  <si>
    <t>hbld, pl, bt, gl, qz, ksp, mt, ilm, ap, opx</t>
  </si>
  <si>
    <t>MC1314_R03</t>
  </si>
  <si>
    <t>hbld, pl, bt, gl, qz, ksp, mt, ilm, ap, opx, cpx</t>
  </si>
  <si>
    <t>MC1314_R05</t>
  </si>
  <si>
    <t>hbld, pl, bt, gl, mag, ilm, ap</t>
  </si>
  <si>
    <t>uncalibrated difference</t>
  </si>
  <si>
    <t>MC1314_R06</t>
  </si>
  <si>
    <t>hbld, pl, bt, gl, qz, ksp, mt, ilm, ap</t>
  </si>
  <si>
    <t>MC1314_R07</t>
  </si>
  <si>
    <t>hbld, pl, bt, gl, qz, ksp, mt, ilm, ap, cpx</t>
  </si>
  <si>
    <t>MC1314_R12A</t>
  </si>
  <si>
    <t>hbld, pl, bt, gl, qz, mt, ilm, ap, cpx</t>
  </si>
  <si>
    <t>MC1314_R12B</t>
  </si>
  <si>
    <t>hbld, pl, bt, gl, qz, ilm, ap, cpx</t>
  </si>
  <si>
    <t>FSC1332_R01</t>
  </si>
  <si>
    <t>FSC1332_R03</t>
  </si>
  <si>
    <t>hbld, pl, bt, gl, mt, ilm, ap, cpx</t>
  </si>
  <si>
    <t>FSC1332_R04</t>
  </si>
  <si>
    <t>hbld, pl, bt, gl, qz, ksp, ilm, ap, sulf, cpx</t>
  </si>
  <si>
    <t>FSC1332_R05</t>
  </si>
  <si>
    <t>hbld, pl, bt, gl, ksp, mt, ilm</t>
  </si>
  <si>
    <t>FSC1332_R06</t>
  </si>
  <si>
    <t>hbld, pl, gl, qz, ksp, ap, cpx</t>
  </si>
  <si>
    <t>CMA201</t>
  </si>
  <si>
    <t>90 + NaCl</t>
  </si>
  <si>
    <t>hbld, pl, bt, gl, qz, ksp, mt, ap, sulf, cpx</t>
  </si>
  <si>
    <t>A_1040</t>
  </si>
  <si>
    <t>gl, cpx, opx, kaers, ap</t>
  </si>
  <si>
    <t>A_1000</t>
  </si>
  <si>
    <t>opx, kaers, gl, ap</t>
  </si>
  <si>
    <t>B_1040</t>
  </si>
  <si>
    <t>ol, cpx, kaers, ap, gl</t>
  </si>
  <si>
    <t>B_1020</t>
  </si>
  <si>
    <t>B_1000</t>
  </si>
  <si>
    <t>B_950</t>
  </si>
  <si>
    <t>kaers, il, pl, ap, gl</t>
  </si>
  <si>
    <t>C_980</t>
  </si>
  <si>
    <t>cpx, kaers, pl, ap, il(tr), gl</t>
  </si>
  <si>
    <t>C_960</t>
  </si>
  <si>
    <t>kaers, pl, ap, il(tr), gl</t>
  </si>
  <si>
    <t>C_940</t>
  </si>
  <si>
    <t>B*1100</t>
  </si>
  <si>
    <t>gl, ol, cpx, pl, ap, il</t>
  </si>
  <si>
    <t>B_1050_4.3</t>
  </si>
  <si>
    <t>gl, ol, pl, il, ap</t>
  </si>
  <si>
    <t>B_1000_4.3</t>
  </si>
  <si>
    <t>gl, ol, pl, il, ap, kaers, bt</t>
  </si>
  <si>
    <t>B1100_4.3dry</t>
  </si>
  <si>
    <t>B*1080_4.3dry</t>
  </si>
  <si>
    <t>gl, ol, pl, il, ap, cpx</t>
  </si>
  <si>
    <t>C*940_4.3_3.5</t>
  </si>
  <si>
    <t>gl, cpx, pl, mt, ap, kaers, bt</t>
  </si>
  <si>
    <t>C*920_4.3_3.5</t>
  </si>
  <si>
    <t>E940_3.8</t>
  </si>
  <si>
    <t>gl, ol, cpx, pl, il, ap, bt</t>
  </si>
  <si>
    <t>1050_2.6</t>
  </si>
  <si>
    <t>chr, ol, cpx, opx, ap(tr), gl</t>
  </si>
  <si>
    <t>1000_2.6</t>
  </si>
  <si>
    <t>ol, opx, pl, amph(ti), ap</t>
  </si>
  <si>
    <t>980_2.6</t>
  </si>
  <si>
    <t>1080_1.5</t>
  </si>
  <si>
    <t>ol, cpx, opx, pl, ap</t>
  </si>
  <si>
    <t>1040_1.5</t>
  </si>
  <si>
    <t>ol, cpx, opx, pl, ap, mt, gl</t>
  </si>
  <si>
    <t>980_2.6_6.8</t>
  </si>
  <si>
    <t>ol, opx, pl, amph, ap, ilm, mt</t>
  </si>
  <si>
    <t>980_2.6_4</t>
  </si>
  <si>
    <t>ol, cpx, opx, pl, ap, ilm, mt</t>
  </si>
  <si>
    <t>1080_2.6_3</t>
  </si>
  <si>
    <t>ol, cpx, pl, ap, ilm, mt</t>
  </si>
  <si>
    <t>FlAp-9</t>
  </si>
  <si>
    <t>gl, qtz, ilm, px, fe(metal), apt</t>
  </si>
  <si>
    <t>OHAp-1</t>
  </si>
  <si>
    <t>ClAp-1</t>
  </si>
  <si>
    <t>FlAp-1</t>
  </si>
  <si>
    <t>gl, qtz, ap, Fe(metal)</t>
  </si>
  <si>
    <t>OHAp-6</t>
  </si>
  <si>
    <t>ClAp-2</t>
  </si>
  <si>
    <t>FlAp-8</t>
  </si>
  <si>
    <t>gl, qtz, ttn, ap, Fe(metal)</t>
  </si>
  <si>
    <t>OHAp-5</t>
  </si>
  <si>
    <t>ClAp-3</t>
  </si>
  <si>
    <t>gl, qtz, pl, ap, Fe(metal)</t>
  </si>
  <si>
    <t>FlAp-7</t>
  </si>
  <si>
    <t>gl, qtz, Mt, qtz</t>
  </si>
  <si>
    <t>OHAp-7</t>
  </si>
  <si>
    <t>ClAp-5</t>
  </si>
  <si>
    <t>ap + gl</t>
  </si>
  <si>
    <t>61B</t>
  </si>
  <si>
    <t>71A</t>
  </si>
  <si>
    <t>61A</t>
  </si>
  <si>
    <t>48B</t>
  </si>
  <si>
    <t>59B</t>
  </si>
  <si>
    <t>dry (lots of F)</t>
  </si>
  <si>
    <t>60B</t>
  </si>
  <si>
    <t>Q1.007</t>
  </si>
  <si>
    <t>gl, ap, px, qtz, ilm</t>
  </si>
  <si>
    <t>Q1.012</t>
  </si>
  <si>
    <t>Q1.013</t>
  </si>
  <si>
    <t>Q1.016</t>
  </si>
  <si>
    <t>gl, ap, px</t>
  </si>
  <si>
    <t>Q1.017</t>
  </si>
  <si>
    <t>gl, ap, px, qtz</t>
  </si>
  <si>
    <t>Q1.018</t>
  </si>
  <si>
    <t>gl, ap, px, ilm</t>
  </si>
  <si>
    <t>Q1.020</t>
  </si>
  <si>
    <t>Q1.024</t>
  </si>
  <si>
    <t>Q1.057</t>
  </si>
  <si>
    <t>Q1.061</t>
  </si>
  <si>
    <t>Q1.062</t>
  </si>
  <si>
    <t>B1N-17</t>
  </si>
  <si>
    <t>gl, qtz, pl, kspar, Li-mica, Ap</t>
  </si>
  <si>
    <t>saturated, but way outside of calibration for any reasonable model…</t>
  </si>
  <si>
    <t>B1N-21</t>
  </si>
  <si>
    <t>gl, qtz, pl, kspar, li-mica, topaz, Li-phosphate, apatite</t>
  </si>
  <si>
    <t>B1N-15</t>
  </si>
  <si>
    <t>B1N-22</t>
  </si>
  <si>
    <t>gl, qtz, pl, kspar, li-mica, ap</t>
  </si>
  <si>
    <t>B1N-23</t>
  </si>
  <si>
    <t>gl, qtz, pl, li-mica, ap</t>
  </si>
  <si>
    <t>B1O-1</t>
  </si>
  <si>
    <t>B2N-25</t>
  </si>
  <si>
    <t>gl, qz, li-mica, Ap</t>
  </si>
  <si>
    <t>B2O-2/5</t>
  </si>
  <si>
    <t>gl, qz, pl, kspar, Li-Mica, mt, ap</t>
  </si>
  <si>
    <t>B2O-38/40</t>
  </si>
  <si>
    <t>gl, bt, ap</t>
  </si>
  <si>
    <t>B2O-50</t>
  </si>
  <si>
    <t>gl, li-mica, ap</t>
  </si>
  <si>
    <t>sat (mixed fluid)</t>
  </si>
  <si>
    <t>gl, mt, cpx, ap</t>
  </si>
  <si>
    <t>gl, mt, cpx, pl, ap, zrn</t>
  </si>
  <si>
    <t>gl, mt, cpx, pl, ap, zrn, amph</t>
  </si>
  <si>
    <t>gl, mt, cpx, pl, qz, ap</t>
  </si>
  <si>
    <t>gl, mt, cpx, pl, qz, ap, zrn</t>
  </si>
  <si>
    <t>PAR-ME-41</t>
  </si>
  <si>
    <t>PAR-ME-46</t>
  </si>
  <si>
    <t>PAR-ME-47</t>
  </si>
  <si>
    <t>PAR-ME-02</t>
  </si>
  <si>
    <t>PAR-ME-01</t>
  </si>
  <si>
    <t>PAR-ME-71</t>
  </si>
  <si>
    <t>gl, mt, cpx, pl,. Ap, zrn</t>
  </si>
  <si>
    <t>PAR-ME-72</t>
  </si>
  <si>
    <t>PAR-ME-82</t>
  </si>
  <si>
    <t>PAR-ME-97</t>
  </si>
  <si>
    <t>gl, ilm, cpx, pl, qz, ap, zrn, amph</t>
  </si>
  <si>
    <t>McGill 1_Dy-spt</t>
  </si>
  <si>
    <t>xtal (but excess P2O5)</t>
  </si>
  <si>
    <t>Gl, Fap, Plg, Low Ca px, Ilm</t>
  </si>
  <si>
    <t>not estimated (likely will exclude experiments, but also modes only estimated visually, and apparently there was both P2O5 and likely H2O loss)</t>
  </si>
  <si>
    <t>McGill 1_Sc4-b</t>
  </si>
  <si>
    <t>Gl, Fap, Low Ca px, Ilm</t>
  </si>
  <si>
    <t>McGill 10_Dy-spt</t>
  </si>
  <si>
    <t>McGill 10_Sc4-b</t>
  </si>
  <si>
    <t>McGill 11_Dy-spt</t>
  </si>
  <si>
    <t>McGill 11_Sc4-b</t>
  </si>
  <si>
    <t>Gl, Fap, Plg, Low Ca px, Qtz, Ilm</t>
  </si>
  <si>
    <t>McGill7_Dy-spt</t>
  </si>
  <si>
    <t>Gl, Hap, Cpx, Low Ca px, Ilm</t>
  </si>
  <si>
    <t>McGill7_Sc4-b</t>
  </si>
  <si>
    <t>Gl, Hap, Plg, Cpx, Low Ca px, Ilm</t>
  </si>
  <si>
    <t>McGill 8_Dy-spt</t>
  </si>
  <si>
    <t>Gl, Hap, Plg, Cpx, Ol, Ilm</t>
  </si>
  <si>
    <t>McGill 8_Sc4-b</t>
  </si>
  <si>
    <t>McGill 9_Sc4-b</t>
  </si>
  <si>
    <t>Gl, Hap, Ilm</t>
  </si>
  <si>
    <t>McGill 15_Sc4-b+F</t>
  </si>
  <si>
    <t>Gl, Fap, Unk, Qtz, Ilm</t>
  </si>
  <si>
    <t>McGill 16_Sc4-b+F</t>
  </si>
  <si>
    <t>Gl, Fap</t>
  </si>
  <si>
    <t>Run9</t>
  </si>
  <si>
    <t xml:space="preserve">gl, amph, il, phl, ap, t-m, </t>
  </si>
  <si>
    <t>mass balance in text</t>
  </si>
  <si>
    <t>Run10</t>
  </si>
  <si>
    <t>gl, amph, t-m, ap</t>
  </si>
  <si>
    <t>Run11</t>
  </si>
  <si>
    <t>gl, amph, t-m, ilm, ap</t>
  </si>
  <si>
    <t>by difference, used in text (Fig.2), but seems much too low</t>
  </si>
  <si>
    <t>1-99-15</t>
  </si>
  <si>
    <t>1-99-16</t>
  </si>
  <si>
    <t>1-99-22</t>
  </si>
  <si>
    <t>1-99-25</t>
  </si>
  <si>
    <t>1-00-1</t>
  </si>
  <si>
    <t>1-02-38A</t>
  </si>
  <si>
    <t>1-02-38C</t>
  </si>
  <si>
    <t>1-02-07</t>
  </si>
  <si>
    <t>G223A</t>
  </si>
  <si>
    <t>partial melting (weird bulks!!)</t>
  </si>
  <si>
    <t>gl,amph,ap,cpx,</t>
  </si>
  <si>
    <t>G276A</t>
  </si>
  <si>
    <t>G163A</t>
  </si>
  <si>
    <t>G165A</t>
  </si>
  <si>
    <t>gl,ap,</t>
  </si>
  <si>
    <t>G276B</t>
  </si>
  <si>
    <t>G250B</t>
  </si>
  <si>
    <t>G164B</t>
  </si>
  <si>
    <t>G276C</t>
  </si>
  <si>
    <t xml:space="preserve">gl,amph,ap,cpx,phl, </t>
  </si>
  <si>
    <t>G283C</t>
  </si>
  <si>
    <t>G191C</t>
  </si>
  <si>
    <t xml:space="preserve">gl,ap,cpx,phl, </t>
  </si>
  <si>
    <t>G165C</t>
  </si>
  <si>
    <t>G255D</t>
  </si>
  <si>
    <t>G159D</t>
  </si>
  <si>
    <t>G160D</t>
  </si>
  <si>
    <t>G283D</t>
  </si>
  <si>
    <t>G191D</t>
  </si>
  <si>
    <t>G164D</t>
  </si>
  <si>
    <t>FM9</t>
  </si>
  <si>
    <t>frac xtal</t>
  </si>
  <si>
    <t>melt, pl, amph, opx, ilm, cpx, ap, mt, zr</t>
  </si>
  <si>
    <t>FM10</t>
  </si>
  <si>
    <t>melt, pl, amph, ipx, ilm, ap, zt</t>
  </si>
  <si>
    <t>FM11</t>
  </si>
  <si>
    <t>melt, plag, amph, opx, ilm, ulvsp, ap, zr</t>
  </si>
  <si>
    <t>FM12</t>
  </si>
  <si>
    <t>FM18</t>
  </si>
  <si>
    <t>melt, pl, opx, amph, ilm, ap, zt</t>
  </si>
  <si>
    <t>FM54</t>
  </si>
  <si>
    <t>melt, pl, amph, opx, ilm, bt, ap, zr</t>
  </si>
  <si>
    <t>FM58</t>
  </si>
  <si>
    <t>melt, pl, amph, qtz, opx, bt, ilm, ap, zr</t>
  </si>
  <si>
    <t>FM70</t>
  </si>
  <si>
    <t>melt, pl, qtz, amph, bt, mt, ap, zr</t>
  </si>
  <si>
    <t>D10#35/39</t>
  </si>
  <si>
    <t>partial melting</t>
  </si>
  <si>
    <t>melt, cpx, mt, ilm, pl, ap, py</t>
  </si>
  <si>
    <t>STAN-11</t>
  </si>
  <si>
    <t>melt, ol, pl, cpx, ox, ap, amph</t>
  </si>
  <si>
    <t>PG-825</t>
  </si>
  <si>
    <t>gl, hbld, pl, il, mt, ap</t>
  </si>
  <si>
    <t>PG-875</t>
  </si>
  <si>
    <t>gl, hbld, cpx, ol, ox, ap</t>
  </si>
  <si>
    <t>PG-930</t>
  </si>
  <si>
    <t>gl, hbld, cpx, ox, ol, ap</t>
  </si>
  <si>
    <t>PG-1000</t>
  </si>
  <si>
    <t>1921-725</t>
  </si>
  <si>
    <t>1921-825</t>
  </si>
  <si>
    <t>gl, hbld, ol, pl, il, sph, ap</t>
  </si>
  <si>
    <t>1921-875</t>
  </si>
  <si>
    <t>gl, hbld, cpx, pl, ol, ox, ap</t>
  </si>
  <si>
    <t>1921-930</t>
  </si>
  <si>
    <t>1921-970</t>
  </si>
  <si>
    <t>gl, ol, cpx, hbld, il, ap</t>
  </si>
  <si>
    <t>1921-1000</t>
  </si>
  <si>
    <t>1921-1015</t>
  </si>
  <si>
    <t>gl, hbld, cpx, ol, ap</t>
  </si>
  <si>
    <t>1921-1045</t>
  </si>
  <si>
    <t>gl, hbld cpx, ol, ap</t>
  </si>
  <si>
    <t>1921-HM-725</t>
  </si>
  <si>
    <t>gl, hbld, pl, il, mt, sph, ap</t>
  </si>
  <si>
    <t>1921-HM-825</t>
  </si>
  <si>
    <t>1921-HM-925</t>
  </si>
  <si>
    <t>gl, hbld, cpx, ol, 2ox, ap</t>
  </si>
  <si>
    <t>1921-HM-1000</t>
  </si>
  <si>
    <t>gl, cpx, ol, 2ox, ap</t>
  </si>
  <si>
    <t>1801-825</t>
  </si>
  <si>
    <t>gl, ol, hbld, pl, il, sph, ap</t>
  </si>
  <si>
    <t>1801-875</t>
  </si>
  <si>
    <t>gl, hbld, ol, ox, ap</t>
  </si>
  <si>
    <t>1801-930</t>
  </si>
  <si>
    <t>1801-970</t>
  </si>
  <si>
    <t>1801-1000</t>
  </si>
  <si>
    <t>MS-51</t>
  </si>
  <si>
    <t>gl, pig, aug, mag, ilm, plag, ol (ap)</t>
  </si>
  <si>
    <t>1-13-23</t>
  </si>
  <si>
    <t>gl, pl, amph, ox, ap</t>
  </si>
  <si>
    <t>dry</t>
  </si>
  <si>
    <t>gl, pl, cpx, ap</t>
  </si>
  <si>
    <t>gl, gt, amph, ru, ti-mg, ap</t>
  </si>
  <si>
    <t>R76</t>
  </si>
  <si>
    <t>gl, gt, cpx, amph, rt, ap</t>
  </si>
  <si>
    <t>melt, Ol, Cpx, Pl, Amp, Opx, TiMagt, Ilm, Plm, Titanite, Apatite</t>
  </si>
  <si>
    <t>unknown (no modes, H2O contents in Starting comp or in glass given)</t>
  </si>
  <si>
    <t>QD34</t>
  </si>
  <si>
    <t>gl, pl, amph, opx, mt, ilm, ap, cpx</t>
  </si>
  <si>
    <t>QD9B</t>
  </si>
  <si>
    <t>gl, pl, amph, opx, cpx, mt, ilm, ap, bt</t>
  </si>
  <si>
    <t>QD10A</t>
  </si>
  <si>
    <t>QD15B</t>
  </si>
  <si>
    <t>QD17A</t>
  </si>
  <si>
    <t>gl, pl, amph, opx, cpx, mt, ilm, ap</t>
  </si>
  <si>
    <t>QD18B</t>
  </si>
  <si>
    <t>QD20B</t>
  </si>
  <si>
    <t>QD21A</t>
  </si>
  <si>
    <t>QD22A</t>
  </si>
  <si>
    <t>QD24B</t>
  </si>
  <si>
    <t>QD25A</t>
  </si>
  <si>
    <t>gl, pl, amph, opx, mt, ilm, ap, bt</t>
  </si>
  <si>
    <t>QD27</t>
  </si>
  <si>
    <t>QD28B</t>
  </si>
  <si>
    <t>QD29</t>
  </si>
  <si>
    <t>QD30B</t>
  </si>
  <si>
    <t>QD31</t>
  </si>
  <si>
    <t>QD32</t>
  </si>
  <si>
    <t>HP02</t>
  </si>
  <si>
    <t>eq xtal</t>
  </si>
  <si>
    <t>gl, cpx, opx, bt, ap, sulf, mt</t>
  </si>
  <si>
    <t>HP21</t>
  </si>
  <si>
    <t>gl, cpx, bt, ap, sulfate, sulf, mt, fl</t>
  </si>
  <si>
    <t>HP26</t>
  </si>
  <si>
    <t>gl, cpx, bt, ap, sulfate, mt, fl</t>
  </si>
  <si>
    <t>HP03</t>
  </si>
  <si>
    <t>gl, cpx, bt, ap, anh, mt, fl</t>
  </si>
  <si>
    <t>HP04</t>
  </si>
  <si>
    <t>HP06</t>
  </si>
  <si>
    <t>gl, cpx, bt, ap, anh, sulf, mt, fl</t>
  </si>
  <si>
    <t>HP07</t>
  </si>
  <si>
    <t>HP22</t>
  </si>
  <si>
    <t>HP23</t>
  </si>
  <si>
    <t>gl, cpx, opx, bt, ap, anh, sulf, mt, fl</t>
  </si>
  <si>
    <t>HP10</t>
  </si>
  <si>
    <t>gl, cpx, bt, ap, sulfate, sulf</t>
  </si>
  <si>
    <t>HP11</t>
  </si>
  <si>
    <t>HP12</t>
  </si>
  <si>
    <t>gl, cpx, bt, ap, sulfate, sulf, fl</t>
  </si>
  <si>
    <t>HP13</t>
  </si>
  <si>
    <t>gl, cpx, bt, kfs, ap, anh, sulf, fl</t>
  </si>
  <si>
    <t>HP14</t>
  </si>
  <si>
    <t>HP17</t>
  </si>
  <si>
    <t>gl, cpx, bt, kfs, ap, anh, sulf, mt, fl</t>
  </si>
  <si>
    <t>Gl, Pl, Opx, FeTiOx, Ap</t>
  </si>
  <si>
    <t>reported in text (Zhang solubility model)</t>
  </si>
  <si>
    <t>Gl, Pl, Opx, Bt, Qzt, FeTiOx, Zrn, Ap,Mnz</t>
  </si>
  <si>
    <t>Gl, Pl, Bt, Qzt, FeTiOx, Ap</t>
  </si>
  <si>
    <t>Gl, Pl, Opx, Ap</t>
  </si>
  <si>
    <t>Gl, Pl, Bt, Opx, Cpx, FeTiOx, Zrn, Ap</t>
  </si>
  <si>
    <t>Gl, Plg, Opx, FeTiOx, Zrn, Ap</t>
  </si>
  <si>
    <t>Gl, Pl, Bt, FeTiOx, Ap</t>
  </si>
  <si>
    <t>Gl, Bt, Zrn, Ap</t>
  </si>
  <si>
    <t>Gl, Pl, Bt, Zrn, Ap</t>
  </si>
  <si>
    <t>Gl, Pl, Bt, Ap</t>
  </si>
  <si>
    <t>Gl, Pl, Bt, FeTiOx, Zrn, Ap, Mnz</t>
  </si>
  <si>
    <t>Tr-08</t>
  </si>
  <si>
    <t>gl, cpx, rt, ap</t>
  </si>
  <si>
    <t>Tr-03</t>
  </si>
  <si>
    <t>TR-01</t>
  </si>
  <si>
    <t>gl, cpx, mca, rt, ap</t>
  </si>
  <si>
    <t>TR3-1</t>
  </si>
  <si>
    <t>gl, amph, rt, ap</t>
  </si>
  <si>
    <t>Trr-02</t>
  </si>
  <si>
    <t>Trr-05</t>
  </si>
  <si>
    <t>Trr-13</t>
  </si>
  <si>
    <t>gl, cpx, qtz, mca, rt, ap</t>
  </si>
  <si>
    <t>Ts-8</t>
  </si>
  <si>
    <t>gl, cpx, grt, rt, ap</t>
  </si>
  <si>
    <t>usc42</t>
  </si>
  <si>
    <t>gl, pl, amph, cpx, mt, ap</t>
  </si>
  <si>
    <t>H3-2</t>
  </si>
  <si>
    <t>gl pl, fa, cpx, ilm, mt, ap, zrc</t>
  </si>
  <si>
    <t>H3-3</t>
  </si>
  <si>
    <t>gl pl, cpx, fa, ap, ilm, mt, zrc</t>
  </si>
  <si>
    <t>H3-5</t>
  </si>
  <si>
    <t>gl cpx, fa, ap, mt, zrc</t>
  </si>
  <si>
    <t>H3-6</t>
  </si>
  <si>
    <t>H3-8</t>
  </si>
  <si>
    <t>H3-10</t>
  </si>
  <si>
    <t>gl ap, ilm, zrc</t>
  </si>
  <si>
    <t>H3-11</t>
  </si>
  <si>
    <t>gl pl, ap, ilm, zrc</t>
  </si>
  <si>
    <t>H3-12</t>
  </si>
  <si>
    <t>gl fa, ap, ilm, zrc</t>
  </si>
  <si>
    <t>HR6</t>
  </si>
  <si>
    <t>HR5a</t>
  </si>
  <si>
    <t>HR5a_rev</t>
  </si>
  <si>
    <t>gl fa, ap, mt</t>
  </si>
  <si>
    <t>HR5b_rev</t>
  </si>
  <si>
    <t>gl ap, zrc</t>
  </si>
  <si>
    <t>puy1</t>
  </si>
  <si>
    <t>gl, opx, cpx, mt, ilm, and ap</t>
  </si>
  <si>
    <t>puy2</t>
  </si>
  <si>
    <t>gl, pl, opx, cpx, mt, ilm, and ap</t>
  </si>
  <si>
    <t>puy3</t>
  </si>
  <si>
    <t>gl, pl, amph, opx, cpx, mt, ilm, and ap</t>
  </si>
  <si>
    <t>puy4</t>
  </si>
  <si>
    <t>puy7</t>
  </si>
  <si>
    <t>gl, pl, amph, cpx, mt, ilm, and ap</t>
  </si>
  <si>
    <t>puy8</t>
  </si>
  <si>
    <t>gl, mt, ilm, and ap</t>
  </si>
  <si>
    <t>puy9</t>
  </si>
  <si>
    <t>gl, pl, opx, cpx, mt, and ap</t>
  </si>
  <si>
    <t>puy10</t>
  </si>
  <si>
    <t>puy11</t>
  </si>
  <si>
    <t>puy13</t>
  </si>
  <si>
    <t>puy14</t>
  </si>
  <si>
    <t>puy15</t>
  </si>
  <si>
    <t>puy17</t>
  </si>
  <si>
    <t>puy29</t>
  </si>
  <si>
    <t>puyR32b</t>
  </si>
  <si>
    <t>puyR33b</t>
  </si>
  <si>
    <t>puyR34b</t>
  </si>
  <si>
    <t>puyR35b</t>
  </si>
  <si>
    <t>puyR36b</t>
  </si>
  <si>
    <t>13-H30</t>
  </si>
  <si>
    <t>fluid sat, aH2O=0, but  H2O present, based on 0.33 in SM</t>
  </si>
  <si>
    <t>gl, pl, cpx, ol, ilm, ap</t>
  </si>
  <si>
    <t>cal diff</t>
  </si>
  <si>
    <t>13-H16</t>
  </si>
  <si>
    <t>gl, ol, amph, ap, ilm</t>
  </si>
  <si>
    <t>13-H17</t>
  </si>
  <si>
    <t>fluid sat, xH2O = 0.69</t>
  </si>
  <si>
    <t>gl, pl, ol, cpx, ilm, ap, amph</t>
  </si>
  <si>
    <t>13-H18</t>
  </si>
  <si>
    <t>fluid sat, xH2O = 0.55</t>
  </si>
  <si>
    <t>gl, pl, ol, cpx, ilm, ap</t>
  </si>
  <si>
    <t>13-H19</t>
  </si>
  <si>
    <t>fluid sat, xH2O = 0.27</t>
  </si>
  <si>
    <t>in text calc</t>
  </si>
  <si>
    <t>13-H31</t>
  </si>
  <si>
    <t>gl, amph, ap, pl, ilm, ol</t>
  </si>
  <si>
    <t>13-H32</t>
  </si>
  <si>
    <t>fluid sat, xH2O = 0.66</t>
  </si>
  <si>
    <t>gl, amph, pl, ap, ilm, ol</t>
  </si>
  <si>
    <t>DR08-140</t>
  </si>
  <si>
    <t>gl, mt, ap, Kaers, bt</t>
  </si>
  <si>
    <t>solubility calc in text</t>
  </si>
  <si>
    <t>DR08-141</t>
  </si>
  <si>
    <t>sat, xH2O = 0.72</t>
  </si>
  <si>
    <t>gl, mt, ilm, ap, kaers, bt</t>
  </si>
  <si>
    <t>DR08-142</t>
  </si>
  <si>
    <t>sat, xH2O = 0.49</t>
  </si>
  <si>
    <t>gl, ol, mt, ilm, ap, kaers, bt</t>
  </si>
  <si>
    <t>DR08-143</t>
  </si>
  <si>
    <t>sat, xH2O = 0.26</t>
  </si>
  <si>
    <t>gl, ol, mt, ilm, ap, pl, kaers, bt</t>
  </si>
  <si>
    <t>DR08-152</t>
  </si>
  <si>
    <t>DR08-154</t>
  </si>
  <si>
    <t>sat, xH2O = 0.5</t>
  </si>
  <si>
    <t>gl, mt, ilm, ap, pl. kaers, bt</t>
  </si>
  <si>
    <t>DR08-56</t>
  </si>
  <si>
    <t>sat, xH2O = 0.9</t>
  </si>
  <si>
    <t>gl, ol, mt, ap, kaers, bt</t>
  </si>
  <si>
    <t>DR08-58</t>
  </si>
  <si>
    <t>sat, xH2O = 0.51</t>
  </si>
  <si>
    <t>DR08-129</t>
  </si>
  <si>
    <t>gl, mt, ap, kaers, bt (QUENCH)</t>
  </si>
  <si>
    <t>DR08-130</t>
  </si>
  <si>
    <t>sat, xH2O = 0.88</t>
  </si>
  <si>
    <t>gl, mt, ap, kaers, bt</t>
  </si>
  <si>
    <t>DR08-131</t>
  </si>
  <si>
    <t>sat, xH2O = 0.69</t>
  </si>
  <si>
    <t>DR08-158</t>
  </si>
  <si>
    <t>DR08-159</t>
  </si>
  <si>
    <t>gl, mt, ap, pl, kaers, bt</t>
  </si>
  <si>
    <t>DR08-160</t>
  </si>
  <si>
    <t>sat, xH2O = 0.65</t>
  </si>
  <si>
    <t>gl, ol, mt, ilm, ap, cpx, pl, kaers, bt</t>
  </si>
  <si>
    <t>DR08-164</t>
  </si>
  <si>
    <t>gl, ol, mt, ap, pl, kaers, bt</t>
  </si>
  <si>
    <t>DR08-165</t>
  </si>
  <si>
    <t>Opening-63</t>
  </si>
  <si>
    <t>gl, mt, ap, cpx, amph</t>
  </si>
  <si>
    <t>Opening-64</t>
  </si>
  <si>
    <t>Opening-65</t>
  </si>
  <si>
    <t>Opening-48</t>
  </si>
  <si>
    <t>Opening-49</t>
  </si>
  <si>
    <t>Opening-50</t>
  </si>
  <si>
    <t>Opening-53</t>
  </si>
  <si>
    <t>gl, mt, ap, cpx, pl, amph</t>
  </si>
  <si>
    <t>Opening-54</t>
  </si>
  <si>
    <t>Opening-55</t>
  </si>
  <si>
    <t>gl, mt, ilm, ap, cpx, amph</t>
  </si>
  <si>
    <t>Opening-57</t>
  </si>
  <si>
    <t>Opening-59</t>
  </si>
  <si>
    <t>gl, mt, ilm, ap, cpx, pl, amph</t>
  </si>
  <si>
    <t>97018_AUT_49</t>
  </si>
  <si>
    <t>gl, mt, ap</t>
  </si>
  <si>
    <t>97018_AUT_50</t>
  </si>
  <si>
    <t>fluid sat, xH2O=0.8</t>
  </si>
  <si>
    <t>97018_AUT_51</t>
  </si>
  <si>
    <t>gl, cpx, mt, ap</t>
  </si>
  <si>
    <t>97018_AUT_52</t>
  </si>
  <si>
    <t>97018_AUT_55</t>
  </si>
  <si>
    <t>97018_AUT_56</t>
  </si>
  <si>
    <t>97018_AUT_57</t>
  </si>
  <si>
    <t>97018_AUT_58</t>
  </si>
  <si>
    <t>C_ATM_05</t>
  </si>
  <si>
    <t>dry (1 atm)</t>
  </si>
  <si>
    <t>1 atm</t>
  </si>
  <si>
    <t>C_ATM_06</t>
  </si>
  <si>
    <t>IpmS24</t>
  </si>
  <si>
    <t>gl, amph, px, mt, ap</t>
  </si>
  <si>
    <t>calculated in text</t>
  </si>
  <si>
    <t>AW-10</t>
  </si>
  <si>
    <t>gl, tit, ap</t>
  </si>
  <si>
    <t>AW-39</t>
  </si>
  <si>
    <t>sat, xH2O=0.86</t>
  </si>
  <si>
    <t>MPF105</t>
  </si>
  <si>
    <t>gl, cpx, FeTi oxides</t>
  </si>
  <si>
    <t>MPF106</t>
  </si>
  <si>
    <t>gl, cpx, pl, FeTiOxides</t>
  </si>
  <si>
    <t>sat, xH2O = 0.87</t>
  </si>
  <si>
    <t>gl, cpx, apa, mag, po, anh</t>
  </si>
  <si>
    <t>gl, amph, anhy, ap, mt, po</t>
  </si>
  <si>
    <t>fluid sat, xH2O = 0.78</t>
  </si>
  <si>
    <t>gl, pl, amph, ap, mt, ilm, po</t>
  </si>
  <si>
    <t>gl, hbld, anh, mt, ap</t>
  </si>
  <si>
    <t>gl, hbld, mt, ap</t>
  </si>
  <si>
    <t>fluid sat, xH2O = 0.88</t>
  </si>
  <si>
    <t>gl, pl, hbld, mt, ap</t>
  </si>
  <si>
    <t>fluid sat, xH2O = 0.75</t>
  </si>
  <si>
    <t>gl, pl, hbld, ap, mt</t>
  </si>
  <si>
    <t>gl, pl, cpx, opx, ap, mt</t>
  </si>
  <si>
    <t>fluid sat, xH2O = 0.33</t>
  </si>
  <si>
    <t>gl, hbld, ilm, po, ap</t>
  </si>
  <si>
    <t>gl, pl, hbld, ap, mt, ilm, po</t>
  </si>
  <si>
    <t>fluid sat, xH2O = 0.96</t>
  </si>
  <si>
    <t>xH2O = 0.77</t>
  </si>
  <si>
    <t>xH2O = 0.590</t>
  </si>
  <si>
    <t>gl, pl, cpx, opx, mt, po, (ap)</t>
  </si>
  <si>
    <t>xH2O = 0.57</t>
  </si>
  <si>
    <t>gl, pl, cpx, opx, mt, ilm, po, (ap)</t>
  </si>
  <si>
    <t>xH2O = 0.46</t>
  </si>
  <si>
    <t>gl, pl, cpx, opx, ilm, po, (ap)</t>
  </si>
  <si>
    <t>xH2O = 0.6</t>
  </si>
  <si>
    <t>gl, pl, cpx, olm, po, (ap)</t>
  </si>
  <si>
    <t>xH2O = 0.76</t>
  </si>
  <si>
    <t>gl, pl, hbld, ilm, mt, po, (ap)</t>
  </si>
  <si>
    <t>xH2O = 0.65</t>
  </si>
  <si>
    <t>gl, pl, hbld, cpx, opx, mt, ilm, po, (ap)</t>
  </si>
  <si>
    <t>xH2O = 0.88</t>
  </si>
  <si>
    <t>gl, pl, hbld, mt, ilm, po, (ap)</t>
  </si>
  <si>
    <t>xH2O = 0.79</t>
  </si>
  <si>
    <t>gl, pl, hbld, mt, (ap)</t>
  </si>
  <si>
    <t>xH2O = 0.61</t>
  </si>
  <si>
    <t>gl, pl, hbld, cpx, opx, mt, (ap)</t>
  </si>
  <si>
    <t>Q1b.001</t>
  </si>
  <si>
    <t>melt, ap, silica</t>
  </si>
  <si>
    <t>Q1b.002</t>
  </si>
  <si>
    <t>2x melts, ap, pyx, sio2</t>
  </si>
  <si>
    <t>Q1b.003</t>
  </si>
  <si>
    <t>2x melts, ap, pl, ilm, sio2, pl</t>
  </si>
  <si>
    <t>Q1b.004</t>
  </si>
  <si>
    <t>melt, ap, sio2</t>
  </si>
  <si>
    <t>Q1b.005</t>
  </si>
  <si>
    <t>melt, ap, pl, sio2</t>
  </si>
  <si>
    <t>Q1b.006</t>
  </si>
  <si>
    <t>2x melt, ap, pl, ilm, sio2</t>
  </si>
  <si>
    <t>Q1b.007</t>
  </si>
  <si>
    <t>Q1b.008</t>
  </si>
  <si>
    <t>Q1b.009</t>
  </si>
  <si>
    <t>2x melt, ap, pl, ilm, sio2, herc</t>
  </si>
  <si>
    <t>Q1b.010</t>
  </si>
  <si>
    <t>Q1b.012</t>
  </si>
  <si>
    <t>2x melt, ap, pl, ilm, sio2, pl</t>
  </si>
  <si>
    <t>Q1b.013</t>
  </si>
  <si>
    <t>Q1b.014</t>
  </si>
  <si>
    <t>Q1b.015</t>
  </si>
  <si>
    <t>melt, ap, pl. sio2</t>
  </si>
  <si>
    <t>900Pav3x1</t>
  </si>
  <si>
    <t>gl, am, bt, mt, ilm, ap</t>
  </si>
  <si>
    <t>cal diff?</t>
  </si>
  <si>
    <t>900Pav3x8</t>
  </si>
  <si>
    <t>xH2O = 0.9</t>
  </si>
  <si>
    <t>gl, am, bt, pl, mt, ilm, (ap)</t>
  </si>
  <si>
    <t>850Pav3x1</t>
  </si>
  <si>
    <t>850Pav3x8</t>
  </si>
  <si>
    <t>xH2O = 0.83</t>
  </si>
  <si>
    <t>gl, am, bt, pl, cpx, mt, ilm, (ap)</t>
  </si>
  <si>
    <t>850Pav3x7</t>
  </si>
  <si>
    <t>xH2O = 0.67</t>
  </si>
  <si>
    <t>gl, bt, pl, cpx, mt, ilm, (ap)</t>
  </si>
  <si>
    <t>900Pav4x1</t>
  </si>
  <si>
    <t>50-3</t>
  </si>
  <si>
    <t>xH2O = 0.8</t>
  </si>
  <si>
    <t>gl, cpx, mt, ilm, ap</t>
  </si>
  <si>
    <t>50-20</t>
  </si>
  <si>
    <t>gl, hbld, cpx, mt, ilm, pl, ap, lpx</t>
  </si>
  <si>
    <t>50-9</t>
  </si>
  <si>
    <t>gl, hbld, cpx, mt, ilm, pl, ap</t>
  </si>
  <si>
    <t>50-26</t>
  </si>
  <si>
    <t>xH2O = 0.7</t>
  </si>
  <si>
    <t>gl, hbld, cpx, mt, ilm, pl, bt, ap, lpx</t>
  </si>
  <si>
    <t>06-3</t>
  </si>
  <si>
    <t>xH2O = 0.78</t>
  </si>
  <si>
    <t>06-20</t>
  </si>
  <si>
    <t>xH2O=0.63</t>
  </si>
  <si>
    <t xml:space="preserve">gl, cpx, mt, ilm, bt, pl, ap, </t>
  </si>
  <si>
    <t>50-10</t>
  </si>
  <si>
    <t>xH2O = 0.71</t>
  </si>
  <si>
    <t>06-26</t>
  </si>
  <si>
    <t>xH2O = 0.69</t>
  </si>
  <si>
    <t>gl, cpx, mt, ilm, bt, pl, ap</t>
  </si>
  <si>
    <t>06-28</t>
  </si>
  <si>
    <t>xH2O = 0.5</t>
  </si>
  <si>
    <t>gl, cpx, mt, ilm, bt, lpx, pl, ap</t>
  </si>
  <si>
    <t>ap dissolution</t>
  </si>
  <si>
    <t>13a</t>
  </si>
  <si>
    <t>13b</t>
  </si>
  <si>
    <t>P25</t>
  </si>
  <si>
    <t>gl, kfs, qtz, pl, bt, crd (ap)</t>
  </si>
  <si>
    <t>P24</t>
  </si>
  <si>
    <t>P27</t>
  </si>
  <si>
    <t>gl, qtz, pl, bt, crd, (ap)</t>
  </si>
  <si>
    <t>P28</t>
  </si>
  <si>
    <t>gl, pl, bt, crd, (ap)</t>
  </si>
  <si>
    <t>P21</t>
  </si>
  <si>
    <t>P22</t>
  </si>
  <si>
    <t>P23</t>
  </si>
  <si>
    <t>P26</t>
  </si>
  <si>
    <t>G50-187</t>
  </si>
  <si>
    <t>(dehydration melting)</t>
  </si>
  <si>
    <t>gl, cpx, phl, kr, ol, ap</t>
  </si>
  <si>
    <t>G51-192</t>
  </si>
  <si>
    <t>gl, cpx, phl, ol, ap</t>
  </si>
  <si>
    <t>G105-117</t>
  </si>
  <si>
    <t>gl, cpx, ap</t>
  </si>
  <si>
    <t>G24-105</t>
  </si>
  <si>
    <t>G12-57</t>
  </si>
  <si>
    <t>gl, cpx, ol, ap, rt</t>
  </si>
  <si>
    <t>Phl68Ap32_1300</t>
  </si>
  <si>
    <t>gl+fo+ap</t>
  </si>
  <si>
    <t>Phl52Ap48_1300</t>
  </si>
  <si>
    <t>gl+ap</t>
  </si>
  <si>
    <t>gl, cpx, phl, ilm, ap</t>
  </si>
  <si>
    <t>C3179</t>
  </si>
  <si>
    <t>gl, amph, cpx, , opx, pl, ilm, ap</t>
  </si>
  <si>
    <t>C3171</t>
  </si>
  <si>
    <t>gl, gt, amph, pl, ap, rt, sph, all</t>
  </si>
  <si>
    <t>C3052</t>
  </si>
  <si>
    <t>gl, gt, cpx, ap</t>
  </si>
  <si>
    <t>C-1848a</t>
  </si>
  <si>
    <t>gl, grt, cpx, coe, phen, ky, ap, rt, mon, zr</t>
  </si>
  <si>
    <t>C-1578a</t>
  </si>
  <si>
    <t>C-1699a</t>
  </si>
  <si>
    <t>gl, grt, cpx, coe, phen, ky, ap, rt, mon</t>
  </si>
  <si>
    <t>C-1867a</t>
  </si>
  <si>
    <t>gl, grt, cpx, coe, phen, ky, rt, ap, mon</t>
  </si>
  <si>
    <t>C-1868a</t>
  </si>
  <si>
    <t>gl, grt, coe, ky, rt, ap</t>
  </si>
  <si>
    <t>C3284</t>
  </si>
  <si>
    <t>gl, qtz, phen, amph, grt, ky, ap</t>
  </si>
  <si>
    <t>C3270</t>
  </si>
  <si>
    <t>C3283</t>
  </si>
  <si>
    <t>gl, qtz, phen, amph, grt, ky, bt, ap</t>
  </si>
  <si>
    <t>C3269</t>
  </si>
  <si>
    <t>gl, grt, qtz, phen, ap</t>
  </si>
  <si>
    <t>C3294</t>
  </si>
  <si>
    <t>gl, coe, phen, grt, cpx, ky, ap</t>
  </si>
  <si>
    <t>C3295</t>
  </si>
  <si>
    <t>C3339</t>
  </si>
  <si>
    <t>C3327</t>
  </si>
  <si>
    <t>UHPPC143</t>
  </si>
  <si>
    <t>C3922</t>
  </si>
  <si>
    <t>gl, qtz, grt, phen, ap</t>
  </si>
  <si>
    <t>C3953</t>
  </si>
  <si>
    <t>gl, coes, grt, phen, cpx, ky, ap</t>
  </si>
  <si>
    <t>D1231</t>
  </si>
  <si>
    <t>gl, coes, grt, ky, ap</t>
  </si>
  <si>
    <t>C3951</t>
  </si>
  <si>
    <t>D1218</t>
  </si>
  <si>
    <t>gl, qtz, grt, phen, ky, ap</t>
  </si>
  <si>
    <t>UHPPC162</t>
  </si>
  <si>
    <t>gl, grt, coes, phen, cpx, ky, ap</t>
  </si>
  <si>
    <t>C3927</t>
  </si>
  <si>
    <t>C3955</t>
  </si>
  <si>
    <t>gl, qtz, grt, phen, bt, ky, ap</t>
  </si>
  <si>
    <t>D1222</t>
  </si>
  <si>
    <t>C4049</t>
  </si>
  <si>
    <t>C4059</t>
  </si>
  <si>
    <t>C4058</t>
  </si>
  <si>
    <t>gl, qtz, grt, phen, bt, ap</t>
  </si>
  <si>
    <t>R171</t>
  </si>
  <si>
    <t>gl, grt, hb, cpx, pl, ilm, tit, ap, zr</t>
  </si>
  <si>
    <t>by difference in text</t>
  </si>
  <si>
    <t>R169</t>
  </si>
  <si>
    <t>gl, grt, hb, cpx, ilm, tit, ap</t>
  </si>
  <si>
    <t>R176</t>
  </si>
  <si>
    <t>R2068</t>
  </si>
  <si>
    <t>gl, grt, hbld, cpx, rt, ap</t>
  </si>
  <si>
    <t>Pagosa Peak Dacide (FCT)</t>
  </si>
  <si>
    <t>natural</t>
  </si>
  <si>
    <t>FCT-O</t>
  </si>
  <si>
    <t>FCT-I</t>
  </si>
  <si>
    <t>Peach Springs HSR</t>
  </si>
  <si>
    <t>Wolverine Creek Tuff</t>
  </si>
  <si>
    <t>MFT</t>
  </si>
  <si>
    <t>Bishop-F5</t>
  </si>
  <si>
    <t>Bishop-F7</t>
  </si>
  <si>
    <t>Bishop-F9</t>
  </si>
  <si>
    <t>Bishopo-Ig1Ea</t>
  </si>
  <si>
    <t>Bishop-Ig2Ea</t>
  </si>
  <si>
    <t>Vander Auwera et al., 1998</t>
  </si>
  <si>
    <t>Dann et al., 2001</t>
  </si>
  <si>
    <t>Sisson et al., 2005</t>
  </si>
  <si>
    <t>Sisson and Grove, 1993</t>
  </si>
  <si>
    <t>Webster et al., 2009</t>
  </si>
  <si>
    <t>Nandedkar et al., 2014</t>
  </si>
  <si>
    <t>Marxer et al., 2023</t>
  </si>
  <si>
    <t>Marxer et al., 2021</t>
  </si>
  <si>
    <t>Ulmer et al., 2018</t>
  </si>
  <si>
    <t>Blatter et al., 2017</t>
  </si>
  <si>
    <t>Wolf &amp; London, 1994</t>
  </si>
  <si>
    <t>Pichavant et al., 1992</t>
  </si>
  <si>
    <t>Watson &amp; Green, 1981</t>
  </si>
  <si>
    <t>Kawamoto, 1996</t>
  </si>
  <si>
    <t>Mandler et al., 2014</t>
  </si>
  <si>
    <t>Whitaker et al., 2008</t>
  </si>
  <si>
    <t>Grove et al., 1997</t>
  </si>
  <si>
    <t>Doherty et al., 2014</t>
  </si>
  <si>
    <t>Blatter et al., 2023</t>
  </si>
  <si>
    <t>Green &amp; Adam 2002</t>
  </si>
  <si>
    <t>Parat &amp; Holtz, 2004</t>
  </si>
  <si>
    <t>Parat &amp; Holtz, 2005</t>
  </si>
  <si>
    <t>Wang et al., 2024</t>
  </si>
  <si>
    <t>Stechern et al., 2024</t>
  </si>
  <si>
    <t>Riker et al., 2015</t>
  </si>
  <si>
    <t>Koepke et al., 2018</t>
  </si>
  <si>
    <t>Sisson &amp; Kelemen, 2018</t>
  </si>
  <si>
    <t>Mutch et al., 2016</t>
  </si>
  <si>
    <t>Nekvasil et al., 2004</t>
  </si>
  <si>
    <t>Nekvasil et al., 2009</t>
  </si>
  <si>
    <t>Ji &amp; Dygert, 2024</t>
  </si>
  <si>
    <t>Prowatke &amp; Klemme, 2006</t>
  </si>
  <si>
    <t>McCubbin et al., 2015</t>
  </si>
  <si>
    <t>Pichavant, 2022</t>
  </si>
  <si>
    <t>Erdmann &amp; Koepke, 2016a</t>
  </si>
  <si>
    <t>Erdmann &amp; Koepke, 2016b</t>
  </si>
  <si>
    <t>Tollari et al., 2008</t>
  </si>
  <si>
    <t>Pilet et al., 2010</t>
  </si>
  <si>
    <t>Mathez &amp; Webster, 2005</t>
  </si>
  <si>
    <t>Foley et al., 2025</t>
  </si>
  <si>
    <t>Marxer &amp; Ulmer, 2019</t>
  </si>
  <si>
    <t>Erdmann et al., 2015</t>
  </si>
  <si>
    <t>Mahood &amp; Baker, 1986</t>
  </si>
  <si>
    <t>Helz, 1976</t>
  </si>
  <si>
    <t>Minitti &amp; Rutherford, 2000</t>
  </si>
  <si>
    <t>Iveson et al., 2017</t>
  </si>
  <si>
    <t>Scoates et al., 2006</t>
  </si>
  <si>
    <t>Xiong et al., 2005</t>
  </si>
  <si>
    <t>France et al., 2010</t>
  </si>
  <si>
    <t>First et al., 2021</t>
  </si>
  <si>
    <t>Chang &amp; Audetat, 2023</t>
  </si>
  <si>
    <t>Pineda et al., 2021</t>
  </si>
  <si>
    <t>Xiong et al., 2009</t>
  </si>
  <si>
    <t>Andújar et al., 2016</t>
  </si>
  <si>
    <t>Weber &amp; Castro, 2017</t>
  </si>
  <si>
    <t>Castro et al., 2013</t>
  </si>
  <si>
    <t>Sauvalle et al., 2024</t>
  </si>
  <si>
    <t>Andújar et al., 2022</t>
  </si>
  <si>
    <t>Andújar et al., 2025</t>
  </si>
  <si>
    <t>Moussallam et al., 2013</t>
  </si>
  <si>
    <t>Frascerra et al., 2024</t>
  </si>
  <si>
    <t>Iacovino et al., 2016</t>
  </si>
  <si>
    <t>Singletary &amp; Grove, 2008</t>
  </si>
  <si>
    <t>Parat et al., 2008</t>
  </si>
  <si>
    <t>McCubbin &amp; Ustunisik, 2018</t>
  </si>
  <si>
    <t>Rondet et al., 2019</t>
  </si>
  <si>
    <t>Bogaerts et al., 2006</t>
  </si>
  <si>
    <t>Watson, 1980</t>
  </si>
  <si>
    <t>Wolff et al., 2013</t>
  </si>
  <si>
    <t>Holtz &amp; Johannes, 1991</t>
  </si>
  <si>
    <t>Foley et al., 2022</t>
  </si>
  <si>
    <t>Vukadinovic &amp; Edgar, 1993</t>
  </si>
  <si>
    <t>Lloyd et al., 1985</t>
  </si>
  <si>
    <t>Qian &amp; Hermann, 2013</t>
  </si>
  <si>
    <t>Hermann &amp; Spandler, 2008</t>
  </si>
  <si>
    <t>Li &amp; Hermann, 2015</t>
  </si>
  <si>
    <t>Li &amp; Hermann, 2017</t>
  </si>
  <si>
    <t>Wang et al., 2019</t>
  </si>
  <si>
    <t>Bachmann et al., 2002</t>
  </si>
  <si>
    <t>Foley et al., 2020</t>
  </si>
  <si>
    <t>Szymanowski et al., 2015</t>
  </si>
  <si>
    <t>Neukampf et al., 2019</t>
  </si>
  <si>
    <t>Gualda et al., 2022</t>
  </si>
  <si>
    <t>Experiment Notes</t>
  </si>
  <si>
    <t>exclusion reason</t>
  </si>
  <si>
    <t>CaO/P2O5 ratio</t>
  </si>
  <si>
    <t>low SiO2</t>
  </si>
  <si>
    <t>sat (S bearing)</t>
  </si>
  <si>
    <t>difference in text</t>
  </si>
  <si>
    <t>mass balance (undersaturated according to magmasat)</t>
  </si>
  <si>
    <t>mass balance(?) in text</t>
  </si>
  <si>
    <t>magmasat (does not account for mixed fluid comp.)</t>
  </si>
  <si>
    <t>mass balance (assuming pure fluoroapatite)</t>
  </si>
  <si>
    <t>difference (used in text, not calibrated)</t>
  </si>
  <si>
    <t>difference (very uncertain, not calibrated)</t>
  </si>
  <si>
    <t>halogen partitioning</t>
  </si>
  <si>
    <t>TE partitioning</t>
  </si>
  <si>
    <t>eq xtal (excess P2O5)</t>
  </si>
  <si>
    <t>REE partitioning</t>
  </si>
  <si>
    <t>mass balance(?)</t>
  </si>
  <si>
    <t>Excluded publication</t>
  </si>
  <si>
    <t>Outlier experiment</t>
  </si>
  <si>
    <t>high K2O, CaO/P2O5 ratio</t>
  </si>
  <si>
    <t>high Pressure, CaO/P2O5 ratio</t>
  </si>
  <si>
    <t>high Pressure, high K2O, CaO/P2O5 ratio</t>
  </si>
  <si>
    <t>high Pressure</t>
  </si>
  <si>
    <t>Skeletal apatite reported</t>
  </si>
  <si>
    <t>Excluded publication, high P2O5 uncertainty</t>
  </si>
  <si>
    <t>high Temperature, high Na2O, CaO/P2O5 ratio</t>
  </si>
  <si>
    <t>high Temperature</t>
  </si>
  <si>
    <t>high Temperature, low SiO2</t>
  </si>
  <si>
    <t>high Temperature, high Na2O</t>
  </si>
  <si>
    <t>low Temperature, CaO/P2O5 ratio</t>
  </si>
  <si>
    <t>high P2O5 uncertainty</t>
  </si>
  <si>
    <t>high P2O5 uncertainty, CaO/P2O5 ratio</t>
  </si>
  <si>
    <t>low SiO2, high Na2O</t>
  </si>
  <si>
    <t>high Na2O</t>
  </si>
  <si>
    <t>low SiO2, high P2O5 uncertainty</t>
  </si>
  <si>
    <t>high Temperature, low SiO2, high P2O5 uncertainty</t>
  </si>
  <si>
    <t>Large uncertainties in glass composition discussed in text</t>
  </si>
  <si>
    <t>Apatite systematics unclear</t>
  </si>
  <si>
    <t>low SiO2, CaO/P2O5 ratio</t>
  </si>
  <si>
    <t>low SiO2, high P2O5 uncertainty, CaO/P2O5 ratio</t>
  </si>
  <si>
    <t>high Temperature, low SiO2, CaO/P2O5 ratio</t>
  </si>
  <si>
    <t>high Temperature, CaO/P2O5 ratio</t>
  </si>
  <si>
    <t>high Temperature, high Pressure</t>
  </si>
  <si>
    <t>high Temperature, high Pressure, low SiO2, CaO/P2O5 ratio</t>
  </si>
  <si>
    <t>high Temperature, low SiO2, high K2O, CaO/P2O5 ratio</t>
  </si>
  <si>
    <t>high Temperature, high Pressure, low SiO2</t>
  </si>
  <si>
    <t>eq xtal (but with excess P2O5)</t>
  </si>
  <si>
    <t>eq xtal (slight P excess)</t>
  </si>
  <si>
    <t>sulfur partitioning</t>
  </si>
  <si>
    <t>presence of apatite described in the text</t>
  </si>
  <si>
    <t>experiments run for 17-24 hrs</t>
  </si>
  <si>
    <t>presence of apatite inferred from Fig. 2</t>
  </si>
  <si>
    <t>presence of apatite inferred in text from drop in P2O5</t>
  </si>
  <si>
    <t>new LA-ICP-MS P2O5 analysis, see Supplementary Table 2</t>
  </si>
  <si>
    <t>run durations not described in text, assumed similar to durations in Nekvasil et al., 2009</t>
  </si>
  <si>
    <t>run durations described in text as minimum of 3 days</t>
  </si>
  <si>
    <t>gl, cpx, mt, po (ap)</t>
  </si>
  <si>
    <t>ap not reported in these experiments, but speculated in the text that it should be stable based on phase relations and low P contents</t>
  </si>
  <si>
    <t>apatite stability inferred from coherent decrease in P2O5 in these two experiments</t>
  </si>
  <si>
    <t>melt fraction is reported as melt + fluid</t>
  </si>
  <si>
    <t>apatite stability inferred from decrease in P2O5 content</t>
  </si>
  <si>
    <t>experiments were run for 2-3 days, assuming 2.5 days here</t>
  </si>
  <si>
    <t>I exclude the experiments with isolated ap grains, as these were strongly zoned in the liquid afterwards</t>
  </si>
  <si>
    <t>P2O5 recalculated including b.d.l. measurements in average</t>
  </si>
  <si>
    <t>P2O5 recalculated excluding one outlier analysis</t>
  </si>
  <si>
    <t>apatite stability described in supplement</t>
  </si>
  <si>
    <t>presence of apatite described in text</t>
  </si>
  <si>
    <t>liquid immiscibility, this is the average melt composition given in supplement</t>
  </si>
  <si>
    <t>apatite stability inferred</t>
  </si>
  <si>
    <t>two phosphates stable</t>
  </si>
  <si>
    <t>experimental numbers for this publication are just the order they are listed in the publication</t>
  </si>
  <si>
    <t>P2O5 value from Li and Hermann 2017 (LA-ICP-MS)</t>
  </si>
  <si>
    <t>fO2</t>
  </si>
  <si>
    <t>Tollari06</t>
  </si>
  <si>
    <t>6-sc4-b5</t>
  </si>
  <si>
    <t>xtal, excess P (whitlockite!!)</t>
  </si>
  <si>
    <t>QFM-1.51</t>
  </si>
  <si>
    <t>Wht, Gl, Pl, Ilm, Cpx</t>
  </si>
  <si>
    <t>6-sc4-b10</t>
  </si>
  <si>
    <t>Wht, Gl, Pl, Mt, Ilm, Qtz, LoCaPx</t>
  </si>
  <si>
    <t>6-sc4-85</t>
  </si>
  <si>
    <t>Wht, Gl, Pl, Ilm, Psd, Cpx</t>
  </si>
  <si>
    <t>6-sc4-810</t>
  </si>
  <si>
    <t>Wht, Gl, Pl, Mt, Psd, Qtz, LoCaPx</t>
  </si>
  <si>
    <t>7-sc4-b5</t>
  </si>
  <si>
    <t>QFM-0.57</t>
  </si>
  <si>
    <t>7-sc4-b10</t>
  </si>
  <si>
    <t>Wht, Gl, Pl, Mt, Ilm, Qtz, Cpx</t>
  </si>
  <si>
    <t>7-sc4-85</t>
  </si>
  <si>
    <t>7-sc4-810</t>
  </si>
  <si>
    <t>Wht, Gl, Pl, Mt, Ilm, Qtz, LoCaPx, Stan</t>
  </si>
  <si>
    <t>2-sc4-b5</t>
  </si>
  <si>
    <t>QFM-0.51</t>
  </si>
  <si>
    <t>Wht,Gl</t>
  </si>
  <si>
    <t>2-sc4-b10</t>
  </si>
  <si>
    <t>Wht, Gl, Mt, Ilm, Qtz</t>
  </si>
  <si>
    <t>2-sc4-85</t>
  </si>
  <si>
    <t>2-sc4-810</t>
  </si>
  <si>
    <t>Wht, Gl, Pl, Mt, Ilm</t>
  </si>
  <si>
    <t>3-sc4-b5</t>
  </si>
  <si>
    <t>QFM-0.47</t>
  </si>
  <si>
    <t>Wht, Gl, Pl</t>
  </si>
  <si>
    <t>3-sc4-b10</t>
  </si>
  <si>
    <t>Wht, Gl, Pl, Mt, Qtz</t>
  </si>
  <si>
    <t>3-sc4-85</t>
  </si>
  <si>
    <t>Wht, Gl, Pl, Psd, Cpx</t>
  </si>
  <si>
    <t>3-sc4-810</t>
  </si>
  <si>
    <t>Wht, Gl, Pl, Mt, Ilm, Qtz</t>
  </si>
  <si>
    <t>4-sc4-b5</t>
  </si>
  <si>
    <t>QFM+0.54</t>
  </si>
  <si>
    <t>4-sc4-bl0</t>
  </si>
  <si>
    <t>4-sc4-85</t>
  </si>
  <si>
    <t>Wht, Gl, Pl, Ilm, Qtz, Cpx</t>
  </si>
  <si>
    <t>4-sc4-810</t>
  </si>
  <si>
    <t>Wht, Gl, Pl, Mt, Ilm, Cpx, Stan</t>
  </si>
  <si>
    <t>5-sc4-b5</t>
  </si>
  <si>
    <t>QFM+1.58</t>
  </si>
  <si>
    <t>5-sc4-b10</t>
  </si>
  <si>
    <t>Wht, Gl, Pl, Mt, Ilm, Qtz, Cpx, Stan</t>
  </si>
  <si>
    <t>5-sc4-85</t>
  </si>
  <si>
    <t>Wht, Gl, Pl, Mt, Psd, Qtz, Cpx</t>
  </si>
  <si>
    <t>5-sc4-810</t>
  </si>
  <si>
    <t>8-sc4-b5</t>
  </si>
  <si>
    <t>QFM+5.34</t>
  </si>
  <si>
    <t>Sha00</t>
  </si>
  <si>
    <t>N1-GL12</t>
  </si>
  <si>
    <t>excess P (either whitlockite or apatite)</t>
  </si>
  <si>
    <t>N2-GL12</t>
  </si>
  <si>
    <t>N3-GL12</t>
  </si>
  <si>
    <t>N4-GL12</t>
  </si>
  <si>
    <t>N5-GL12</t>
  </si>
  <si>
    <t>N6-GL12</t>
  </si>
  <si>
    <t>N7-GL12</t>
  </si>
  <si>
    <t>N8-GL12</t>
  </si>
  <si>
    <t>N9-GL12</t>
  </si>
  <si>
    <t>N10-GL12</t>
  </si>
  <si>
    <t>N11-GL12</t>
  </si>
  <si>
    <t>18274-GL1</t>
  </si>
  <si>
    <t>18281-GL1</t>
  </si>
  <si>
    <t>18181-GL1</t>
  </si>
  <si>
    <t>18182-GL1</t>
  </si>
  <si>
    <t>16506-GL1</t>
  </si>
  <si>
    <t>18234-GL1</t>
  </si>
  <si>
    <t>18045-GL1</t>
  </si>
  <si>
    <t>18244-GL1</t>
  </si>
  <si>
    <t>N1-GL13</t>
  </si>
  <si>
    <t>N2-GL13</t>
  </si>
  <si>
    <t>N3-GL13</t>
  </si>
  <si>
    <t>N4-GL13</t>
  </si>
  <si>
    <t>N5-GL13</t>
  </si>
  <si>
    <t>N6-GL13</t>
  </si>
  <si>
    <t>N7-GL13</t>
  </si>
  <si>
    <t>N8-GL13</t>
  </si>
  <si>
    <t>N9-GL13</t>
  </si>
  <si>
    <t>N10-GL13</t>
  </si>
  <si>
    <t>N11-GL13</t>
  </si>
  <si>
    <t>TI2-GL1B</t>
  </si>
  <si>
    <t>TI4-GL1</t>
  </si>
  <si>
    <t>TI6GL1A</t>
  </si>
  <si>
    <t>TI8-GL1</t>
  </si>
  <si>
    <t>TI10-GL1</t>
  </si>
  <si>
    <t>TI12-GL1B</t>
  </si>
  <si>
    <t>16506-GL5</t>
  </si>
  <si>
    <t>18234-GL4</t>
  </si>
  <si>
    <t>19981-GL1</t>
  </si>
  <si>
    <t>18104-GL1</t>
  </si>
  <si>
    <t>6735-GL1</t>
  </si>
  <si>
    <t>McCubbin2015</t>
  </si>
  <si>
    <t>Q1.022</t>
  </si>
  <si>
    <t>excess P (halogen partitioning)</t>
  </si>
  <si>
    <t>gl, merillite, px, qtz, pl, ilm</t>
  </si>
  <si>
    <t>VanderAuwera1998</t>
  </si>
  <si>
    <t>VB-6</t>
  </si>
  <si>
    <t>FMQ</t>
  </si>
  <si>
    <t>gl, pl, ol, il, uvsp, phosph</t>
  </si>
  <si>
    <t>VB-16</t>
  </si>
  <si>
    <t>NNO</t>
  </si>
  <si>
    <t>gl, pl, pig, aug, uvsp, phosph</t>
  </si>
  <si>
    <t>VB-17</t>
  </si>
  <si>
    <t>dry?</t>
  </si>
  <si>
    <t>RappDraper18</t>
  </si>
  <si>
    <t>L-GM25</t>
  </si>
  <si>
    <t>Toplis1994</t>
  </si>
  <si>
    <t>Fe-124</t>
  </si>
  <si>
    <t>QFM+1.87</t>
  </si>
  <si>
    <t>gl, pl, cpx, mt, psb, ilm, wht</t>
  </si>
  <si>
    <t>Fe-125</t>
  </si>
  <si>
    <t>pl, ol, pig, cpx, qtz, ilm, merrillite</t>
  </si>
  <si>
    <t>gl, pl, cpx, mt, psb, ilm, pig, wht</t>
  </si>
  <si>
    <t>Clarke et al., 2023</t>
  </si>
  <si>
    <t>AA-9</t>
  </si>
  <si>
    <t>AA-12</t>
  </si>
  <si>
    <t>apatite saturation</t>
  </si>
  <si>
    <t>~4</t>
  </si>
  <si>
    <t>~8</t>
  </si>
  <si>
    <t>high Temperature, expected P2O5 loss to fluid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</si>
</sst>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2">
    <font>
      <sz val="12"/>
      <color theme="1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0"/>
      <color rgb="FF000000"/>
      <name val="Tahoma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b/>
      <sz val="10"/>
      <color rgb="FF000000"/>
      <name val="Tahoma"/>
      <family val="2"/>
    </font>
    <font>
      <b/>
      <sz val="12"/>
      <color theme="1"/>
      <name val="Aptos Narrow"/>
      <scheme val="minor"/>
    </font>
    <font>
      <sz val="12"/>
      <name val="Aptos Narrow"/>
      <scheme val="minor"/>
    </font>
    <font>
      <sz val="12"/>
      <color rgb="FFFF0000"/>
      <name val="Aptos Narrow"/>
      <scheme val="minor"/>
    </font>
    <font>
      <sz val="11"/>
      <color theme="1"/>
      <name val="Aptos Narrow"/>
      <scheme val="minor"/>
    </font>
    <font>
      <sz val="12"/>
      <color rgb="FF000000"/>
      <name val="Aptos Narrow"/>
      <scheme val="minor"/>
    </font>
    <font>
      <sz val="11"/>
      <name val="Aptos Narrow"/>
      <scheme val="minor"/>
    </font>
    <font>
      <sz val="12"/>
      <color indexed="8"/>
      <name val="Aptos Narrow"/>
      <scheme val="minor"/>
    </font>
    <font>
      <sz val="8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color rgb="FF000000"/>
      <name val="Aptos Narrow"/>
    </font>
    <font>
      <sz val="10"/>
      <color rgb="FF000000"/>
      <name val="Aptos Narrow"/>
      <scheme val="minor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0" borderId="0"/>
    <xf numFmtId="0" fontId="5" fillId="0" borderId="0"/>
  </cellStyleXfs>
  <cellXfs count="55">
    <xf numFmtId="0" fontId="0" fillId="0" borderId="0" xfId="0"/>
    <xf numFmtId="0" fontId="3" fillId="0" borderId="0" xfId="0" applyFont="1" applyAlignment="1">
      <alignment horizontal="left" vertical="center" readingOrder="1"/>
    </xf>
    <xf numFmtId="0" fontId="9" fillId="0" borderId="0" xfId="0" applyFont="1"/>
    <xf numFmtId="2" fontId="9" fillId="0" borderId="0" xfId="0" applyNumberFormat="1" applyFont="1"/>
    <xf numFmtId="0" fontId="9" fillId="0" borderId="0" xfId="0" applyFont="1" applyAlignment="1">
      <alignment horizontal="left"/>
    </xf>
    <xf numFmtId="2" fontId="9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2" fontId="7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11" fontId="6" fillId="0" borderId="0" xfId="0" applyNumberFormat="1" applyFont="1" applyAlignment="1">
      <alignment horizontal="left"/>
    </xf>
    <xf numFmtId="2" fontId="6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/>
    </xf>
    <xf numFmtId="0" fontId="10" fillId="0" borderId="0" xfId="0" applyFont="1" applyAlignment="1">
      <alignment horizontal="left" vertical="center"/>
    </xf>
    <xf numFmtId="2" fontId="10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165" fontId="10" fillId="0" borderId="0" xfId="0" applyNumberFormat="1" applyFont="1" applyAlignment="1">
      <alignment horizontal="left" vertical="center"/>
    </xf>
    <xf numFmtId="0" fontId="6" fillId="0" borderId="0" xfId="2" applyFont="1" applyFill="1" applyAlignment="1">
      <alignment horizontal="left"/>
    </xf>
    <xf numFmtId="1" fontId="6" fillId="0" borderId="0" xfId="2" applyNumberFormat="1" applyFont="1" applyFill="1" applyAlignment="1">
      <alignment horizontal="left"/>
    </xf>
    <xf numFmtId="11" fontId="6" fillId="0" borderId="0" xfId="2" applyNumberFormat="1" applyFont="1" applyFill="1" applyAlignment="1">
      <alignment horizontal="left"/>
    </xf>
    <xf numFmtId="2" fontId="6" fillId="0" borderId="0" xfId="2" applyNumberFormat="1" applyFont="1" applyFill="1" applyAlignment="1">
      <alignment horizontal="left"/>
    </xf>
    <xf numFmtId="0" fontId="11" fillId="0" borderId="0" xfId="0" applyFont="1" applyAlignment="1">
      <alignment horizontal="left"/>
    </xf>
    <xf numFmtId="2" fontId="12" fillId="0" borderId="0" xfId="0" applyNumberFormat="1" applyFont="1" applyAlignment="1">
      <alignment horizontal="left"/>
    </xf>
    <xf numFmtId="2" fontId="12" fillId="0" borderId="0" xfId="0" applyNumberFormat="1" applyFont="1" applyAlignment="1">
      <alignment horizontal="left" vertical="center"/>
    </xf>
    <xf numFmtId="14" fontId="6" fillId="0" borderId="0" xfId="0" quotePrefix="1" applyNumberFormat="1" applyFont="1" applyAlignment="1">
      <alignment horizontal="left"/>
    </xf>
    <xf numFmtId="0" fontId="13" fillId="0" borderId="0" xfId="0" applyFont="1" applyAlignment="1">
      <alignment horizontal="left"/>
    </xf>
    <xf numFmtId="3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/>
    </xf>
    <xf numFmtId="0" fontId="14" fillId="0" borderId="0" xfId="0" applyFont="1" applyAlignment="1">
      <alignment horizontal="left"/>
    </xf>
    <xf numFmtId="4" fontId="6" fillId="0" borderId="0" xfId="0" applyNumberFormat="1" applyFont="1" applyAlignment="1">
      <alignment horizontal="left"/>
    </xf>
    <xf numFmtId="9" fontId="6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left"/>
    </xf>
    <xf numFmtId="1" fontId="10" fillId="0" borderId="0" xfId="0" applyNumberFormat="1" applyFont="1" applyAlignment="1">
      <alignment horizontal="left"/>
    </xf>
    <xf numFmtId="11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0" xfId="4" applyFont="1" applyAlignment="1">
      <alignment horizontal="left"/>
    </xf>
    <xf numFmtId="16" fontId="10" fillId="0" borderId="0" xfId="4" quotePrefix="1" applyNumberFormat="1" applyFont="1" applyAlignment="1">
      <alignment horizontal="left"/>
    </xf>
    <xf numFmtId="0" fontId="10" fillId="0" borderId="0" xfId="4" quotePrefix="1" applyFont="1" applyAlignment="1">
      <alignment horizontal="left"/>
    </xf>
    <xf numFmtId="2" fontId="15" fillId="0" borderId="0" xfId="3" applyNumberFormat="1" applyFont="1" applyAlignment="1">
      <alignment horizontal="left"/>
    </xf>
    <xf numFmtId="164" fontId="15" fillId="0" borderId="0" xfId="3" applyNumberFormat="1" applyFont="1" applyAlignment="1">
      <alignment horizontal="left"/>
    </xf>
    <xf numFmtId="2" fontId="10" fillId="0" borderId="0" xfId="4" applyNumberFormat="1" applyFont="1" applyAlignment="1">
      <alignment horizontal="left"/>
    </xf>
    <xf numFmtId="2" fontId="10" fillId="0" borderId="0" xfId="1" applyNumberFormat="1" applyFont="1" applyFill="1" applyBorder="1" applyAlignment="1">
      <alignment horizontal="left"/>
    </xf>
    <xf numFmtId="1" fontId="13" fillId="0" borderId="0" xfId="0" applyNumberFormat="1" applyFont="1" applyAlignment="1">
      <alignment horizontal="left"/>
    </xf>
    <xf numFmtId="11" fontId="13" fillId="0" borderId="0" xfId="0" applyNumberFormat="1" applyFont="1" applyAlignment="1">
      <alignment horizontal="left"/>
    </xf>
    <xf numFmtId="2" fontId="13" fillId="0" borderId="0" xfId="0" applyNumberFormat="1" applyFont="1" applyAlignment="1">
      <alignment horizontal="left" vertical="center"/>
    </xf>
    <xf numFmtId="2" fontId="0" fillId="0" borderId="0" xfId="0" applyNumberFormat="1"/>
    <xf numFmtId="0" fontId="17" fillId="0" borderId="0" xfId="0" applyFont="1"/>
    <xf numFmtId="11" fontId="0" fillId="0" borderId="0" xfId="0" applyNumberFormat="1"/>
    <xf numFmtId="0" fontId="18" fillId="0" borderId="0" xfId="0" applyFont="1"/>
    <xf numFmtId="11" fontId="17" fillId="0" borderId="0" xfId="0" applyNumberFormat="1" applyFont="1"/>
    <xf numFmtId="2" fontId="17" fillId="0" borderId="0" xfId="0" applyNumberFormat="1" applyFont="1"/>
    <xf numFmtId="2" fontId="21" fillId="0" borderId="2" xfId="3" applyNumberFormat="1" applyFont="1" applyBorder="1" applyAlignment="1">
      <alignment horizontal="center"/>
    </xf>
    <xf numFmtId="2" fontId="21" fillId="0" borderId="0" xfId="3" applyNumberFormat="1" applyFont="1" applyAlignment="1">
      <alignment horizontal="center"/>
    </xf>
    <xf numFmtId="11" fontId="0" fillId="0" borderId="0" xfId="0" applyNumberFormat="1" applyAlignment="1">
      <alignment horizontal="left"/>
    </xf>
  </cellXfs>
  <cellStyles count="5">
    <cellStyle name="Bad" xfId="1" builtinId="27"/>
    <cellStyle name="Neutral" xfId="2" builtinId="28"/>
    <cellStyle name="Normal" xfId="0" builtinId="0"/>
    <cellStyle name="Normal 2" xfId="4" xr:uid="{BE5FEC00-004E-C44C-A401-D430B20800B5}"/>
    <cellStyle name="Normal 3" xfId="3" xr:uid="{9E706D83-8F5E-B044-AF04-553C3C6897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52F2-483E-024E-A828-22186B90F2BB}">
  <dimension ref="A1:AH479"/>
  <sheetViews>
    <sheetView tabSelected="1" workbookViewId="0">
      <pane xSplit="2" ySplit="1" topLeftCell="S469" activePane="bottomRight" state="frozen"/>
      <selection pane="topRight" activeCell="E1" sqref="E1"/>
      <selection pane="bottomLeft" activeCell="A2" sqref="A2"/>
      <selection pane="bottomRight" activeCell="G8" sqref="G8"/>
    </sheetView>
  </sheetViews>
  <sheetFormatPr baseColWidth="10" defaultRowHeight="16"/>
  <cols>
    <col min="1" max="1" width="22" style="6" bestFit="1" customWidth="1"/>
    <col min="2" max="2" width="14.5" style="6" customWidth="1"/>
    <col min="3" max="3" width="11.6640625" style="6" customWidth="1"/>
    <col min="4" max="7" width="11" style="6" bestFit="1" customWidth="1"/>
    <col min="8" max="8" width="10.5" style="10" customWidth="1"/>
    <col min="9" max="9" width="46.83203125" style="6" bestFit="1" customWidth="1"/>
    <col min="10" max="10" width="30.6640625" style="6" customWidth="1"/>
    <col min="11" max="11" width="10.83203125" style="6"/>
    <col min="12" max="18" width="11" style="6" bestFit="1" customWidth="1"/>
    <col min="19" max="19" width="10.83203125" style="6"/>
    <col min="20" max="28" width="11" style="6" bestFit="1" customWidth="1"/>
    <col min="29" max="16384" width="10.83203125" style="6"/>
  </cols>
  <sheetData>
    <row r="1" spans="1:32" s="4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F1" s="4" t="s">
        <v>1114</v>
      </c>
    </row>
    <row r="2" spans="1:32">
      <c r="A2" s="8" t="s">
        <v>1084</v>
      </c>
      <c r="B2" s="6" t="s">
        <v>695</v>
      </c>
      <c r="C2" s="8" t="s">
        <v>645</v>
      </c>
      <c r="D2" s="6">
        <v>925</v>
      </c>
      <c r="E2" s="6">
        <v>2</v>
      </c>
      <c r="F2" s="6">
        <f>51*3600</f>
        <v>183600</v>
      </c>
      <c r="G2" s="9">
        <v>1.9549928676947054E-13</v>
      </c>
      <c r="H2" s="10">
        <f t="shared" ref="H2:H65" si="0">2*SQRT(G2*F2)*1000</f>
        <v>0.3789124914851702</v>
      </c>
      <c r="I2" s="6" t="s">
        <v>41</v>
      </c>
      <c r="J2" s="6" t="s">
        <v>696</v>
      </c>
      <c r="K2" s="6">
        <v>71.3</v>
      </c>
      <c r="L2" s="6">
        <v>1</v>
      </c>
      <c r="M2" s="6">
        <v>1</v>
      </c>
      <c r="N2" s="6">
        <v>1</v>
      </c>
      <c r="O2" s="6">
        <v>1</v>
      </c>
      <c r="P2" s="6">
        <v>66.540000000000006</v>
      </c>
      <c r="Q2" s="6">
        <v>0.63</v>
      </c>
      <c r="R2" s="6">
        <v>16.41</v>
      </c>
      <c r="T2" s="6">
        <v>3.88</v>
      </c>
      <c r="U2" s="6">
        <v>7.0000000000000007E-2</v>
      </c>
      <c r="V2" s="6">
        <v>1.0900000000000001</v>
      </c>
      <c r="W2" s="6">
        <v>4.4000000000000004</v>
      </c>
      <c r="X2" s="6">
        <v>5.08</v>
      </c>
      <c r="Y2" s="6">
        <v>1.7</v>
      </c>
      <c r="Z2" s="6">
        <v>0.19</v>
      </c>
      <c r="AA2" s="6">
        <v>0.05</v>
      </c>
      <c r="AB2" s="6">
        <v>94.8</v>
      </c>
      <c r="AC2" s="6">
        <v>6.54</v>
      </c>
      <c r="AD2" s="6" t="s">
        <v>831</v>
      </c>
    </row>
    <row r="3" spans="1:32">
      <c r="A3" s="8" t="s">
        <v>1088</v>
      </c>
      <c r="B3" s="6" t="s">
        <v>762</v>
      </c>
      <c r="C3" s="8" t="s">
        <v>645</v>
      </c>
      <c r="D3" s="6">
        <v>950</v>
      </c>
      <c r="E3" s="6">
        <v>4</v>
      </c>
      <c r="F3" s="11">
        <f>73*3600</f>
        <v>262800</v>
      </c>
      <c r="G3" s="9">
        <v>2.6432360916877484E-13</v>
      </c>
      <c r="H3" s="10">
        <f t="shared" si="0"/>
        <v>0.52712140722817935</v>
      </c>
      <c r="I3" s="6" t="s">
        <v>41</v>
      </c>
      <c r="J3" s="6" t="s">
        <v>763</v>
      </c>
      <c r="K3" s="6">
        <v>70.099999999999994</v>
      </c>
      <c r="L3" s="6">
        <v>1</v>
      </c>
      <c r="M3" s="6">
        <v>1</v>
      </c>
      <c r="N3" s="6">
        <v>1</v>
      </c>
      <c r="O3" s="6">
        <v>1</v>
      </c>
      <c r="P3" s="6">
        <v>58.57</v>
      </c>
      <c r="Q3" s="6">
        <v>0.99</v>
      </c>
      <c r="R3" s="6">
        <v>18.37</v>
      </c>
      <c r="T3" s="6">
        <v>6.83</v>
      </c>
      <c r="U3" s="6">
        <v>0.17</v>
      </c>
      <c r="V3" s="6">
        <v>1.61</v>
      </c>
      <c r="W3" s="6">
        <v>4.33</v>
      </c>
      <c r="X3" s="6">
        <v>5.98</v>
      </c>
      <c r="Y3" s="6">
        <v>2.75</v>
      </c>
      <c r="Z3" s="6">
        <v>0.39</v>
      </c>
      <c r="AA3" s="6">
        <v>7.0000000000000007E-2</v>
      </c>
      <c r="AB3" s="6">
        <v>85.72</v>
      </c>
      <c r="AC3" s="6">
        <v>6.78</v>
      </c>
      <c r="AD3" s="6" t="s">
        <v>764</v>
      </c>
    </row>
    <row r="4" spans="1:32">
      <c r="A4" s="8" t="s">
        <v>1088</v>
      </c>
      <c r="B4" s="6" t="s">
        <v>765</v>
      </c>
      <c r="C4" s="8" t="s">
        <v>645</v>
      </c>
      <c r="D4" s="6">
        <v>950</v>
      </c>
      <c r="E4" s="6">
        <v>4</v>
      </c>
      <c r="F4" s="11">
        <f>73*3600</f>
        <v>262800</v>
      </c>
      <c r="G4" s="9">
        <v>2.6432360916877484E-13</v>
      </c>
      <c r="H4" s="10">
        <f t="shared" si="0"/>
        <v>0.52712140722817935</v>
      </c>
      <c r="I4" s="6" t="s">
        <v>766</v>
      </c>
      <c r="J4" s="6" t="s">
        <v>767</v>
      </c>
      <c r="K4" s="6">
        <f>100-37.85</f>
        <v>62.15</v>
      </c>
      <c r="L4" s="6">
        <v>1</v>
      </c>
      <c r="M4" s="6">
        <v>1</v>
      </c>
      <c r="N4" s="6">
        <v>1</v>
      </c>
      <c r="O4" s="6">
        <v>1</v>
      </c>
      <c r="P4" s="6">
        <v>59.95</v>
      </c>
      <c r="Q4" s="6">
        <v>0.68</v>
      </c>
      <c r="R4" s="6">
        <v>19.600000000000001</v>
      </c>
      <c r="T4" s="6">
        <v>5.71</v>
      </c>
      <c r="U4" s="6">
        <v>0.15</v>
      </c>
      <c r="V4" s="6">
        <v>1</v>
      </c>
      <c r="W4" s="6">
        <v>2.9</v>
      </c>
      <c r="X4" s="6">
        <v>6.35</v>
      </c>
      <c r="Y4" s="6">
        <v>3.24</v>
      </c>
      <c r="Z4" s="6">
        <v>0.43</v>
      </c>
      <c r="AA4" s="6">
        <v>0.08</v>
      </c>
      <c r="AB4" s="6">
        <v>93.86</v>
      </c>
      <c r="AC4" s="6">
        <v>4.78</v>
      </c>
      <c r="AD4" s="6" t="s">
        <v>764</v>
      </c>
    </row>
    <row r="5" spans="1:32">
      <c r="A5" s="8" t="s">
        <v>1088</v>
      </c>
      <c r="B5" s="6" t="s">
        <v>768</v>
      </c>
      <c r="C5" s="8" t="s">
        <v>645</v>
      </c>
      <c r="D5" s="6">
        <v>950</v>
      </c>
      <c r="E5" s="6">
        <v>4</v>
      </c>
      <c r="F5" s="11">
        <f>73*3600</f>
        <v>262800</v>
      </c>
      <c r="G5" s="9">
        <v>2.6432360916877484E-13</v>
      </c>
      <c r="H5" s="10">
        <f t="shared" si="0"/>
        <v>0.52712140722817935</v>
      </c>
      <c r="I5" s="6" t="s">
        <v>769</v>
      </c>
      <c r="J5" s="6" t="s">
        <v>770</v>
      </c>
      <c r="K5" s="6">
        <f>100-36.27</f>
        <v>63.73</v>
      </c>
      <c r="L5" s="6">
        <v>1</v>
      </c>
      <c r="M5" s="6">
        <v>1</v>
      </c>
      <c r="N5" s="6">
        <v>1</v>
      </c>
      <c r="O5" s="6">
        <v>1</v>
      </c>
      <c r="P5" s="6">
        <v>60.5</v>
      </c>
      <c r="Q5" s="6">
        <v>0.68</v>
      </c>
      <c r="R5" s="6">
        <v>19.97</v>
      </c>
      <c r="T5" s="6">
        <v>6.13</v>
      </c>
      <c r="U5" s="6">
        <v>0.15</v>
      </c>
      <c r="V5" s="6">
        <v>1</v>
      </c>
      <c r="W5" s="6">
        <v>2.9</v>
      </c>
      <c r="X5" s="6">
        <v>6.53</v>
      </c>
      <c r="Y5" s="6">
        <v>3.24</v>
      </c>
      <c r="Z5" s="6">
        <v>0.19</v>
      </c>
      <c r="AA5" s="6">
        <v>0.01</v>
      </c>
      <c r="AB5" s="6">
        <v>95.13</v>
      </c>
      <c r="AC5" s="6">
        <v>3.4</v>
      </c>
      <c r="AD5" s="6" t="s">
        <v>764</v>
      </c>
    </row>
    <row r="6" spans="1:32" ht="17" customHeight="1">
      <c r="A6" s="8" t="s">
        <v>1088</v>
      </c>
      <c r="B6" s="6" t="s">
        <v>771</v>
      </c>
      <c r="C6" s="8" t="s">
        <v>645</v>
      </c>
      <c r="D6" s="6">
        <v>950</v>
      </c>
      <c r="E6" s="6">
        <v>4</v>
      </c>
      <c r="F6" s="11">
        <f>73*3600</f>
        <v>262800</v>
      </c>
      <c r="G6" s="9">
        <v>2.6432360916877484E-13</v>
      </c>
      <c r="H6" s="10">
        <f t="shared" si="0"/>
        <v>0.52712140722817935</v>
      </c>
      <c r="I6" s="6" t="s">
        <v>772</v>
      </c>
      <c r="J6" s="6" t="s">
        <v>773</v>
      </c>
      <c r="K6" s="6">
        <f>100-66.02</f>
        <v>33.980000000000004</v>
      </c>
      <c r="L6" s="6">
        <v>1</v>
      </c>
      <c r="M6" s="6">
        <v>1</v>
      </c>
      <c r="N6" s="6">
        <v>1</v>
      </c>
      <c r="O6" s="6">
        <v>1</v>
      </c>
      <c r="P6" s="6">
        <v>60.68</v>
      </c>
      <c r="Q6" s="6">
        <v>0.51</v>
      </c>
      <c r="R6" s="6">
        <v>18.36</v>
      </c>
      <c r="T6" s="6">
        <v>4.79</v>
      </c>
      <c r="U6" s="6">
        <v>0.15</v>
      </c>
      <c r="V6" s="6">
        <v>0.57999999999999996</v>
      </c>
      <c r="W6" s="6">
        <v>1.77</v>
      </c>
      <c r="X6" s="6">
        <v>7.6</v>
      </c>
      <c r="Y6" s="6">
        <v>5.24</v>
      </c>
      <c r="Z6" s="6">
        <v>0.32</v>
      </c>
      <c r="AB6" s="6">
        <v>88.5</v>
      </c>
      <c r="AC6" s="6">
        <v>1.97</v>
      </c>
      <c r="AD6" s="6" t="s">
        <v>764</v>
      </c>
    </row>
    <row r="7" spans="1:32">
      <c r="A7" s="8" t="s">
        <v>1088</v>
      </c>
      <c r="B7" s="6" t="s">
        <v>774</v>
      </c>
      <c r="C7" s="8" t="s">
        <v>645</v>
      </c>
      <c r="D7" s="6">
        <v>925</v>
      </c>
      <c r="E7" s="6">
        <v>4</v>
      </c>
      <c r="F7" s="11">
        <f>71.5*3600</f>
        <v>257400</v>
      </c>
      <c r="G7" s="9">
        <v>1.9549928676947054E-13</v>
      </c>
      <c r="H7" s="10">
        <f t="shared" si="0"/>
        <v>0.44864915653308307</v>
      </c>
      <c r="I7" s="6" t="s">
        <v>41</v>
      </c>
      <c r="J7" s="6" t="s">
        <v>767</v>
      </c>
      <c r="K7" s="6">
        <f>100-35.21</f>
        <v>64.789999999999992</v>
      </c>
      <c r="L7" s="6">
        <v>1</v>
      </c>
      <c r="M7" s="6">
        <v>1</v>
      </c>
      <c r="N7" s="6">
        <v>1</v>
      </c>
      <c r="O7" s="6">
        <v>1</v>
      </c>
      <c r="P7" s="6">
        <v>60.41</v>
      </c>
      <c r="Q7" s="6">
        <v>0.78</v>
      </c>
      <c r="R7" s="6">
        <v>18.98</v>
      </c>
      <c r="T7" s="6">
        <v>5.66</v>
      </c>
      <c r="U7" s="6">
        <v>0.15</v>
      </c>
      <c r="V7" s="6">
        <v>0.97</v>
      </c>
      <c r="W7" s="6">
        <v>3.71</v>
      </c>
      <c r="X7" s="6">
        <v>6.34</v>
      </c>
      <c r="Y7" s="6">
        <v>2.59</v>
      </c>
      <c r="Z7" s="6">
        <v>0.42</v>
      </c>
      <c r="AA7" s="6">
        <v>0.2</v>
      </c>
      <c r="AB7" s="6">
        <v>88.08</v>
      </c>
      <c r="AC7" s="6">
        <v>6.69</v>
      </c>
      <c r="AD7" s="6" t="s">
        <v>764</v>
      </c>
    </row>
    <row r="8" spans="1:32">
      <c r="A8" s="8" t="s">
        <v>1088</v>
      </c>
      <c r="B8" s="6" t="s">
        <v>775</v>
      </c>
      <c r="C8" s="8" t="s">
        <v>645</v>
      </c>
      <c r="D8" s="6">
        <v>925</v>
      </c>
      <c r="E8" s="6">
        <v>4</v>
      </c>
      <c r="F8" s="11">
        <f>71.5*3600</f>
        <v>257400</v>
      </c>
      <c r="G8" s="9">
        <v>1.9549928676947054E-13</v>
      </c>
      <c r="H8" s="10">
        <f t="shared" si="0"/>
        <v>0.44864915653308307</v>
      </c>
      <c r="I8" s="6" t="s">
        <v>776</v>
      </c>
      <c r="J8" s="6" t="s">
        <v>777</v>
      </c>
      <c r="K8" s="6">
        <f>100-57.51</f>
        <v>42.49</v>
      </c>
      <c r="L8" s="6">
        <v>1</v>
      </c>
      <c r="M8" s="6">
        <v>1</v>
      </c>
      <c r="N8" s="6">
        <v>1</v>
      </c>
      <c r="O8" s="6">
        <v>1</v>
      </c>
      <c r="P8" s="6">
        <v>62.53</v>
      </c>
      <c r="Q8" s="6">
        <v>0.42</v>
      </c>
      <c r="R8" s="6">
        <v>18.2</v>
      </c>
      <c r="T8" s="6">
        <v>5.15</v>
      </c>
      <c r="U8" s="6">
        <v>0.03</v>
      </c>
      <c r="V8" s="6">
        <v>0.51</v>
      </c>
      <c r="W8" s="6">
        <v>1.83</v>
      </c>
      <c r="X8" s="6">
        <v>7.4</v>
      </c>
      <c r="Y8" s="6">
        <v>3.54</v>
      </c>
      <c r="Z8" s="6">
        <v>0.39</v>
      </c>
      <c r="AB8" s="6">
        <v>95.23</v>
      </c>
      <c r="AC8" s="6">
        <v>3.59</v>
      </c>
      <c r="AD8" s="6" t="s">
        <v>764</v>
      </c>
    </row>
    <row r="9" spans="1:32">
      <c r="A9" s="8" t="s">
        <v>1088</v>
      </c>
      <c r="B9" s="6" t="s">
        <v>778</v>
      </c>
      <c r="C9" s="8" t="s">
        <v>645</v>
      </c>
      <c r="D9" s="6">
        <v>950</v>
      </c>
      <c r="E9" s="6">
        <v>2</v>
      </c>
      <c r="F9" s="11">
        <f>68*3600</f>
        <v>244800</v>
      </c>
      <c r="G9" s="9">
        <v>2.6432360916877484E-13</v>
      </c>
      <c r="H9" s="10">
        <f t="shared" si="0"/>
        <v>0.50874913080816586</v>
      </c>
      <c r="I9" s="6" t="s">
        <v>779</v>
      </c>
      <c r="J9" s="6" t="s">
        <v>780</v>
      </c>
      <c r="K9" s="6">
        <f>100-36.9</f>
        <v>63.1</v>
      </c>
      <c r="L9" s="6">
        <v>1</v>
      </c>
      <c r="M9" s="6">
        <v>1</v>
      </c>
      <c r="N9" s="6">
        <v>1</v>
      </c>
      <c r="O9" s="6">
        <v>1</v>
      </c>
      <c r="P9" s="6">
        <v>58.01</v>
      </c>
      <c r="Q9" s="6">
        <v>0.95</v>
      </c>
      <c r="R9" s="6">
        <v>18.59</v>
      </c>
      <c r="T9" s="6">
        <v>7.08</v>
      </c>
      <c r="U9" s="6">
        <v>0.28999999999999998</v>
      </c>
      <c r="V9" s="6">
        <v>1.5</v>
      </c>
      <c r="W9" s="6">
        <v>3.87</v>
      </c>
      <c r="X9" s="6">
        <v>6.25</v>
      </c>
      <c r="Y9" s="6">
        <v>3.19</v>
      </c>
      <c r="Z9" s="6">
        <v>0.3</v>
      </c>
      <c r="AA9" s="6">
        <v>0.02</v>
      </c>
      <c r="AB9" s="6">
        <v>92.9</v>
      </c>
      <c r="AC9" s="6">
        <v>4.6500000000000004</v>
      </c>
      <c r="AD9" s="6" t="s">
        <v>764</v>
      </c>
    </row>
    <row r="10" spans="1:32">
      <c r="A10" s="8" t="s">
        <v>1088</v>
      </c>
      <c r="B10" s="6" t="s">
        <v>781</v>
      </c>
      <c r="C10" s="8" t="s">
        <v>645</v>
      </c>
      <c r="D10" s="6">
        <v>950</v>
      </c>
      <c r="E10" s="6">
        <v>2</v>
      </c>
      <c r="F10" s="11">
        <f>68*3600</f>
        <v>244800</v>
      </c>
      <c r="G10" s="9">
        <v>2.6432360916877484E-13</v>
      </c>
      <c r="H10" s="10">
        <f t="shared" si="0"/>
        <v>0.50874913080816586</v>
      </c>
      <c r="I10" s="6" t="s">
        <v>782</v>
      </c>
      <c r="J10" s="6" t="s">
        <v>780</v>
      </c>
      <c r="K10" s="6">
        <f>100-40.81</f>
        <v>59.19</v>
      </c>
      <c r="L10" s="6">
        <v>1</v>
      </c>
      <c r="M10" s="6">
        <v>1</v>
      </c>
      <c r="N10" s="6">
        <v>1</v>
      </c>
      <c r="O10" s="6">
        <v>1</v>
      </c>
      <c r="P10" s="6">
        <v>58.58</v>
      </c>
      <c r="Q10" s="6">
        <v>0.77</v>
      </c>
      <c r="R10" s="6">
        <v>18.5</v>
      </c>
      <c r="T10" s="6">
        <v>7.41</v>
      </c>
      <c r="U10" s="6">
        <v>0.22</v>
      </c>
      <c r="V10" s="6">
        <v>0.86</v>
      </c>
      <c r="W10" s="6">
        <v>2.57</v>
      </c>
      <c r="X10" s="6">
        <v>6.45</v>
      </c>
      <c r="Y10" s="6">
        <v>4.22</v>
      </c>
      <c r="Z10" s="6">
        <v>0.41</v>
      </c>
      <c r="AA10" s="6">
        <v>0.15</v>
      </c>
      <c r="AB10" s="6">
        <v>94.58</v>
      </c>
      <c r="AC10" s="6">
        <v>2.73</v>
      </c>
      <c r="AD10" s="6" t="s">
        <v>764</v>
      </c>
    </row>
    <row r="11" spans="1:32">
      <c r="A11" s="8" t="s">
        <v>1088</v>
      </c>
      <c r="B11" s="6" t="s">
        <v>783</v>
      </c>
      <c r="C11" s="8" t="s">
        <v>645</v>
      </c>
      <c r="D11" s="6">
        <v>925</v>
      </c>
      <c r="E11" s="6">
        <v>2</v>
      </c>
      <c r="F11" s="11">
        <f>69.5*3600</f>
        <v>250200</v>
      </c>
      <c r="G11" s="9">
        <v>1.9549928676947054E-13</v>
      </c>
      <c r="H11" s="10">
        <f t="shared" si="0"/>
        <v>0.44232983869380343</v>
      </c>
      <c r="I11" s="6" t="s">
        <v>41</v>
      </c>
      <c r="J11" s="6" t="s">
        <v>784</v>
      </c>
      <c r="K11" s="6">
        <f>100-39.87</f>
        <v>60.13</v>
      </c>
      <c r="L11" s="6">
        <v>1</v>
      </c>
      <c r="M11" s="6">
        <v>1</v>
      </c>
      <c r="N11" s="6">
        <v>1</v>
      </c>
      <c r="O11" s="6">
        <v>1</v>
      </c>
      <c r="P11" s="6">
        <v>58.84</v>
      </c>
      <c r="Q11" s="6">
        <v>0.62</v>
      </c>
      <c r="R11" s="6">
        <v>18.71</v>
      </c>
      <c r="T11" s="6">
        <v>6.96</v>
      </c>
      <c r="U11" s="6">
        <v>0.18</v>
      </c>
      <c r="V11" s="6">
        <v>0.73</v>
      </c>
      <c r="W11" s="6">
        <v>3.47</v>
      </c>
      <c r="X11" s="6">
        <v>6.4</v>
      </c>
      <c r="Y11" s="6">
        <v>3.16</v>
      </c>
      <c r="Z11" s="6">
        <v>0.91</v>
      </c>
      <c r="AA11" s="6">
        <v>0.09</v>
      </c>
      <c r="AB11" s="6">
        <v>94.39</v>
      </c>
      <c r="AC11" s="6">
        <v>5.0599999999999996</v>
      </c>
      <c r="AD11" s="6" t="s">
        <v>764</v>
      </c>
    </row>
    <row r="12" spans="1:32">
      <c r="A12" s="8" t="s">
        <v>1088</v>
      </c>
      <c r="B12" s="6" t="s">
        <v>785</v>
      </c>
      <c r="C12" s="8" t="s">
        <v>645</v>
      </c>
      <c r="D12" s="6">
        <v>925</v>
      </c>
      <c r="E12" s="6">
        <v>2</v>
      </c>
      <c r="F12" s="11">
        <f>69.5*3600</f>
        <v>250200</v>
      </c>
      <c r="G12" s="9">
        <v>1.9549928676947054E-13</v>
      </c>
      <c r="H12" s="10">
        <f t="shared" si="0"/>
        <v>0.44232983869380343</v>
      </c>
      <c r="I12" s="6" t="s">
        <v>786</v>
      </c>
      <c r="J12" s="6" t="s">
        <v>787</v>
      </c>
      <c r="K12" s="6">
        <f>100-42.4</f>
        <v>57.6</v>
      </c>
      <c r="L12" s="6">
        <v>1</v>
      </c>
      <c r="M12" s="6">
        <v>1</v>
      </c>
      <c r="N12" s="6">
        <v>1</v>
      </c>
      <c r="O12" s="6">
        <v>1</v>
      </c>
      <c r="P12" s="6">
        <v>59</v>
      </c>
      <c r="Q12" s="6">
        <v>1.0900000000000001</v>
      </c>
      <c r="R12" s="6">
        <v>18.96</v>
      </c>
      <c r="T12" s="6">
        <v>6.55</v>
      </c>
      <c r="U12" s="6">
        <v>0.17</v>
      </c>
      <c r="V12" s="6">
        <v>0.67</v>
      </c>
      <c r="W12" s="6">
        <v>3.16</v>
      </c>
      <c r="X12" s="6">
        <v>6.32</v>
      </c>
      <c r="Y12" s="6">
        <v>3.24</v>
      </c>
      <c r="Z12" s="6">
        <v>0.83</v>
      </c>
      <c r="AA12" s="6">
        <v>0.22</v>
      </c>
      <c r="AB12" s="6">
        <v>93.87</v>
      </c>
      <c r="AC12" s="6">
        <v>4.5199999999999996</v>
      </c>
      <c r="AD12" s="6" t="s">
        <v>764</v>
      </c>
    </row>
    <row r="13" spans="1:32">
      <c r="A13" s="8" t="s">
        <v>1088</v>
      </c>
      <c r="B13" s="6" t="s">
        <v>788</v>
      </c>
      <c r="C13" s="8" t="s">
        <v>645</v>
      </c>
      <c r="D13" s="6">
        <v>925</v>
      </c>
      <c r="E13" s="6">
        <v>2</v>
      </c>
      <c r="F13" s="11">
        <f>69.5*3600</f>
        <v>250200</v>
      </c>
      <c r="G13" s="9">
        <v>1.9549928676947054E-13</v>
      </c>
      <c r="H13" s="10">
        <f t="shared" si="0"/>
        <v>0.44232983869380343</v>
      </c>
      <c r="I13" s="6" t="s">
        <v>789</v>
      </c>
      <c r="J13" s="6" t="s">
        <v>773</v>
      </c>
      <c r="K13" s="6">
        <f>100-64.89</f>
        <v>35.11</v>
      </c>
      <c r="L13" s="6">
        <v>1</v>
      </c>
      <c r="M13" s="6">
        <v>1</v>
      </c>
      <c r="N13" s="6">
        <v>1</v>
      </c>
      <c r="O13" s="6">
        <v>1</v>
      </c>
      <c r="P13" s="6">
        <v>59.23</v>
      </c>
      <c r="Q13" s="6">
        <v>0.49</v>
      </c>
      <c r="R13" s="6">
        <v>18.39</v>
      </c>
      <c r="T13" s="6">
        <v>7.16</v>
      </c>
      <c r="U13" s="6">
        <v>0.05</v>
      </c>
      <c r="V13" s="6">
        <v>0.49</v>
      </c>
      <c r="W13" s="6">
        <v>1.76</v>
      </c>
      <c r="X13" s="6">
        <v>7.3</v>
      </c>
      <c r="Y13" s="6">
        <v>4.96</v>
      </c>
      <c r="Z13" s="6">
        <v>0.16</v>
      </c>
      <c r="AB13" s="6">
        <v>97.57</v>
      </c>
      <c r="AC13" s="6">
        <v>3.76</v>
      </c>
      <c r="AD13" s="6" t="s">
        <v>764</v>
      </c>
    </row>
    <row r="14" spans="1:32">
      <c r="A14" s="8" t="s">
        <v>1088</v>
      </c>
      <c r="B14" s="6" t="s">
        <v>790</v>
      </c>
      <c r="C14" s="8" t="s">
        <v>645</v>
      </c>
      <c r="D14" s="6">
        <v>925</v>
      </c>
      <c r="E14" s="6">
        <v>1.5</v>
      </c>
      <c r="F14" s="11">
        <f>5*3600</f>
        <v>18000</v>
      </c>
      <c r="G14" s="9">
        <v>1.9549928676947054E-13</v>
      </c>
      <c r="H14" s="10">
        <f t="shared" si="0"/>
        <v>0.11864210318180422</v>
      </c>
      <c r="I14" s="6" t="s">
        <v>41</v>
      </c>
      <c r="J14" s="6" t="s">
        <v>787</v>
      </c>
      <c r="K14" s="6">
        <f>100-37.13</f>
        <v>62.87</v>
      </c>
      <c r="L14" s="6">
        <v>1</v>
      </c>
      <c r="M14" s="6">
        <v>1</v>
      </c>
      <c r="N14" s="6">
        <v>1</v>
      </c>
      <c r="O14" s="6">
        <v>1</v>
      </c>
      <c r="P14" s="6">
        <v>60.78</v>
      </c>
      <c r="Q14" s="6">
        <v>0.68</v>
      </c>
      <c r="R14" s="6">
        <v>19.29</v>
      </c>
      <c r="T14" s="6">
        <v>5.0199999999999996</v>
      </c>
      <c r="U14" s="6">
        <v>0.16</v>
      </c>
      <c r="V14" s="6">
        <v>1.01</v>
      </c>
      <c r="W14" s="6">
        <v>3.04</v>
      </c>
      <c r="X14" s="6">
        <v>6.51</v>
      </c>
      <c r="Y14" s="6">
        <v>3.21</v>
      </c>
      <c r="Z14" s="6">
        <v>0.31</v>
      </c>
      <c r="AA14" s="6">
        <v>0.05</v>
      </c>
      <c r="AB14" s="6">
        <v>92.67</v>
      </c>
      <c r="AC14" s="6">
        <v>3.85</v>
      </c>
      <c r="AD14" s="6" t="s">
        <v>764</v>
      </c>
    </row>
    <row r="15" spans="1:32">
      <c r="A15" s="8" t="s">
        <v>1088</v>
      </c>
      <c r="B15" s="6" t="s">
        <v>791</v>
      </c>
      <c r="C15" s="8" t="s">
        <v>645</v>
      </c>
      <c r="D15" s="6">
        <v>925</v>
      </c>
      <c r="E15" s="6">
        <v>1.5</v>
      </c>
      <c r="F15" s="11">
        <f>5*3600</f>
        <v>18000</v>
      </c>
      <c r="G15" s="9">
        <v>1.9549928676947054E-13</v>
      </c>
      <c r="H15" s="10">
        <f t="shared" si="0"/>
        <v>0.11864210318180422</v>
      </c>
      <c r="I15" s="6" t="s">
        <v>779</v>
      </c>
      <c r="J15" s="6" t="s">
        <v>792</v>
      </c>
      <c r="K15" s="6">
        <f>100-41</f>
        <v>59</v>
      </c>
      <c r="L15" s="6">
        <v>1</v>
      </c>
      <c r="M15" s="6">
        <v>1</v>
      </c>
      <c r="N15" s="6">
        <v>1</v>
      </c>
      <c r="O15" s="6">
        <v>1</v>
      </c>
      <c r="P15" s="6">
        <v>60.81</v>
      </c>
      <c r="Q15" s="6">
        <v>0.74</v>
      </c>
      <c r="R15" s="6">
        <v>19.18</v>
      </c>
      <c r="T15" s="6">
        <v>4.82</v>
      </c>
      <c r="U15" s="6">
        <v>0.18</v>
      </c>
      <c r="V15" s="6">
        <v>0.92</v>
      </c>
      <c r="W15" s="6">
        <v>2.78</v>
      </c>
      <c r="X15" s="6">
        <v>6.77</v>
      </c>
      <c r="Y15" s="6">
        <v>3.47</v>
      </c>
      <c r="Z15" s="6">
        <v>0.33</v>
      </c>
      <c r="AA15" s="6">
        <v>0.08</v>
      </c>
      <c r="AB15" s="6">
        <v>93.44</v>
      </c>
      <c r="AC15" s="6">
        <v>3.56</v>
      </c>
      <c r="AD15" s="6" t="s">
        <v>764</v>
      </c>
    </row>
    <row r="16" spans="1:32">
      <c r="A16" s="8" t="s">
        <v>1088</v>
      </c>
      <c r="B16" s="6" t="s">
        <v>793</v>
      </c>
      <c r="C16" s="8" t="s">
        <v>645</v>
      </c>
      <c r="D16" s="6">
        <v>925</v>
      </c>
      <c r="E16" s="6">
        <v>1.5</v>
      </c>
      <c r="F16" s="11">
        <f>5*3600</f>
        <v>18000</v>
      </c>
      <c r="G16" s="9">
        <v>1.9549928676947054E-13</v>
      </c>
      <c r="H16" s="10">
        <f t="shared" si="0"/>
        <v>0.11864210318180422</v>
      </c>
      <c r="I16" s="6" t="s">
        <v>794</v>
      </c>
      <c r="J16" s="6" t="s">
        <v>795</v>
      </c>
      <c r="K16" s="6">
        <f>100-54.92</f>
        <v>45.08</v>
      </c>
      <c r="L16" s="6">
        <v>1</v>
      </c>
      <c r="M16" s="6">
        <v>1</v>
      </c>
      <c r="N16" s="6">
        <v>1</v>
      </c>
      <c r="O16" s="6">
        <v>1</v>
      </c>
      <c r="P16" s="6">
        <v>60.52</v>
      </c>
      <c r="Q16" s="6">
        <v>0.63</v>
      </c>
      <c r="R16" s="6">
        <v>19.25</v>
      </c>
      <c r="T16" s="6">
        <v>4.92</v>
      </c>
      <c r="U16" s="6">
        <v>0.16</v>
      </c>
      <c r="V16" s="6">
        <v>0.8</v>
      </c>
      <c r="W16" s="6">
        <v>2.73</v>
      </c>
      <c r="X16" s="6">
        <v>6.75</v>
      </c>
      <c r="Y16" s="6">
        <v>3.8</v>
      </c>
      <c r="Z16" s="6">
        <v>0.44</v>
      </c>
      <c r="AA16" s="6">
        <v>0.45</v>
      </c>
      <c r="AB16" s="6">
        <v>95.98</v>
      </c>
      <c r="AC16" s="6">
        <v>2.72</v>
      </c>
      <c r="AD16" s="6" t="s">
        <v>764</v>
      </c>
    </row>
    <row r="17" spans="1:30">
      <c r="A17" s="8" t="s">
        <v>1088</v>
      </c>
      <c r="B17" s="6" t="s">
        <v>796</v>
      </c>
      <c r="C17" s="8" t="s">
        <v>645</v>
      </c>
      <c r="D17" s="6">
        <v>925</v>
      </c>
      <c r="E17" s="6">
        <v>1</v>
      </c>
      <c r="F17" s="11">
        <f>64*3600</f>
        <v>230400</v>
      </c>
      <c r="G17" s="9">
        <v>1.9549928676947054E-13</v>
      </c>
      <c r="H17" s="10">
        <f t="shared" si="0"/>
        <v>0.42446689233289331</v>
      </c>
      <c r="I17" s="6" t="s">
        <v>41</v>
      </c>
      <c r="J17" s="6" t="s">
        <v>797</v>
      </c>
      <c r="K17" s="6">
        <f>100-50.83</f>
        <v>49.17</v>
      </c>
      <c r="L17" s="6">
        <v>1</v>
      </c>
      <c r="M17" s="6">
        <v>1</v>
      </c>
      <c r="N17" s="6">
        <v>1</v>
      </c>
      <c r="O17" s="6">
        <v>1</v>
      </c>
      <c r="P17" s="6">
        <v>61.71</v>
      </c>
      <c r="Q17" s="6">
        <v>0.53</v>
      </c>
      <c r="R17" s="6">
        <v>18.63</v>
      </c>
      <c r="T17" s="6">
        <v>5</v>
      </c>
      <c r="U17" s="6">
        <v>0.11</v>
      </c>
      <c r="V17" s="6">
        <v>0.73</v>
      </c>
      <c r="W17" s="6">
        <v>2.2799999999999998</v>
      </c>
      <c r="X17" s="6">
        <v>6.71</v>
      </c>
      <c r="Y17" s="6">
        <v>3.99</v>
      </c>
      <c r="Z17" s="6">
        <v>0.31</v>
      </c>
      <c r="AA17" s="6">
        <v>7.0000000000000007E-2</v>
      </c>
      <c r="AB17" s="6">
        <v>95.89</v>
      </c>
      <c r="AC17" s="6">
        <v>3.14</v>
      </c>
      <c r="AD17" s="6" t="s">
        <v>764</v>
      </c>
    </row>
    <row r="18" spans="1:30">
      <c r="A18" s="8" t="s">
        <v>1088</v>
      </c>
      <c r="B18" s="6" t="s">
        <v>798</v>
      </c>
      <c r="C18" s="8" t="s">
        <v>645</v>
      </c>
      <c r="D18" s="6">
        <v>925</v>
      </c>
      <c r="E18" s="6">
        <v>1</v>
      </c>
      <c r="F18" s="11">
        <f>64*3600</f>
        <v>230400</v>
      </c>
      <c r="G18" s="9">
        <v>1.9549928676947054E-13</v>
      </c>
      <c r="H18" s="10">
        <f t="shared" si="0"/>
        <v>0.42446689233289331</v>
      </c>
      <c r="I18" s="6" t="s">
        <v>786</v>
      </c>
      <c r="J18" s="6" t="s">
        <v>795</v>
      </c>
      <c r="K18" s="6">
        <f>100-54.14</f>
        <v>45.86</v>
      </c>
      <c r="L18" s="6">
        <v>1</v>
      </c>
      <c r="M18" s="6">
        <v>1</v>
      </c>
      <c r="N18" s="6">
        <v>1</v>
      </c>
      <c r="O18" s="6">
        <v>1</v>
      </c>
      <c r="P18" s="6">
        <v>61.81</v>
      </c>
      <c r="Q18" s="6">
        <v>0.59</v>
      </c>
      <c r="R18" s="6">
        <v>19.39</v>
      </c>
      <c r="T18" s="6">
        <v>5.0199999999999996</v>
      </c>
      <c r="U18" s="6">
        <v>0</v>
      </c>
      <c r="V18" s="6">
        <v>0.74</v>
      </c>
      <c r="W18" s="6">
        <v>2.1</v>
      </c>
      <c r="X18" s="6">
        <v>6.44</v>
      </c>
      <c r="Y18" s="6">
        <v>3.78</v>
      </c>
      <c r="Z18" s="6">
        <v>0.14000000000000001</v>
      </c>
      <c r="AA18" s="6">
        <v>0.15</v>
      </c>
      <c r="AB18" s="6">
        <v>94.98</v>
      </c>
      <c r="AC18" s="6">
        <v>2.87</v>
      </c>
      <c r="AD18" s="6" t="s">
        <v>764</v>
      </c>
    </row>
    <row r="19" spans="1:30">
      <c r="A19" s="8" t="s">
        <v>1089</v>
      </c>
      <c r="B19" s="6" t="s">
        <v>799</v>
      </c>
      <c r="C19" s="8" t="s">
        <v>645</v>
      </c>
      <c r="D19" s="12">
        <v>1025</v>
      </c>
      <c r="E19" s="6">
        <v>3</v>
      </c>
      <c r="F19" s="11">
        <f t="shared" ref="F19:F29" si="1">72*3600</f>
        <v>259200</v>
      </c>
      <c r="G19" s="9">
        <v>6.093075655892557E-13</v>
      </c>
      <c r="H19" s="10">
        <f t="shared" si="0"/>
        <v>0.79481449659838255</v>
      </c>
      <c r="I19" s="13">
        <v>0.62791660125868731</v>
      </c>
      <c r="J19" s="6" t="s">
        <v>800</v>
      </c>
      <c r="K19" s="6">
        <v>56.29</v>
      </c>
      <c r="L19" s="6">
        <v>1</v>
      </c>
      <c r="M19" s="6">
        <v>1</v>
      </c>
      <c r="N19" s="6">
        <v>1</v>
      </c>
      <c r="O19" s="6">
        <v>1</v>
      </c>
      <c r="P19" s="14">
        <v>49.797336954260345</v>
      </c>
      <c r="Q19" s="14">
        <v>2.4425575459549038</v>
      </c>
      <c r="R19" s="14">
        <v>17.334627059222772</v>
      </c>
      <c r="S19" s="14"/>
      <c r="T19" s="14">
        <v>9.4578875913760978</v>
      </c>
      <c r="U19" s="14">
        <v>0.17122596663006848</v>
      </c>
      <c r="V19" s="14">
        <v>2.8376590071152132</v>
      </c>
      <c r="W19" s="14">
        <v>8.0855812012330617</v>
      </c>
      <c r="X19" s="14">
        <v>6.1329486307463625</v>
      </c>
      <c r="Y19" s="14">
        <v>2.5193154557728281</v>
      </c>
      <c r="Z19" s="14">
        <v>1.2208605876883323</v>
      </c>
      <c r="AB19" s="14">
        <v>95.7</v>
      </c>
      <c r="AC19" s="15">
        <v>3.5613557882951388</v>
      </c>
      <c r="AD19" s="6" t="s">
        <v>764</v>
      </c>
    </row>
    <row r="20" spans="1:30">
      <c r="A20" s="8" t="s">
        <v>1089</v>
      </c>
      <c r="B20" s="6" t="s">
        <v>801</v>
      </c>
      <c r="C20" s="8" t="s">
        <v>645</v>
      </c>
      <c r="D20" s="12">
        <v>1025</v>
      </c>
      <c r="E20" s="6">
        <v>3</v>
      </c>
      <c r="F20" s="11">
        <f t="shared" si="1"/>
        <v>259200</v>
      </c>
      <c r="G20" s="9">
        <v>6.093075655892557E-13</v>
      </c>
      <c r="H20" s="10">
        <f t="shared" si="0"/>
        <v>0.79481449659838255</v>
      </c>
      <c r="I20" s="13">
        <v>0.54656891364459603</v>
      </c>
      <c r="J20" s="6" t="s">
        <v>800</v>
      </c>
      <c r="K20" s="6">
        <v>52.05</v>
      </c>
      <c r="L20" s="6">
        <v>1</v>
      </c>
      <c r="M20" s="6">
        <v>1</v>
      </c>
      <c r="N20" s="6">
        <v>1</v>
      </c>
      <c r="O20" s="6">
        <v>1</v>
      </c>
      <c r="P20" s="14">
        <v>50.14470639674434</v>
      </c>
      <c r="Q20" s="14">
        <v>2.2023917282177918</v>
      </c>
      <c r="R20" s="14">
        <v>18.001881739890468</v>
      </c>
      <c r="S20" s="14"/>
      <c r="T20" s="14">
        <v>9.8752655033080803</v>
      </c>
      <c r="U20" s="14">
        <v>0.17184968826134653</v>
      </c>
      <c r="V20" s="14">
        <v>2.5068999566350523</v>
      </c>
      <c r="W20" s="14">
        <v>7.5797754473603467</v>
      </c>
      <c r="X20" s="14">
        <v>6.300317236036725</v>
      </c>
      <c r="Y20" s="14">
        <v>2.1100400604951037</v>
      </c>
      <c r="Z20" s="14">
        <v>1.1068722430507478</v>
      </c>
      <c r="AA20" s="14">
        <v>0.10754000538218142</v>
      </c>
      <c r="AB20" s="6">
        <v>95.7</v>
      </c>
      <c r="AC20" s="15">
        <v>3.3765582987161911</v>
      </c>
      <c r="AD20" s="6" t="s">
        <v>764</v>
      </c>
    </row>
    <row r="21" spans="1:30">
      <c r="A21" s="8" t="s">
        <v>1089</v>
      </c>
      <c r="B21" s="6" t="s">
        <v>802</v>
      </c>
      <c r="C21" s="8" t="s">
        <v>645</v>
      </c>
      <c r="D21" s="12">
        <v>1025</v>
      </c>
      <c r="E21" s="6">
        <v>3</v>
      </c>
      <c r="F21" s="11">
        <f t="shared" si="1"/>
        <v>259200</v>
      </c>
      <c r="G21" s="9">
        <v>6.093075655892557E-13</v>
      </c>
      <c r="H21" s="10">
        <f t="shared" si="0"/>
        <v>0.79481449659838255</v>
      </c>
      <c r="I21" s="13">
        <v>0.35746753747925269</v>
      </c>
      <c r="J21" s="6" t="s">
        <v>800</v>
      </c>
      <c r="K21" s="6">
        <v>47.21</v>
      </c>
      <c r="L21" s="6">
        <v>1</v>
      </c>
      <c r="M21" s="6">
        <v>1</v>
      </c>
      <c r="N21" s="6">
        <v>1</v>
      </c>
      <c r="O21" s="6">
        <v>1</v>
      </c>
      <c r="P21" s="14">
        <v>51.165459106538449</v>
      </c>
      <c r="Q21" s="14">
        <v>1.8390759102885978</v>
      </c>
      <c r="R21" s="14">
        <v>18.539126572031286</v>
      </c>
      <c r="S21" s="14"/>
      <c r="T21" s="14">
        <v>9.0874412610877187</v>
      </c>
      <c r="U21" s="14">
        <v>0.17055594679863709</v>
      </c>
      <c r="V21" s="14">
        <v>2.1546010579284816</v>
      </c>
      <c r="W21" s="14">
        <v>6.4019212163615373</v>
      </c>
      <c r="X21" s="14">
        <v>6.9806708368090398</v>
      </c>
      <c r="Y21" s="14">
        <v>2.6149596447588235</v>
      </c>
      <c r="Z21" s="14">
        <v>1.0461884473974261</v>
      </c>
      <c r="AA21" s="14">
        <v>0.18399104823492637</v>
      </c>
      <c r="AB21" s="14">
        <v>96.5</v>
      </c>
      <c r="AC21" s="15">
        <v>2.352547639777876</v>
      </c>
      <c r="AD21" s="6" t="s">
        <v>764</v>
      </c>
    </row>
    <row r="22" spans="1:30">
      <c r="A22" s="8" t="s">
        <v>1089</v>
      </c>
      <c r="B22" s="6" t="s">
        <v>803</v>
      </c>
      <c r="C22" s="8" t="s">
        <v>645</v>
      </c>
      <c r="D22" s="12">
        <v>1000</v>
      </c>
      <c r="E22" s="6">
        <v>3</v>
      </c>
      <c r="F22" s="11">
        <f t="shared" si="1"/>
        <v>259200</v>
      </c>
      <c r="G22" s="9">
        <v>4.6632042652511761E-13</v>
      </c>
      <c r="H22" s="10">
        <f t="shared" si="0"/>
        <v>0.69532799326738015</v>
      </c>
      <c r="I22" s="13">
        <v>1</v>
      </c>
      <c r="J22" s="6" t="s">
        <v>800</v>
      </c>
      <c r="K22" s="6">
        <v>59.95</v>
      </c>
      <c r="L22" s="6">
        <v>1</v>
      </c>
      <c r="M22" s="6">
        <v>1</v>
      </c>
      <c r="N22" s="6">
        <v>1</v>
      </c>
      <c r="O22" s="6">
        <v>1</v>
      </c>
      <c r="P22" s="14">
        <v>48.732877039454365</v>
      </c>
      <c r="Q22" s="14">
        <v>3.0663161437896278</v>
      </c>
      <c r="R22" s="14">
        <v>17.4642428998588</v>
      </c>
      <c r="S22" s="14"/>
      <c r="T22" s="14">
        <v>9.5274804602956493</v>
      </c>
      <c r="U22" s="14">
        <v>0.26352614978315947</v>
      </c>
      <c r="V22" s="14">
        <v>2.9561832284768479</v>
      </c>
      <c r="W22" s="14">
        <v>9.2184866094621629</v>
      </c>
      <c r="X22" s="14">
        <v>5.2079058716637734</v>
      </c>
      <c r="Y22" s="14">
        <v>2.5413132809217598</v>
      </c>
      <c r="Z22" s="14">
        <v>1.0216683162938562</v>
      </c>
      <c r="AA22" s="14">
        <v>0.1385666913696314</v>
      </c>
      <c r="AB22" s="14">
        <v>89.7</v>
      </c>
      <c r="AC22" s="15">
        <v>5.7875487899239495</v>
      </c>
      <c r="AD22" s="6" t="s">
        <v>764</v>
      </c>
    </row>
    <row r="23" spans="1:30">
      <c r="A23" s="8" t="s">
        <v>1089</v>
      </c>
      <c r="B23" s="6" t="s">
        <v>804</v>
      </c>
      <c r="C23" s="8" t="s">
        <v>645</v>
      </c>
      <c r="D23" s="12">
        <v>1000</v>
      </c>
      <c r="E23" s="6">
        <v>3</v>
      </c>
      <c r="F23" s="11">
        <f t="shared" si="1"/>
        <v>259200</v>
      </c>
      <c r="G23" s="9">
        <v>4.6632042652511761E-13</v>
      </c>
      <c r="H23" s="10">
        <f t="shared" si="0"/>
        <v>0.69532799326738015</v>
      </c>
      <c r="I23" s="13">
        <v>0.88281880513203448</v>
      </c>
      <c r="J23" s="6" t="s">
        <v>800</v>
      </c>
      <c r="K23" s="6">
        <v>54.53</v>
      </c>
      <c r="L23" s="6">
        <v>1</v>
      </c>
      <c r="M23" s="6">
        <v>1</v>
      </c>
      <c r="N23" s="6">
        <v>1</v>
      </c>
      <c r="O23" s="6">
        <v>1</v>
      </c>
      <c r="P23" s="14">
        <v>49.575605685681701</v>
      </c>
      <c r="Q23" s="14">
        <v>2.7450856345909269</v>
      </c>
      <c r="R23" s="14">
        <v>18.140618851001182</v>
      </c>
      <c r="S23" s="14"/>
      <c r="T23" s="14">
        <v>8.9924344502363187</v>
      </c>
      <c r="U23" s="14">
        <v>0.2327578916964351</v>
      </c>
      <c r="V23" s="14">
        <v>2.8122848408629211</v>
      </c>
      <c r="W23" s="14">
        <v>8.5307519047966913</v>
      </c>
      <c r="X23" s="14">
        <v>5.5720889779110587</v>
      </c>
      <c r="Y23" s="14">
        <v>2.5533328738479786</v>
      </c>
      <c r="Z23" s="14">
        <v>0.84503888937478422</v>
      </c>
      <c r="AA23" s="14">
        <v>9.0885369557975014E-3</v>
      </c>
      <c r="AB23" s="14">
        <v>91.1</v>
      </c>
      <c r="AC23" s="15">
        <v>5.2375394472565917</v>
      </c>
      <c r="AD23" s="6" t="s">
        <v>764</v>
      </c>
    </row>
    <row r="24" spans="1:30">
      <c r="A24" s="8" t="s">
        <v>1089</v>
      </c>
      <c r="B24" s="6" t="s">
        <v>805</v>
      </c>
      <c r="C24" s="8" t="s">
        <v>645</v>
      </c>
      <c r="D24" s="12">
        <v>1000</v>
      </c>
      <c r="E24" s="6">
        <v>3</v>
      </c>
      <c r="F24" s="11">
        <f t="shared" si="1"/>
        <v>259200</v>
      </c>
      <c r="G24" s="9">
        <v>4.6632042652511761E-13</v>
      </c>
      <c r="H24" s="10">
        <f t="shared" si="0"/>
        <v>0.69532799326738015</v>
      </c>
      <c r="I24" s="13">
        <v>0.72921231149033094</v>
      </c>
      <c r="J24" s="6" t="s">
        <v>800</v>
      </c>
      <c r="K24" s="6">
        <v>48.2</v>
      </c>
      <c r="L24" s="6">
        <v>1</v>
      </c>
      <c r="M24" s="6">
        <v>1</v>
      </c>
      <c r="N24" s="6">
        <v>1</v>
      </c>
      <c r="O24" s="6">
        <v>1</v>
      </c>
      <c r="P24" s="14">
        <v>51.410423544854098</v>
      </c>
      <c r="Q24" s="14">
        <v>2.2802721478245185</v>
      </c>
      <c r="R24" s="14">
        <v>18.950226293171031</v>
      </c>
      <c r="S24" s="14"/>
      <c r="T24" s="14">
        <v>8.5281436867826095</v>
      </c>
      <c r="U24" s="14">
        <v>0.12339066662768203</v>
      </c>
      <c r="V24" s="14">
        <v>1.9484130716806858</v>
      </c>
      <c r="W24" s="14">
        <v>7.2701474945097999</v>
      </c>
      <c r="X24" s="14">
        <v>6.0790687999681392</v>
      </c>
      <c r="Y24" s="14">
        <v>2.7120476313582245</v>
      </c>
      <c r="Z24" s="14">
        <v>0.697866663223213</v>
      </c>
      <c r="AA24" s="14">
        <v>0.1</v>
      </c>
      <c r="AB24" s="14">
        <v>91.7</v>
      </c>
      <c r="AC24" s="15">
        <v>4.4435299010024822</v>
      </c>
      <c r="AD24" s="6" t="s">
        <v>764</v>
      </c>
    </row>
    <row r="25" spans="1:30">
      <c r="A25" s="8" t="s">
        <v>1089</v>
      </c>
      <c r="B25" s="6" t="s">
        <v>806</v>
      </c>
      <c r="C25" s="8" t="s">
        <v>645</v>
      </c>
      <c r="D25" s="12">
        <v>1000</v>
      </c>
      <c r="E25" s="6">
        <v>3</v>
      </c>
      <c r="F25" s="11">
        <f t="shared" si="1"/>
        <v>259200</v>
      </c>
      <c r="G25" s="9">
        <v>4.6632042652511761E-13</v>
      </c>
      <c r="H25" s="10">
        <f t="shared" si="0"/>
        <v>0.69532799326738015</v>
      </c>
      <c r="I25" s="13">
        <v>0.13961198023094357</v>
      </c>
      <c r="J25" s="6" t="s">
        <v>807</v>
      </c>
      <c r="K25" s="6">
        <v>38.25</v>
      </c>
      <c r="L25" s="6">
        <v>1</v>
      </c>
      <c r="M25" s="6">
        <v>1</v>
      </c>
      <c r="N25" s="6">
        <v>1</v>
      </c>
      <c r="O25" s="6">
        <v>1</v>
      </c>
      <c r="P25" s="14">
        <v>53.370202226392152</v>
      </c>
      <c r="Q25" s="14">
        <v>1.3940270422206802</v>
      </c>
      <c r="R25" s="14">
        <v>20.235597741358305</v>
      </c>
      <c r="S25" s="14"/>
      <c r="T25" s="14">
        <v>6.7348163506400933</v>
      </c>
      <c r="U25" s="14">
        <v>0.22301035780418826</v>
      </c>
      <c r="V25" s="14">
        <v>1.4080864136566924</v>
      </c>
      <c r="W25" s="14">
        <v>4.4424258779663326</v>
      </c>
      <c r="X25" s="14">
        <v>7.8199146540587332</v>
      </c>
      <c r="Y25" s="14">
        <v>3.5508457534931921</v>
      </c>
      <c r="Z25" s="14">
        <v>0.82107358240961892</v>
      </c>
      <c r="AB25" s="14">
        <v>95.4</v>
      </c>
      <c r="AC25" s="15">
        <v>1.0447266885075637</v>
      </c>
      <c r="AD25" s="6" t="s">
        <v>764</v>
      </c>
    </row>
    <row r="26" spans="1:30">
      <c r="A26" s="8" t="s">
        <v>1089</v>
      </c>
      <c r="B26" s="6" t="s">
        <v>808</v>
      </c>
      <c r="C26" s="8" t="s">
        <v>645</v>
      </c>
      <c r="D26" s="12">
        <v>1000</v>
      </c>
      <c r="E26" s="6">
        <v>3</v>
      </c>
      <c r="F26" s="11">
        <f t="shared" si="1"/>
        <v>259200</v>
      </c>
      <c r="G26" s="9">
        <v>4.6632042652511761E-13</v>
      </c>
      <c r="H26" s="10">
        <f t="shared" si="0"/>
        <v>0.69532799326738015</v>
      </c>
      <c r="I26" s="13">
        <v>6.5695959101279289E-2</v>
      </c>
      <c r="J26" s="6" t="s">
        <v>807</v>
      </c>
      <c r="K26" s="6">
        <v>37.630000000000003</v>
      </c>
      <c r="L26" s="6">
        <v>1</v>
      </c>
      <c r="M26" s="6">
        <v>1</v>
      </c>
      <c r="N26" s="6">
        <v>1</v>
      </c>
      <c r="O26" s="6">
        <v>1</v>
      </c>
      <c r="P26" s="14">
        <v>52.971301929628012</v>
      </c>
      <c r="Q26" s="14">
        <v>1.2372644611476658</v>
      </c>
      <c r="R26" s="14">
        <v>20.402498532444586</v>
      </c>
      <c r="S26" s="14"/>
      <c r="T26" s="14">
        <v>6.7069072893881225</v>
      </c>
      <c r="U26" s="14">
        <v>0.1465104426770954</v>
      </c>
      <c r="V26" s="14">
        <v>1.457413412170796</v>
      </c>
      <c r="W26" s="14">
        <v>4.1583966468633005</v>
      </c>
      <c r="X26" s="14">
        <v>8.1649260621988997</v>
      </c>
      <c r="Y26" s="14">
        <v>3.9935756816292307</v>
      </c>
      <c r="Z26" s="14">
        <v>0.7612055418522784</v>
      </c>
      <c r="AA26" s="14">
        <v>0.13069463161313197</v>
      </c>
      <c r="AB26" s="14">
        <v>95.9</v>
      </c>
      <c r="AC26" s="15">
        <v>0.53617242045502522</v>
      </c>
      <c r="AD26" s="6" t="s">
        <v>764</v>
      </c>
    </row>
    <row r="27" spans="1:30">
      <c r="A27" s="8" t="s">
        <v>1089</v>
      </c>
      <c r="B27" s="6" t="s">
        <v>809</v>
      </c>
      <c r="C27" s="8" t="s">
        <v>645</v>
      </c>
      <c r="D27" s="12">
        <v>950</v>
      </c>
      <c r="E27" s="6">
        <v>3</v>
      </c>
      <c r="F27" s="11">
        <f t="shared" si="1"/>
        <v>259200</v>
      </c>
      <c r="G27" s="9">
        <v>2.6432360916877484E-13</v>
      </c>
      <c r="H27" s="10">
        <f t="shared" si="0"/>
        <v>0.52349853675648972</v>
      </c>
      <c r="I27" s="13">
        <v>1</v>
      </c>
      <c r="J27" s="6" t="s">
        <v>810</v>
      </c>
      <c r="K27" s="6">
        <v>41.86</v>
      </c>
      <c r="L27" s="6">
        <v>1</v>
      </c>
      <c r="M27" s="6">
        <v>1</v>
      </c>
      <c r="N27" s="6">
        <v>1</v>
      </c>
      <c r="O27" s="6">
        <v>1</v>
      </c>
      <c r="P27" s="14">
        <v>56.16085384991576</v>
      </c>
      <c r="Q27" s="14">
        <v>1.5586949609367113</v>
      </c>
      <c r="R27" s="14">
        <v>20.165100901805737</v>
      </c>
      <c r="S27" s="14"/>
      <c r="T27" s="14">
        <v>5.0207161603907178</v>
      </c>
      <c r="U27" s="14">
        <v>0.20741553456911635</v>
      </c>
      <c r="V27" s="14">
        <v>0.6430136722591695</v>
      </c>
      <c r="W27" s="14">
        <v>5.622195695546246</v>
      </c>
      <c r="X27" s="14">
        <v>7.2737409743374748</v>
      </c>
      <c r="Y27" s="14">
        <v>3.0193010222285532</v>
      </c>
      <c r="Z27" s="14">
        <v>0.33135571014253085</v>
      </c>
      <c r="AB27" s="14">
        <v>90.1</v>
      </c>
      <c r="AC27" s="15">
        <v>5.6490682556201737</v>
      </c>
      <c r="AD27" s="6" t="s">
        <v>764</v>
      </c>
    </row>
    <row r="28" spans="1:30">
      <c r="A28" s="8" t="s">
        <v>1089</v>
      </c>
      <c r="B28" s="6" t="s">
        <v>811</v>
      </c>
      <c r="C28" s="8" t="s">
        <v>645</v>
      </c>
      <c r="D28" s="12">
        <v>950</v>
      </c>
      <c r="E28" s="6">
        <v>3</v>
      </c>
      <c r="F28" s="11">
        <f t="shared" si="1"/>
        <v>259200</v>
      </c>
      <c r="G28" s="9">
        <v>2.6432360916877484E-13</v>
      </c>
      <c r="H28" s="10">
        <f t="shared" si="0"/>
        <v>0.52349853675648972</v>
      </c>
      <c r="I28" s="13">
        <v>0.61953411546528681</v>
      </c>
      <c r="J28" s="6" t="s">
        <v>810</v>
      </c>
      <c r="K28" s="6">
        <v>37.28</v>
      </c>
      <c r="L28" s="6">
        <v>1</v>
      </c>
      <c r="M28" s="6">
        <v>1</v>
      </c>
      <c r="N28" s="6">
        <v>1</v>
      </c>
      <c r="O28" s="6">
        <v>1</v>
      </c>
      <c r="P28" s="14">
        <v>55.681923157090637</v>
      </c>
      <c r="Q28" s="14">
        <v>1.4500255212976927</v>
      </c>
      <c r="R28" s="14">
        <v>19.529063797290625</v>
      </c>
      <c r="S28" s="14"/>
      <c r="T28" s="14">
        <v>5.6464328773450418</v>
      </c>
      <c r="U28" s="14">
        <v>0.1894518542778027</v>
      </c>
      <c r="V28" s="14">
        <v>1.16890022624764</v>
      </c>
      <c r="W28" s="14">
        <v>5.2095209714965653</v>
      </c>
      <c r="X28" s="14">
        <v>7.6265255135379491</v>
      </c>
      <c r="Y28" s="14">
        <v>3.0174292161449392</v>
      </c>
      <c r="Z28" s="14">
        <v>0.48435822508681392</v>
      </c>
      <c r="AA28" s="14">
        <v>0.1402317311776545</v>
      </c>
      <c r="AB28" s="14">
        <v>94.5</v>
      </c>
      <c r="AC28" s="15">
        <v>3.7379786129003598</v>
      </c>
      <c r="AD28" s="6" t="s">
        <v>764</v>
      </c>
    </row>
    <row r="29" spans="1:30">
      <c r="A29" s="8" t="s">
        <v>1089</v>
      </c>
      <c r="B29" s="6" t="s">
        <v>812</v>
      </c>
      <c r="C29" s="8" t="s">
        <v>645</v>
      </c>
      <c r="D29" s="12">
        <v>950</v>
      </c>
      <c r="E29" s="6">
        <v>3</v>
      </c>
      <c r="F29" s="11">
        <f t="shared" si="1"/>
        <v>259200</v>
      </c>
      <c r="G29" s="9">
        <v>2.6432360916877484E-13</v>
      </c>
      <c r="H29" s="10">
        <f t="shared" si="0"/>
        <v>0.52349853675648972</v>
      </c>
      <c r="I29" s="13">
        <v>0.33389209669818654</v>
      </c>
      <c r="J29" s="6" t="s">
        <v>813</v>
      </c>
      <c r="K29" s="6">
        <v>22.959999999999994</v>
      </c>
      <c r="L29" s="6">
        <v>1</v>
      </c>
      <c r="M29" s="6">
        <v>1</v>
      </c>
      <c r="N29" s="6">
        <v>1</v>
      </c>
      <c r="O29" s="6">
        <v>1</v>
      </c>
      <c r="P29" s="14">
        <v>56.220683807503583</v>
      </c>
      <c r="Q29" s="14">
        <v>1.3291688454968054</v>
      </c>
      <c r="R29" s="14">
        <v>20.593457430397311</v>
      </c>
      <c r="S29" s="14"/>
      <c r="T29" s="14">
        <v>4.6040899803629429</v>
      </c>
      <c r="U29" s="14">
        <v>9.5949822442882846E-2</v>
      </c>
      <c r="V29" s="14">
        <v>1.199466624092</v>
      </c>
      <c r="W29" s="14">
        <v>3.5223657378211533</v>
      </c>
      <c r="X29" s="14">
        <v>7.9731405812274865</v>
      </c>
      <c r="Y29" s="14">
        <v>4.0779508703167116</v>
      </c>
      <c r="Z29" s="14">
        <v>0.38752073916729951</v>
      </c>
      <c r="AB29" s="14">
        <v>95.9</v>
      </c>
      <c r="AC29" s="15">
        <v>2.5429536843054463</v>
      </c>
      <c r="AD29" s="6" t="s">
        <v>764</v>
      </c>
    </row>
    <row r="30" spans="1:30">
      <c r="A30" s="8" t="s">
        <v>1040</v>
      </c>
      <c r="B30" s="8">
        <v>2648</v>
      </c>
      <c r="C30" s="8" t="s">
        <v>645</v>
      </c>
      <c r="D30" s="8">
        <v>875</v>
      </c>
      <c r="E30" s="8">
        <v>7</v>
      </c>
      <c r="F30" s="8">
        <f t="shared" ref="F30:F39" si="2">120*3600</f>
        <v>432000</v>
      </c>
      <c r="G30" s="9">
        <v>1.028135457036711E-13</v>
      </c>
      <c r="H30" s="10">
        <f t="shared" si="0"/>
        <v>0.42149947446698399</v>
      </c>
      <c r="I30" s="8">
        <v>9</v>
      </c>
      <c r="J30" s="8" t="s">
        <v>118</v>
      </c>
      <c r="K30" s="8">
        <v>87</v>
      </c>
      <c r="L30" s="8">
        <v>1</v>
      </c>
      <c r="M30" s="8">
        <v>1</v>
      </c>
      <c r="N30" s="8">
        <v>1</v>
      </c>
      <c r="O30" s="8">
        <v>1</v>
      </c>
      <c r="P30" s="8">
        <v>67.900000000000006</v>
      </c>
      <c r="Q30" s="8">
        <v>0.35</v>
      </c>
      <c r="R30" s="8">
        <v>17.600000000000001</v>
      </c>
      <c r="S30" s="8"/>
      <c r="T30" s="8">
        <f>1.13+1.27*0.899</f>
        <v>2.2717299999999998</v>
      </c>
      <c r="U30" s="8">
        <v>7.0000000000000007E-2</v>
      </c>
      <c r="V30" s="8">
        <v>0.86</v>
      </c>
      <c r="W30" s="8">
        <v>4.66</v>
      </c>
      <c r="X30" s="8">
        <v>4.58</v>
      </c>
      <c r="Y30" s="8">
        <v>1.42</v>
      </c>
      <c r="Z30" s="8">
        <v>0.12</v>
      </c>
      <c r="AA30" s="8">
        <v>0.04</v>
      </c>
      <c r="AB30" s="8">
        <v>91.9</v>
      </c>
      <c r="AC30" s="8">
        <v>9.42</v>
      </c>
      <c r="AD30" s="8" t="s">
        <v>119</v>
      </c>
    </row>
    <row r="31" spans="1:30">
      <c r="A31" s="8" t="s">
        <v>1040</v>
      </c>
      <c r="B31" s="8">
        <v>2645</v>
      </c>
      <c r="C31" s="8" t="s">
        <v>645</v>
      </c>
      <c r="D31" s="8">
        <v>850</v>
      </c>
      <c r="E31" s="8">
        <v>7</v>
      </c>
      <c r="F31" s="8">
        <f t="shared" si="2"/>
        <v>432000</v>
      </c>
      <c r="G31" s="9">
        <v>7.2976735414337512E-14</v>
      </c>
      <c r="H31" s="10">
        <f t="shared" si="0"/>
        <v>0.35511096687651766</v>
      </c>
      <c r="I31" s="8">
        <v>9</v>
      </c>
      <c r="J31" s="8" t="s">
        <v>120</v>
      </c>
      <c r="K31" s="8">
        <v>84</v>
      </c>
      <c r="L31" s="8">
        <v>1</v>
      </c>
      <c r="M31" s="8">
        <v>1</v>
      </c>
      <c r="N31" s="8">
        <v>1</v>
      </c>
      <c r="O31" s="8">
        <v>1</v>
      </c>
      <c r="P31" s="8">
        <v>68.8</v>
      </c>
      <c r="Q31" s="8">
        <v>0.28999999999999998</v>
      </c>
      <c r="R31" s="8">
        <v>17.5</v>
      </c>
      <c r="S31" s="8"/>
      <c r="T31" s="8">
        <f>0.95+1.09*0.899</f>
        <v>1.92991</v>
      </c>
      <c r="U31" s="8">
        <v>7.0000000000000007E-2</v>
      </c>
      <c r="V31" s="8">
        <v>0.66</v>
      </c>
      <c r="W31" s="8">
        <v>4.62</v>
      </c>
      <c r="X31" s="8">
        <v>4.5599999999999996</v>
      </c>
      <c r="Y31" s="8">
        <v>1.42</v>
      </c>
      <c r="Z31" s="8">
        <v>0.08</v>
      </c>
      <c r="AA31" s="8">
        <v>0.04</v>
      </c>
      <c r="AB31" s="8">
        <v>91.7</v>
      </c>
      <c r="AC31" s="8">
        <v>8.93</v>
      </c>
      <c r="AD31" s="8" t="s">
        <v>119</v>
      </c>
    </row>
    <row r="32" spans="1:30">
      <c r="A32" s="8" t="s">
        <v>1040</v>
      </c>
      <c r="B32" s="8">
        <v>2650</v>
      </c>
      <c r="C32" s="8" t="s">
        <v>645</v>
      </c>
      <c r="D32" s="8">
        <v>800</v>
      </c>
      <c r="E32" s="8">
        <v>7</v>
      </c>
      <c r="F32" s="8">
        <f t="shared" si="2"/>
        <v>432000</v>
      </c>
      <c r="G32" s="9">
        <v>3.5046513928104248E-14</v>
      </c>
      <c r="H32" s="10">
        <f t="shared" si="0"/>
        <v>0.24609017873081435</v>
      </c>
      <c r="I32" s="8">
        <v>9</v>
      </c>
      <c r="J32" s="8" t="s">
        <v>120</v>
      </c>
      <c r="K32" s="8">
        <v>69</v>
      </c>
      <c r="L32" s="8">
        <v>1</v>
      </c>
      <c r="M32" s="8">
        <v>1</v>
      </c>
      <c r="N32" s="8">
        <v>1</v>
      </c>
      <c r="O32" s="8">
        <v>1</v>
      </c>
      <c r="P32" s="8">
        <v>72.8</v>
      </c>
      <c r="Q32" s="8">
        <v>0.27</v>
      </c>
      <c r="R32" s="8">
        <v>15.5</v>
      </c>
      <c r="S32" s="8"/>
      <c r="T32" s="8">
        <f>0.62+0.899*0.74</f>
        <v>1.2852600000000001</v>
      </c>
      <c r="U32" s="8">
        <v>7.0000000000000007E-2</v>
      </c>
      <c r="V32" s="8">
        <v>0.41</v>
      </c>
      <c r="W32" s="8">
        <v>3.41</v>
      </c>
      <c r="X32" s="8">
        <v>4.45</v>
      </c>
      <c r="Y32" s="8">
        <v>1.67</v>
      </c>
      <c r="Z32" s="8">
        <v>0.06</v>
      </c>
      <c r="AA32" s="8">
        <v>0.04</v>
      </c>
      <c r="AB32" s="8">
        <v>90</v>
      </c>
      <c r="AC32" s="8">
        <v>9.09</v>
      </c>
      <c r="AD32" s="8" t="s">
        <v>119</v>
      </c>
    </row>
    <row r="33" spans="1:30">
      <c r="A33" s="8" t="s">
        <v>1040</v>
      </c>
      <c r="B33" s="8">
        <v>2647</v>
      </c>
      <c r="C33" s="8" t="s">
        <v>645</v>
      </c>
      <c r="D33" s="8">
        <v>875</v>
      </c>
      <c r="E33" s="8">
        <v>9</v>
      </c>
      <c r="F33" s="8">
        <f t="shared" si="2"/>
        <v>432000</v>
      </c>
      <c r="G33" s="9">
        <v>1.028135457036711E-13</v>
      </c>
      <c r="H33" s="10">
        <f t="shared" si="0"/>
        <v>0.42149947446698399</v>
      </c>
      <c r="I33" s="8">
        <v>9</v>
      </c>
      <c r="J33" s="8" t="s">
        <v>121</v>
      </c>
      <c r="K33" s="8">
        <v>87</v>
      </c>
      <c r="L33" s="8">
        <v>1</v>
      </c>
      <c r="M33" s="8">
        <v>1</v>
      </c>
      <c r="N33" s="8">
        <v>1</v>
      </c>
      <c r="O33" s="8">
        <v>1</v>
      </c>
      <c r="P33" s="8">
        <v>67.599999999999994</v>
      </c>
      <c r="Q33" s="8">
        <v>0.34</v>
      </c>
      <c r="R33" s="8">
        <v>17.7</v>
      </c>
      <c r="S33" s="8"/>
      <c r="T33" s="8">
        <f>1.38*0.899+1.18</f>
        <v>2.4206199999999995</v>
      </c>
      <c r="U33" s="8">
        <v>7.0000000000000007E-2</v>
      </c>
      <c r="V33" s="8">
        <v>0.86</v>
      </c>
      <c r="W33" s="8">
        <v>4.8499999999999996</v>
      </c>
      <c r="X33" s="8">
        <v>4.55</v>
      </c>
      <c r="Y33" s="8">
        <v>1.37</v>
      </c>
      <c r="Z33" s="8">
        <v>0.13</v>
      </c>
      <c r="AA33" s="8">
        <v>0.04</v>
      </c>
      <c r="AB33" s="8">
        <v>91.6</v>
      </c>
      <c r="AC33" s="8">
        <v>9.44</v>
      </c>
      <c r="AD33" s="8" t="s">
        <v>119</v>
      </c>
    </row>
    <row r="34" spans="1:30">
      <c r="A34" s="8" t="s">
        <v>1040</v>
      </c>
      <c r="B34" s="8">
        <v>2644</v>
      </c>
      <c r="C34" s="8" t="s">
        <v>645</v>
      </c>
      <c r="D34" s="8">
        <v>850</v>
      </c>
      <c r="E34" s="8">
        <v>9</v>
      </c>
      <c r="F34" s="8">
        <f t="shared" si="2"/>
        <v>432000</v>
      </c>
      <c r="G34" s="9">
        <v>7.2976735414337512E-14</v>
      </c>
      <c r="H34" s="10">
        <f t="shared" si="0"/>
        <v>0.35511096687651766</v>
      </c>
      <c r="I34" s="8">
        <v>9</v>
      </c>
      <c r="J34" s="8" t="s">
        <v>121</v>
      </c>
      <c r="K34" s="8">
        <v>84</v>
      </c>
      <c r="L34" s="8">
        <v>1</v>
      </c>
      <c r="M34" s="8">
        <v>1</v>
      </c>
      <c r="N34" s="8">
        <v>1</v>
      </c>
      <c r="O34" s="8">
        <v>1</v>
      </c>
      <c r="P34" s="8">
        <v>68.599999999999994</v>
      </c>
      <c r="Q34" s="8">
        <v>0.28000000000000003</v>
      </c>
      <c r="R34" s="8">
        <v>17.5</v>
      </c>
      <c r="S34" s="8"/>
      <c r="T34" s="8">
        <f>1.16*0.899+0.96</f>
        <v>2.00284</v>
      </c>
      <c r="U34" s="8">
        <v>0.09</v>
      </c>
      <c r="V34" s="8">
        <v>0.64</v>
      </c>
      <c r="W34" s="8">
        <v>4.6500000000000004</v>
      </c>
      <c r="X34" s="8">
        <v>4.6100000000000003</v>
      </c>
      <c r="Y34" s="8">
        <v>1.4</v>
      </c>
      <c r="Z34" s="8">
        <v>0.1</v>
      </c>
      <c r="AA34" s="8">
        <v>0.04</v>
      </c>
      <c r="AB34" s="8">
        <v>91.4</v>
      </c>
      <c r="AC34" s="8">
        <v>9.02</v>
      </c>
      <c r="AD34" s="8" t="s">
        <v>119</v>
      </c>
    </row>
    <row r="35" spans="1:30">
      <c r="A35" s="8" t="s">
        <v>1040</v>
      </c>
      <c r="B35" s="8">
        <v>2649</v>
      </c>
      <c r="C35" s="8" t="s">
        <v>645</v>
      </c>
      <c r="D35" s="8">
        <v>800</v>
      </c>
      <c r="E35" s="8">
        <v>9</v>
      </c>
      <c r="F35" s="8">
        <f t="shared" si="2"/>
        <v>432000</v>
      </c>
      <c r="G35" s="9">
        <v>3.5046513928104248E-14</v>
      </c>
      <c r="H35" s="10">
        <f t="shared" si="0"/>
        <v>0.24609017873081435</v>
      </c>
      <c r="I35" s="8">
        <v>9</v>
      </c>
      <c r="J35" s="8" t="s">
        <v>120</v>
      </c>
      <c r="K35" s="8">
        <v>74</v>
      </c>
      <c r="L35" s="8">
        <v>1</v>
      </c>
      <c r="M35" s="8">
        <v>1</v>
      </c>
      <c r="N35" s="8">
        <v>1</v>
      </c>
      <c r="O35" s="8">
        <v>1</v>
      </c>
      <c r="P35" s="8">
        <v>71.599999999999994</v>
      </c>
      <c r="Q35" s="8">
        <v>0.23</v>
      </c>
      <c r="R35" s="8">
        <v>16.399999999999999</v>
      </c>
      <c r="S35" s="8"/>
      <c r="T35" s="8">
        <f>0.81*0.899+0.65</f>
        <v>1.37819</v>
      </c>
      <c r="U35" s="8">
        <v>0.1</v>
      </c>
      <c r="V35" s="8">
        <v>0.43</v>
      </c>
      <c r="W35" s="8">
        <v>3.76</v>
      </c>
      <c r="X35" s="8">
        <v>4.49</v>
      </c>
      <c r="Y35" s="8">
        <v>1.55</v>
      </c>
      <c r="Z35" s="8">
        <v>7.0000000000000007E-2</v>
      </c>
      <c r="AA35" s="8">
        <v>0.03</v>
      </c>
      <c r="AB35" s="8">
        <v>90.3</v>
      </c>
      <c r="AC35" s="8">
        <v>8.9600000000000009</v>
      </c>
      <c r="AD35" s="8" t="s">
        <v>119</v>
      </c>
    </row>
    <row r="36" spans="1:30">
      <c r="A36" s="8" t="s">
        <v>1049</v>
      </c>
      <c r="B36" s="6" t="s">
        <v>210</v>
      </c>
      <c r="C36" s="8" t="s">
        <v>645</v>
      </c>
      <c r="D36" s="6">
        <v>950</v>
      </c>
      <c r="E36" s="8">
        <v>13</v>
      </c>
      <c r="F36" s="8">
        <f t="shared" si="2"/>
        <v>432000</v>
      </c>
      <c r="G36" s="9">
        <v>2.6432360916877484E-13</v>
      </c>
      <c r="H36" s="10">
        <f t="shared" si="0"/>
        <v>0.67583370487394523</v>
      </c>
      <c r="I36" s="6">
        <v>2</v>
      </c>
      <c r="J36" s="6" t="s">
        <v>211</v>
      </c>
      <c r="K36" s="6">
        <v>19</v>
      </c>
      <c r="L36" s="6">
        <v>1</v>
      </c>
      <c r="M36" s="6">
        <v>1</v>
      </c>
      <c r="N36" s="6">
        <v>1</v>
      </c>
      <c r="O36" s="8">
        <v>1</v>
      </c>
      <c r="P36" s="6">
        <v>66</v>
      </c>
      <c r="Q36" s="6">
        <v>0.48</v>
      </c>
      <c r="R36" s="6">
        <v>19.100000000000001</v>
      </c>
      <c r="T36" s="6">
        <v>3.5</v>
      </c>
      <c r="U36" s="6">
        <v>0.05</v>
      </c>
      <c r="V36" s="6">
        <v>1.1499999999999999</v>
      </c>
      <c r="W36" s="6">
        <v>4.42</v>
      </c>
      <c r="X36" s="6">
        <v>3.42</v>
      </c>
      <c r="Y36" s="6">
        <v>1.51</v>
      </c>
      <c r="Z36" s="6">
        <v>0.37</v>
      </c>
      <c r="AA36" s="6">
        <v>7.0000000000000007E-2</v>
      </c>
      <c r="AB36" s="6">
        <v>94.2</v>
      </c>
      <c r="AC36" s="6">
        <v>6.1</v>
      </c>
      <c r="AD36" s="6" t="s">
        <v>173</v>
      </c>
    </row>
    <row r="37" spans="1:30">
      <c r="A37" s="8" t="s">
        <v>1049</v>
      </c>
      <c r="B37" s="6">
        <v>2964</v>
      </c>
      <c r="C37" s="8" t="s">
        <v>645</v>
      </c>
      <c r="D37" s="6">
        <v>950</v>
      </c>
      <c r="E37" s="8">
        <v>14</v>
      </c>
      <c r="F37" s="8">
        <f t="shared" si="2"/>
        <v>432000</v>
      </c>
      <c r="G37" s="9">
        <v>2.6432360916877484E-13</v>
      </c>
      <c r="H37" s="10">
        <f t="shared" si="0"/>
        <v>0.67583370487394523</v>
      </c>
      <c r="I37" s="6">
        <v>4.4000000000000004</v>
      </c>
      <c r="J37" s="6" t="s">
        <v>212</v>
      </c>
      <c r="K37" s="6">
        <v>67</v>
      </c>
      <c r="L37" s="6">
        <v>1</v>
      </c>
      <c r="M37" s="6">
        <v>1</v>
      </c>
      <c r="N37" s="6">
        <v>1</v>
      </c>
      <c r="O37" s="8">
        <v>1</v>
      </c>
      <c r="P37" s="6">
        <v>67.5</v>
      </c>
      <c r="Q37" s="6">
        <v>0.71</v>
      </c>
      <c r="R37" s="6">
        <v>17.3</v>
      </c>
      <c r="T37" s="6">
        <v>2.81</v>
      </c>
      <c r="U37" s="6">
        <v>0.06</v>
      </c>
      <c r="V37" s="6">
        <v>1.28</v>
      </c>
      <c r="W37" s="6">
        <v>3.9</v>
      </c>
      <c r="X37" s="6">
        <v>4.5199999999999996</v>
      </c>
      <c r="Y37" s="6">
        <v>1.71</v>
      </c>
      <c r="Z37" s="6">
        <v>0.2</v>
      </c>
      <c r="AA37" s="6">
        <v>0.08</v>
      </c>
      <c r="AB37" s="6">
        <v>92</v>
      </c>
      <c r="AC37" s="6">
        <v>5.6</v>
      </c>
      <c r="AD37" s="6" t="s">
        <v>213</v>
      </c>
    </row>
    <row r="38" spans="1:30">
      <c r="A38" s="8" t="s">
        <v>1049</v>
      </c>
      <c r="B38" s="6">
        <v>2961</v>
      </c>
      <c r="C38" s="8" t="s">
        <v>645</v>
      </c>
      <c r="D38" s="6">
        <v>900</v>
      </c>
      <c r="E38" s="8">
        <v>14</v>
      </c>
      <c r="F38" s="8">
        <f t="shared" si="2"/>
        <v>432000</v>
      </c>
      <c r="G38" s="9">
        <v>1.4274849337614078E-13</v>
      </c>
      <c r="H38" s="10">
        <f t="shared" si="0"/>
        <v>0.49665822912136592</v>
      </c>
      <c r="I38" s="6">
        <v>4.4000000000000004</v>
      </c>
      <c r="J38" s="6" t="s">
        <v>214</v>
      </c>
      <c r="K38" s="6">
        <v>63</v>
      </c>
      <c r="L38" s="6">
        <v>1</v>
      </c>
      <c r="M38" s="6">
        <v>1</v>
      </c>
      <c r="N38" s="6">
        <v>1</v>
      </c>
      <c r="O38" s="8">
        <v>1</v>
      </c>
      <c r="P38" s="6">
        <v>69.099999999999994</v>
      </c>
      <c r="Q38" s="6">
        <v>0.57999999999999996</v>
      </c>
      <c r="R38" s="6">
        <v>16.899999999999999</v>
      </c>
      <c r="T38" s="6">
        <v>2.46</v>
      </c>
      <c r="U38" s="6">
        <v>0.08</v>
      </c>
      <c r="V38" s="6">
        <v>0.92</v>
      </c>
      <c r="W38" s="6">
        <v>3.57</v>
      </c>
      <c r="X38" s="6">
        <v>4.42</v>
      </c>
      <c r="Y38" s="6">
        <v>1.76</v>
      </c>
      <c r="Z38" s="6">
        <v>0.21</v>
      </c>
      <c r="AA38" s="6">
        <v>7.0000000000000007E-2</v>
      </c>
      <c r="AB38" s="6">
        <v>91.6</v>
      </c>
      <c r="AC38" s="6">
        <v>5.7</v>
      </c>
      <c r="AD38" s="6" t="s">
        <v>213</v>
      </c>
    </row>
    <row r="39" spans="1:30">
      <c r="A39" s="8" t="s">
        <v>1049</v>
      </c>
      <c r="B39" s="6" t="s">
        <v>215</v>
      </c>
      <c r="C39" s="8" t="s">
        <v>645</v>
      </c>
      <c r="D39" s="6">
        <v>950</v>
      </c>
      <c r="E39" s="8">
        <v>13</v>
      </c>
      <c r="F39" s="8">
        <f t="shared" si="2"/>
        <v>432000</v>
      </c>
      <c r="G39" s="9">
        <v>2.6432360916877484E-13</v>
      </c>
      <c r="H39" s="10">
        <f t="shared" si="0"/>
        <v>0.67583370487394523</v>
      </c>
      <c r="I39" s="6">
        <v>3</v>
      </c>
      <c r="J39" s="6" t="s">
        <v>216</v>
      </c>
      <c r="K39" s="6">
        <v>56</v>
      </c>
      <c r="L39" s="6">
        <v>1</v>
      </c>
      <c r="M39" s="6">
        <v>1</v>
      </c>
      <c r="N39" s="6">
        <v>1</v>
      </c>
      <c r="O39" s="8">
        <v>1</v>
      </c>
      <c r="P39" s="6">
        <v>71.400000000000006</v>
      </c>
      <c r="Q39" s="6">
        <v>0.36</v>
      </c>
      <c r="R39" s="6">
        <v>15.9</v>
      </c>
      <c r="T39" s="6">
        <v>2.0499999999999998</v>
      </c>
      <c r="U39" s="6">
        <v>0.03</v>
      </c>
      <c r="V39" s="6">
        <v>0.64</v>
      </c>
      <c r="W39" s="6">
        <v>2.86</v>
      </c>
      <c r="X39" s="6">
        <v>4.37</v>
      </c>
      <c r="Y39" s="6">
        <v>2.17</v>
      </c>
      <c r="Z39" s="6">
        <v>0.16</v>
      </c>
      <c r="AA39" s="6">
        <v>0.05</v>
      </c>
      <c r="AB39" s="6">
        <v>94.4</v>
      </c>
      <c r="AC39" s="6">
        <v>4.5999999999999996</v>
      </c>
      <c r="AD39" s="6" t="s">
        <v>213</v>
      </c>
    </row>
    <row r="40" spans="1:30">
      <c r="A40" s="8" t="s">
        <v>1049</v>
      </c>
      <c r="B40" s="6">
        <v>2939</v>
      </c>
      <c r="C40" s="8" t="s">
        <v>645</v>
      </c>
      <c r="D40" s="6">
        <v>950</v>
      </c>
      <c r="E40" s="8">
        <v>14.6</v>
      </c>
      <c r="F40" s="8">
        <f>123*3600</f>
        <v>442800</v>
      </c>
      <c r="G40" s="9">
        <v>2.6432360916877484E-13</v>
      </c>
      <c r="H40" s="10">
        <f t="shared" si="0"/>
        <v>0.68422947653527322</v>
      </c>
      <c r="I40" s="6">
        <v>3</v>
      </c>
      <c r="J40" s="6" t="s">
        <v>217</v>
      </c>
      <c r="K40" s="6">
        <v>54</v>
      </c>
      <c r="L40" s="6">
        <v>1</v>
      </c>
      <c r="M40" s="6">
        <v>1</v>
      </c>
      <c r="N40" s="6">
        <v>1</v>
      </c>
      <c r="O40" s="8">
        <v>1</v>
      </c>
      <c r="P40" s="6">
        <v>69.900000000000006</v>
      </c>
      <c r="Q40" s="6">
        <v>0.73</v>
      </c>
      <c r="R40" s="6">
        <v>15.3</v>
      </c>
      <c r="T40" s="6">
        <v>2.96</v>
      </c>
      <c r="U40" s="6">
        <v>0.08</v>
      </c>
      <c r="V40" s="6">
        <v>0.74</v>
      </c>
      <c r="W40" s="6">
        <v>3</v>
      </c>
      <c r="X40" s="6">
        <v>4.79</v>
      </c>
      <c r="Y40" s="6">
        <v>2.2200000000000002</v>
      </c>
      <c r="Z40" s="6">
        <v>0.2</v>
      </c>
      <c r="AA40" s="6">
        <v>7.0000000000000007E-2</v>
      </c>
      <c r="AB40" s="6">
        <v>94.6</v>
      </c>
      <c r="AC40" s="6">
        <v>5.6</v>
      </c>
      <c r="AD40" s="6" t="s">
        <v>173</v>
      </c>
    </row>
    <row r="41" spans="1:30">
      <c r="A41" s="8" t="s">
        <v>1049</v>
      </c>
      <c r="B41" s="6">
        <v>2932</v>
      </c>
      <c r="C41" s="8" t="s">
        <v>645</v>
      </c>
      <c r="D41" s="6">
        <v>925</v>
      </c>
      <c r="E41" s="8">
        <v>14.6</v>
      </c>
      <c r="F41" s="8">
        <f>120*3600</f>
        <v>432000</v>
      </c>
      <c r="G41" s="9">
        <v>1.9549928676947054E-13</v>
      </c>
      <c r="H41" s="10">
        <f t="shared" si="0"/>
        <v>0.58122522961210576</v>
      </c>
      <c r="I41" s="6">
        <v>3</v>
      </c>
      <c r="J41" s="6" t="s">
        <v>216</v>
      </c>
      <c r="K41" s="6">
        <v>54</v>
      </c>
      <c r="L41" s="6">
        <v>1</v>
      </c>
      <c r="M41" s="6">
        <v>1</v>
      </c>
      <c r="N41" s="6">
        <v>1</v>
      </c>
      <c r="O41" s="8">
        <v>1</v>
      </c>
      <c r="P41" s="6">
        <v>71.2</v>
      </c>
      <c r="Q41" s="6">
        <v>0.41</v>
      </c>
      <c r="R41" s="6">
        <v>15.5</v>
      </c>
      <c r="T41" s="6">
        <v>2.67</v>
      </c>
      <c r="U41" s="6">
        <v>0.05</v>
      </c>
      <c r="V41" s="6">
        <v>0.56999999999999995</v>
      </c>
      <c r="W41" s="6">
        <v>2.77</v>
      </c>
      <c r="X41" s="6">
        <v>4.43</v>
      </c>
      <c r="Y41" s="6">
        <v>2.15</v>
      </c>
      <c r="Z41" s="6">
        <v>0.2</v>
      </c>
      <c r="AA41" s="6">
        <v>0.06</v>
      </c>
      <c r="AB41" s="6">
        <v>93.2</v>
      </c>
      <c r="AC41" s="6">
        <v>4.3</v>
      </c>
      <c r="AD41" s="6" t="s">
        <v>213</v>
      </c>
    </row>
    <row r="42" spans="1:30">
      <c r="A42" s="8" t="s">
        <v>1049</v>
      </c>
      <c r="B42" s="6">
        <v>2946</v>
      </c>
      <c r="C42" s="8" t="s">
        <v>645</v>
      </c>
      <c r="D42" s="6">
        <v>900</v>
      </c>
      <c r="E42" s="8">
        <v>14.6</v>
      </c>
      <c r="F42" s="8">
        <f>119*3600</f>
        <v>428400</v>
      </c>
      <c r="G42" s="9">
        <v>1.4274849337614078E-13</v>
      </c>
      <c r="H42" s="10">
        <f t="shared" si="0"/>
        <v>0.49458449050627823</v>
      </c>
      <c r="I42" s="6">
        <v>3</v>
      </c>
      <c r="J42" s="6" t="s">
        <v>218</v>
      </c>
      <c r="K42" s="6">
        <v>44</v>
      </c>
      <c r="L42" s="6">
        <v>1</v>
      </c>
      <c r="M42" s="6">
        <v>1</v>
      </c>
      <c r="N42" s="6">
        <v>1</v>
      </c>
      <c r="O42" s="8">
        <v>1</v>
      </c>
      <c r="P42" s="6">
        <v>71.3</v>
      </c>
      <c r="Q42" s="6">
        <v>0.33</v>
      </c>
      <c r="R42" s="6">
        <v>15.5</v>
      </c>
      <c r="T42" s="6">
        <v>2.4500000000000002</v>
      </c>
      <c r="U42" s="6">
        <v>0.06</v>
      </c>
      <c r="V42" s="6">
        <v>0.4</v>
      </c>
      <c r="W42" s="6">
        <v>2.48</v>
      </c>
      <c r="X42" s="6">
        <v>4.6500000000000004</v>
      </c>
      <c r="Y42" s="6">
        <v>2.54</v>
      </c>
      <c r="Z42" s="6">
        <v>0.23</v>
      </c>
      <c r="AA42" s="6">
        <v>0.04</v>
      </c>
      <c r="AB42" s="6">
        <v>91.3</v>
      </c>
      <c r="AC42" s="6">
        <v>5.8</v>
      </c>
      <c r="AD42" s="6" t="s">
        <v>213</v>
      </c>
    </row>
    <row r="43" spans="1:30">
      <c r="A43" s="8" t="s">
        <v>1049</v>
      </c>
      <c r="B43" s="6">
        <v>2945</v>
      </c>
      <c r="C43" s="8" t="s">
        <v>645</v>
      </c>
      <c r="D43" s="6">
        <v>900</v>
      </c>
      <c r="E43" s="8">
        <v>14.6</v>
      </c>
      <c r="F43" s="8">
        <f>120*3600</f>
        <v>432000</v>
      </c>
      <c r="G43" s="9">
        <v>1.4274849337614078E-13</v>
      </c>
      <c r="H43" s="10">
        <f t="shared" si="0"/>
        <v>0.49665822912136592</v>
      </c>
      <c r="I43" s="6">
        <v>6</v>
      </c>
      <c r="J43" s="6" t="s">
        <v>219</v>
      </c>
      <c r="K43" s="6">
        <v>83</v>
      </c>
      <c r="L43" s="6">
        <v>1</v>
      </c>
      <c r="M43" s="6">
        <v>1</v>
      </c>
      <c r="N43" s="6">
        <v>1</v>
      </c>
      <c r="O43" s="8">
        <v>1</v>
      </c>
      <c r="P43" s="6">
        <v>69.2</v>
      </c>
      <c r="Q43" s="6">
        <v>0.38</v>
      </c>
      <c r="R43" s="6">
        <v>17.100000000000001</v>
      </c>
      <c r="T43" s="6">
        <v>2.6</v>
      </c>
      <c r="U43" s="6">
        <v>0.06</v>
      </c>
      <c r="V43" s="6">
        <v>0.68</v>
      </c>
      <c r="W43" s="6">
        <v>3.48</v>
      </c>
      <c r="X43" s="6">
        <v>4.66</v>
      </c>
      <c r="Y43" s="6">
        <v>1.72</v>
      </c>
      <c r="Z43" s="6">
        <v>0.18</v>
      </c>
      <c r="AA43" s="6">
        <v>0.04</v>
      </c>
      <c r="AB43" s="6">
        <v>89.9</v>
      </c>
      <c r="AC43" s="6">
        <v>7</v>
      </c>
      <c r="AD43" s="6" t="s">
        <v>213</v>
      </c>
    </row>
    <row r="44" spans="1:30">
      <c r="A44" s="8" t="s">
        <v>1049</v>
      </c>
      <c r="B44" s="6">
        <v>2888</v>
      </c>
      <c r="C44" s="8" t="s">
        <v>645</v>
      </c>
      <c r="D44" s="6">
        <v>850</v>
      </c>
      <c r="E44" s="8">
        <v>14.6</v>
      </c>
      <c r="F44" s="8">
        <f>115*3600</f>
        <v>414000</v>
      </c>
      <c r="G44" s="9">
        <v>7.2976735414337512E-14</v>
      </c>
      <c r="H44" s="10">
        <f t="shared" si="0"/>
        <v>0.34763410915234272</v>
      </c>
      <c r="I44" s="6">
        <v>9</v>
      </c>
      <c r="J44" s="6" t="s">
        <v>220</v>
      </c>
      <c r="K44" s="6">
        <v>89</v>
      </c>
      <c r="L44" s="6">
        <v>1</v>
      </c>
      <c r="M44" s="6">
        <v>1</v>
      </c>
      <c r="N44" s="6">
        <v>1</v>
      </c>
      <c r="O44" s="8">
        <v>1</v>
      </c>
      <c r="P44" s="6">
        <v>69.099999999999994</v>
      </c>
      <c r="Q44" s="6">
        <v>0.22</v>
      </c>
      <c r="R44" s="6">
        <v>18.2</v>
      </c>
      <c r="T44" s="6">
        <v>1.96</v>
      </c>
      <c r="U44" s="6">
        <v>7.0000000000000007E-2</v>
      </c>
      <c r="V44" s="6">
        <v>0.53</v>
      </c>
      <c r="W44" s="6">
        <v>3.59</v>
      </c>
      <c r="X44" s="6">
        <v>4.7</v>
      </c>
      <c r="Y44" s="6">
        <v>1.37</v>
      </c>
      <c r="Z44" s="6">
        <v>0.22</v>
      </c>
      <c r="AA44" s="6">
        <v>0.05</v>
      </c>
      <c r="AB44" s="6">
        <v>89.5</v>
      </c>
      <c r="AC44" s="6">
        <v>8.9</v>
      </c>
      <c r="AD44" s="6" t="s">
        <v>213</v>
      </c>
    </row>
    <row r="45" spans="1:30">
      <c r="A45" s="8" t="s">
        <v>1049</v>
      </c>
      <c r="B45" s="6">
        <v>2890</v>
      </c>
      <c r="C45" s="8" t="s">
        <v>645</v>
      </c>
      <c r="D45" s="6">
        <v>800</v>
      </c>
      <c r="E45" s="8">
        <v>14.6</v>
      </c>
      <c r="F45" s="8">
        <f>168*3600</f>
        <v>604800</v>
      </c>
      <c r="G45" s="9">
        <v>3.5046513928104248E-14</v>
      </c>
      <c r="H45" s="10">
        <f t="shared" si="0"/>
        <v>0.29117782624174837</v>
      </c>
      <c r="I45" s="6">
        <v>9</v>
      </c>
      <c r="J45" s="6" t="s">
        <v>104</v>
      </c>
      <c r="K45" s="6">
        <v>79</v>
      </c>
      <c r="L45" s="6">
        <v>1</v>
      </c>
      <c r="M45" s="6">
        <v>1</v>
      </c>
      <c r="N45" s="6">
        <v>1</v>
      </c>
      <c r="O45" s="8">
        <v>1</v>
      </c>
      <c r="P45" s="6">
        <v>70.8</v>
      </c>
      <c r="Q45" s="6">
        <v>0.18</v>
      </c>
      <c r="R45" s="6">
        <v>17.3</v>
      </c>
      <c r="T45" s="6">
        <v>1.59</v>
      </c>
      <c r="U45" s="6">
        <v>0.08</v>
      </c>
      <c r="V45" s="6">
        <v>0.37</v>
      </c>
      <c r="W45" s="6">
        <v>3.31</v>
      </c>
      <c r="X45" s="6">
        <v>4.74</v>
      </c>
      <c r="Y45" s="6">
        <v>1.42</v>
      </c>
      <c r="Z45" s="6">
        <v>0.23</v>
      </c>
      <c r="AA45" s="6">
        <v>0.06</v>
      </c>
      <c r="AB45" s="6">
        <v>90.7</v>
      </c>
      <c r="AC45" s="6">
        <v>9.9</v>
      </c>
      <c r="AD45" s="6" t="s">
        <v>213</v>
      </c>
    </row>
    <row r="46" spans="1:30">
      <c r="A46" s="8" t="s">
        <v>1097</v>
      </c>
      <c r="B46" s="36" t="s">
        <v>912</v>
      </c>
      <c r="C46" s="8" t="s">
        <v>645</v>
      </c>
      <c r="D46" s="12">
        <v>950</v>
      </c>
      <c r="E46" s="6">
        <v>4.0999999999999996</v>
      </c>
      <c r="F46" s="11">
        <f>71*3600</f>
        <v>255600</v>
      </c>
      <c r="G46" s="9">
        <v>2.6432360916877484E-13</v>
      </c>
      <c r="H46" s="10">
        <f t="shared" si="0"/>
        <v>0.5198504188842743</v>
      </c>
      <c r="I46" s="13" t="s">
        <v>913</v>
      </c>
      <c r="J46" s="6" t="s">
        <v>914</v>
      </c>
      <c r="K46" s="6">
        <v>79.5</v>
      </c>
      <c r="L46" s="6">
        <v>1</v>
      </c>
      <c r="M46" s="6">
        <v>1</v>
      </c>
      <c r="N46" s="6">
        <v>1</v>
      </c>
      <c r="O46" s="6">
        <v>1</v>
      </c>
      <c r="P46" s="14">
        <v>68.010000000000005</v>
      </c>
      <c r="Q46" s="14">
        <v>0.57999999999999996</v>
      </c>
      <c r="R46" s="14">
        <v>15.65</v>
      </c>
      <c r="S46" s="14"/>
      <c r="T46" s="14">
        <v>3.28</v>
      </c>
      <c r="U46" s="14">
        <v>0.11</v>
      </c>
      <c r="V46" s="14">
        <v>1</v>
      </c>
      <c r="W46" s="14">
        <v>3.39</v>
      </c>
      <c r="X46" s="14">
        <v>3.91</v>
      </c>
      <c r="Y46" s="14">
        <v>3.79</v>
      </c>
      <c r="Z46" s="14">
        <v>0.22</v>
      </c>
      <c r="AA46" s="14">
        <v>7.0000000000000007E-2</v>
      </c>
      <c r="AB46" s="14">
        <v>93.11</v>
      </c>
      <c r="AC46" s="15">
        <v>5.4</v>
      </c>
      <c r="AD46" s="14" t="s">
        <v>900</v>
      </c>
    </row>
    <row r="47" spans="1:30">
      <c r="A47" s="8" t="s">
        <v>1097</v>
      </c>
      <c r="B47" s="36" t="s">
        <v>915</v>
      </c>
      <c r="C47" s="8" t="s">
        <v>645</v>
      </c>
      <c r="D47" s="12">
        <v>880</v>
      </c>
      <c r="E47" s="6">
        <v>4</v>
      </c>
      <c r="F47" s="11">
        <f>214*3600</f>
        <v>770400</v>
      </c>
      <c r="G47" s="9">
        <v>1.0991297115956369E-13</v>
      </c>
      <c r="H47" s="10">
        <f t="shared" si="0"/>
        <v>0.58198609255317379</v>
      </c>
      <c r="I47" s="13" t="s">
        <v>867</v>
      </c>
      <c r="J47" s="6" t="s">
        <v>916</v>
      </c>
      <c r="K47" s="6">
        <v>63.9</v>
      </c>
      <c r="L47" s="6">
        <v>1</v>
      </c>
      <c r="M47" s="6">
        <v>1</v>
      </c>
      <c r="N47" s="6">
        <v>1</v>
      </c>
      <c r="O47" s="6">
        <v>1</v>
      </c>
      <c r="P47" s="14">
        <v>72.14</v>
      </c>
      <c r="Q47" s="14">
        <v>0.23</v>
      </c>
      <c r="R47" s="14">
        <v>15.18</v>
      </c>
      <c r="S47" s="14"/>
      <c r="T47" s="14">
        <v>1.91</v>
      </c>
      <c r="U47" s="14">
        <v>0.05</v>
      </c>
      <c r="V47" s="14">
        <v>0.14000000000000001</v>
      </c>
      <c r="W47" s="14">
        <v>1.94</v>
      </c>
      <c r="X47" s="14">
        <v>3.78</v>
      </c>
      <c r="Y47" s="14">
        <v>4.57</v>
      </c>
      <c r="Z47" s="14">
        <v>0.04</v>
      </c>
      <c r="AA47" s="14">
        <v>0.03</v>
      </c>
      <c r="AB47" s="14">
        <v>92.77</v>
      </c>
      <c r="AC47" s="15">
        <v>6</v>
      </c>
      <c r="AD47" s="14" t="s">
        <v>900</v>
      </c>
    </row>
    <row r="48" spans="1:30">
      <c r="A48" s="8" t="s">
        <v>1097</v>
      </c>
      <c r="B48" s="36" t="s">
        <v>917</v>
      </c>
      <c r="C48" s="8" t="s">
        <v>645</v>
      </c>
      <c r="D48" s="12">
        <v>850</v>
      </c>
      <c r="E48" s="6">
        <v>4</v>
      </c>
      <c r="F48" s="11">
        <f>218*3600</f>
        <v>784800</v>
      </c>
      <c r="G48" s="9">
        <v>7.2976735414337512E-14</v>
      </c>
      <c r="H48" s="10">
        <f t="shared" si="0"/>
        <v>0.47863197533458662</v>
      </c>
      <c r="I48" s="13" t="s">
        <v>871</v>
      </c>
      <c r="J48" s="6" t="s">
        <v>918</v>
      </c>
      <c r="K48" s="6">
        <v>71.8</v>
      </c>
      <c r="L48" s="6">
        <v>1</v>
      </c>
      <c r="M48" s="6">
        <v>1</v>
      </c>
      <c r="N48" s="6">
        <v>1</v>
      </c>
      <c r="O48" s="6">
        <v>1</v>
      </c>
      <c r="P48" s="14">
        <v>71.75</v>
      </c>
      <c r="Q48" s="14">
        <v>0.28999999999999998</v>
      </c>
      <c r="R48" s="14">
        <v>15.22</v>
      </c>
      <c r="S48" s="14"/>
      <c r="T48" s="14">
        <v>2.13</v>
      </c>
      <c r="U48" s="14">
        <v>0.11</v>
      </c>
      <c r="V48" s="14">
        <v>0.27</v>
      </c>
      <c r="W48" s="14">
        <v>2.5099999999999998</v>
      </c>
      <c r="X48" s="14">
        <v>3.51</v>
      </c>
      <c r="Y48" s="14">
        <v>4.0999999999999996</v>
      </c>
      <c r="Z48" s="14">
        <v>0.11</v>
      </c>
      <c r="AA48" s="14">
        <v>0.09</v>
      </c>
      <c r="AB48" s="14">
        <v>92.28</v>
      </c>
      <c r="AC48" s="15">
        <v>6.7</v>
      </c>
      <c r="AD48" s="14" t="s">
        <v>900</v>
      </c>
    </row>
    <row r="49" spans="1:30">
      <c r="A49" s="8" t="s">
        <v>1097</v>
      </c>
      <c r="B49" s="36" t="s">
        <v>919</v>
      </c>
      <c r="C49" s="8" t="s">
        <v>645</v>
      </c>
      <c r="D49" s="12">
        <v>830</v>
      </c>
      <c r="E49" s="6">
        <v>4</v>
      </c>
      <c r="F49" s="11">
        <f>309*3600</f>
        <v>1112400</v>
      </c>
      <c r="G49" s="9">
        <v>5.4857200896785217E-14</v>
      </c>
      <c r="H49" s="10">
        <f t="shared" si="0"/>
        <v>0.49405728525175646</v>
      </c>
      <c r="I49" s="13" t="s">
        <v>920</v>
      </c>
      <c r="J49" s="6" t="s">
        <v>921</v>
      </c>
      <c r="K49" s="6">
        <v>56.8</v>
      </c>
      <c r="L49" s="6">
        <v>1</v>
      </c>
      <c r="M49" s="6">
        <v>1</v>
      </c>
      <c r="N49" s="6">
        <v>1</v>
      </c>
      <c r="O49" s="6">
        <v>1</v>
      </c>
      <c r="P49" s="14">
        <v>74.41</v>
      </c>
      <c r="Q49" s="14">
        <v>0.14000000000000001</v>
      </c>
      <c r="R49" s="14">
        <v>14.25</v>
      </c>
      <c r="S49" s="14"/>
      <c r="T49" s="14">
        <v>1.32</v>
      </c>
      <c r="U49" s="14">
        <v>0.09</v>
      </c>
      <c r="V49" s="14">
        <v>7.0000000000000007E-2</v>
      </c>
      <c r="W49" s="14">
        <v>1.74</v>
      </c>
      <c r="X49" s="14">
        <v>3.37</v>
      </c>
      <c r="Y49" s="14">
        <v>4.43</v>
      </c>
      <c r="Z49" s="14">
        <v>0.16</v>
      </c>
      <c r="AA49" s="14">
        <v>0.16</v>
      </c>
      <c r="AB49" s="14">
        <v>92.02</v>
      </c>
      <c r="AC49" s="15">
        <v>6.6</v>
      </c>
      <c r="AD49" s="14" t="s">
        <v>900</v>
      </c>
    </row>
    <row r="50" spans="1:30">
      <c r="A50" s="8" t="s">
        <v>1097</v>
      </c>
      <c r="B50" s="37" t="s">
        <v>922</v>
      </c>
      <c r="C50" s="8" t="s">
        <v>645</v>
      </c>
      <c r="D50" s="12">
        <v>950</v>
      </c>
      <c r="E50" s="6">
        <v>4.0999999999999996</v>
      </c>
      <c r="F50" s="11">
        <f>71*3600</f>
        <v>255600</v>
      </c>
      <c r="G50" s="9">
        <v>2.6432360916877484E-13</v>
      </c>
      <c r="H50" s="10">
        <f t="shared" si="0"/>
        <v>0.5198504188842743</v>
      </c>
      <c r="I50" s="13" t="s">
        <v>923</v>
      </c>
      <c r="J50" s="6" t="s">
        <v>914</v>
      </c>
      <c r="K50" s="6">
        <v>91.3</v>
      </c>
      <c r="L50" s="6">
        <v>1</v>
      </c>
      <c r="M50" s="6">
        <v>1</v>
      </c>
      <c r="N50" s="6">
        <v>1</v>
      </c>
      <c r="O50" s="6">
        <v>1</v>
      </c>
      <c r="P50" s="14">
        <v>69.69</v>
      </c>
      <c r="Q50" s="14">
        <v>0.55000000000000004</v>
      </c>
      <c r="R50" s="14">
        <v>15.01</v>
      </c>
      <c r="S50" s="14"/>
      <c r="T50" s="14">
        <v>2.84</v>
      </c>
      <c r="U50" s="14">
        <v>0.06</v>
      </c>
      <c r="V50" s="14">
        <v>0.81</v>
      </c>
      <c r="W50" s="14">
        <v>2.86</v>
      </c>
      <c r="X50" s="14">
        <v>3.37</v>
      </c>
      <c r="Y50" s="14">
        <v>4.55</v>
      </c>
      <c r="Z50" s="14">
        <v>0.19</v>
      </c>
      <c r="AA50" s="14">
        <v>0.11</v>
      </c>
      <c r="AB50" s="14">
        <v>93.02</v>
      </c>
      <c r="AC50" s="15">
        <v>5.5</v>
      </c>
      <c r="AD50" s="14" t="s">
        <v>900</v>
      </c>
    </row>
    <row r="51" spans="1:30">
      <c r="A51" s="8" t="s">
        <v>1097</v>
      </c>
      <c r="B51" s="38" t="s">
        <v>924</v>
      </c>
      <c r="C51" s="8" t="s">
        <v>645</v>
      </c>
      <c r="D51" s="12">
        <v>950</v>
      </c>
      <c r="E51" s="6">
        <v>4</v>
      </c>
      <c r="F51" s="11">
        <f>214*3600</f>
        <v>770400</v>
      </c>
      <c r="G51" s="9">
        <v>2.6432360916877484E-13</v>
      </c>
      <c r="H51" s="10">
        <f t="shared" si="0"/>
        <v>0.90251849510937809</v>
      </c>
      <c r="I51" s="13" t="s">
        <v>925</v>
      </c>
      <c r="J51" s="6" t="s">
        <v>926</v>
      </c>
      <c r="K51" s="6">
        <v>80.5</v>
      </c>
      <c r="L51" s="6">
        <v>1</v>
      </c>
      <c r="M51" s="6">
        <v>1</v>
      </c>
      <c r="N51" s="6">
        <v>1</v>
      </c>
      <c r="O51" s="6">
        <v>1</v>
      </c>
      <c r="P51" s="14">
        <v>71.430000000000007</v>
      </c>
      <c r="Q51" s="14">
        <v>0.27</v>
      </c>
      <c r="R51" s="14">
        <v>15.25</v>
      </c>
      <c r="S51" s="14"/>
      <c r="T51" s="14">
        <v>2.16</v>
      </c>
      <c r="U51" s="14">
        <v>0.02</v>
      </c>
      <c r="V51" s="14">
        <v>0.22</v>
      </c>
      <c r="W51" s="14">
        <v>2.0499999999999998</v>
      </c>
      <c r="X51" s="14">
        <v>3.85</v>
      </c>
      <c r="Y51" s="14">
        <v>4.63</v>
      </c>
      <c r="Z51" s="14">
        <v>0.11</v>
      </c>
      <c r="AA51" s="14">
        <v>0.05</v>
      </c>
      <c r="AB51" s="14">
        <v>93.25</v>
      </c>
      <c r="AC51" s="15">
        <v>5.5</v>
      </c>
      <c r="AD51" s="14" t="s">
        <v>900</v>
      </c>
    </row>
    <row r="52" spans="1:30">
      <c r="A52" s="8" t="s">
        <v>1097</v>
      </c>
      <c r="B52" s="37" t="s">
        <v>929</v>
      </c>
      <c r="C52" s="8" t="s">
        <v>645</v>
      </c>
      <c r="D52" s="12">
        <v>830</v>
      </c>
      <c r="E52" s="6">
        <v>4</v>
      </c>
      <c r="F52" s="11">
        <f>309*3600</f>
        <v>1112400</v>
      </c>
      <c r="G52" s="9">
        <v>5.4857200896785217E-14</v>
      </c>
      <c r="H52" s="10">
        <f t="shared" si="0"/>
        <v>0.49405728525175646</v>
      </c>
      <c r="I52" s="13" t="s">
        <v>930</v>
      </c>
      <c r="J52" s="6" t="s">
        <v>931</v>
      </c>
      <c r="K52" s="6">
        <v>70.400000000000006</v>
      </c>
      <c r="L52" s="6">
        <v>1</v>
      </c>
      <c r="M52" s="6">
        <v>1</v>
      </c>
      <c r="N52" s="6">
        <v>1</v>
      </c>
      <c r="O52" s="6">
        <v>1</v>
      </c>
      <c r="P52" s="14">
        <v>73.760000000000005</v>
      </c>
      <c r="Q52" s="14">
        <v>0.16</v>
      </c>
      <c r="R52" s="14">
        <v>14.14</v>
      </c>
      <c r="S52" s="14"/>
      <c r="T52" s="14">
        <v>1.66</v>
      </c>
      <c r="U52" s="14">
        <v>7.0000000000000007E-2</v>
      </c>
      <c r="V52" s="14">
        <v>0.12</v>
      </c>
      <c r="W52" s="14">
        <v>1.61</v>
      </c>
      <c r="X52" s="14">
        <v>3.5</v>
      </c>
      <c r="Y52" s="14">
        <v>4.91</v>
      </c>
      <c r="Z52" s="14">
        <v>0.06</v>
      </c>
      <c r="AA52" s="14">
        <v>0.02</v>
      </c>
      <c r="AB52" s="14">
        <v>93.61</v>
      </c>
      <c r="AC52" s="15">
        <v>5.2</v>
      </c>
      <c r="AD52" s="14" t="s">
        <v>900</v>
      </c>
    </row>
    <row r="53" spans="1:30">
      <c r="A53" s="8" t="s">
        <v>1097</v>
      </c>
      <c r="B53" s="38" t="s">
        <v>932</v>
      </c>
      <c r="C53" s="8" t="s">
        <v>645</v>
      </c>
      <c r="D53" s="12">
        <v>830</v>
      </c>
      <c r="E53" s="6">
        <v>4</v>
      </c>
      <c r="F53" s="11">
        <f>309*3600</f>
        <v>1112400</v>
      </c>
      <c r="G53" s="9">
        <v>5.4857200896785217E-14</v>
      </c>
      <c r="H53" s="10">
        <f t="shared" si="0"/>
        <v>0.49405728525175646</v>
      </c>
      <c r="I53" s="13" t="s">
        <v>933</v>
      </c>
      <c r="J53" s="6" t="s">
        <v>934</v>
      </c>
      <c r="K53" s="6">
        <v>59.5</v>
      </c>
      <c r="L53" s="6">
        <v>1</v>
      </c>
      <c r="M53" s="6">
        <v>1</v>
      </c>
      <c r="N53" s="6">
        <v>1</v>
      </c>
      <c r="O53" s="6">
        <v>1</v>
      </c>
      <c r="P53" s="14">
        <v>75.37</v>
      </c>
      <c r="Q53" s="14">
        <v>0.13</v>
      </c>
      <c r="R53" s="14">
        <v>13.02</v>
      </c>
      <c r="S53" s="14"/>
      <c r="T53" s="14">
        <v>1.6</v>
      </c>
      <c r="U53" s="14">
        <v>0.06</v>
      </c>
      <c r="V53" s="14">
        <v>0.09</v>
      </c>
      <c r="W53" s="14">
        <v>0.99</v>
      </c>
      <c r="X53" s="14">
        <v>2.92</v>
      </c>
      <c r="Y53" s="14">
        <v>5.77</v>
      </c>
      <c r="Z53" s="14">
        <v>0.02</v>
      </c>
      <c r="AA53" s="14">
        <v>0.02</v>
      </c>
      <c r="AB53" s="14">
        <v>94.96</v>
      </c>
      <c r="AC53" s="15">
        <v>4</v>
      </c>
      <c r="AD53" s="14" t="s">
        <v>900</v>
      </c>
    </row>
    <row r="54" spans="1:30">
      <c r="A54" s="16" t="s">
        <v>1086</v>
      </c>
      <c r="B54" s="16" t="s">
        <v>717</v>
      </c>
      <c r="C54" s="16" t="s">
        <v>645</v>
      </c>
      <c r="D54" s="16">
        <v>900</v>
      </c>
      <c r="E54" s="16">
        <v>1</v>
      </c>
      <c r="F54" s="17">
        <v>334800</v>
      </c>
      <c r="G54" s="18">
        <v>1.4274849337614078E-13</v>
      </c>
      <c r="H54" s="19">
        <f t="shared" si="0"/>
        <v>0.43722852414878849</v>
      </c>
      <c r="I54" s="16" t="s">
        <v>41</v>
      </c>
      <c r="J54" s="16" t="s">
        <v>718</v>
      </c>
      <c r="K54" s="16"/>
      <c r="L54" s="16">
        <v>1</v>
      </c>
      <c r="M54" s="16">
        <v>1</v>
      </c>
      <c r="N54" s="16">
        <v>1</v>
      </c>
      <c r="O54" s="16">
        <v>1</v>
      </c>
      <c r="P54" s="16">
        <v>70.3</v>
      </c>
      <c r="Q54" s="16">
        <v>0.55000000000000004</v>
      </c>
      <c r="R54" s="16">
        <v>14.6</v>
      </c>
      <c r="S54" s="16"/>
      <c r="T54" s="16">
        <v>3.4</v>
      </c>
      <c r="U54" s="16">
        <v>0.1</v>
      </c>
      <c r="V54" s="16">
        <v>0.54</v>
      </c>
      <c r="W54" s="16">
        <v>2.06</v>
      </c>
      <c r="X54" s="16">
        <v>5.43</v>
      </c>
      <c r="Y54" s="16">
        <v>2.77</v>
      </c>
      <c r="Z54" s="16">
        <v>0.08</v>
      </c>
      <c r="AA54" s="16">
        <v>0.02</v>
      </c>
      <c r="AB54" s="16">
        <v>96.4</v>
      </c>
      <c r="AC54" s="16">
        <v>4.1500000000000004</v>
      </c>
      <c r="AD54" s="16" t="s">
        <v>43</v>
      </c>
    </row>
    <row r="55" spans="1:30">
      <c r="A55" s="16" t="s">
        <v>1086</v>
      </c>
      <c r="B55" s="6" t="s">
        <v>719</v>
      </c>
      <c r="C55" s="6" t="s">
        <v>645</v>
      </c>
      <c r="D55" s="6">
        <v>850</v>
      </c>
      <c r="E55" s="6">
        <v>1</v>
      </c>
      <c r="F55" s="11">
        <v>345600</v>
      </c>
      <c r="G55" s="9">
        <v>7.2976735414337512E-14</v>
      </c>
      <c r="H55" s="10">
        <f t="shared" si="0"/>
        <v>0.31762090459662784</v>
      </c>
      <c r="I55" s="6" t="s">
        <v>41</v>
      </c>
      <c r="J55" s="6" t="s">
        <v>720</v>
      </c>
      <c r="L55" s="6">
        <v>1</v>
      </c>
      <c r="M55" s="6">
        <v>1</v>
      </c>
      <c r="N55" s="6">
        <v>1</v>
      </c>
      <c r="O55" s="6">
        <v>1</v>
      </c>
      <c r="P55" s="6">
        <v>73</v>
      </c>
      <c r="Q55" s="6">
        <v>0.32</v>
      </c>
      <c r="R55" s="6">
        <v>14.5</v>
      </c>
      <c r="T55" s="6">
        <v>2.02</v>
      </c>
      <c r="U55" s="6">
        <v>0.11</v>
      </c>
      <c r="V55" s="6">
        <v>0.28000000000000003</v>
      </c>
      <c r="W55" s="6">
        <v>1.45</v>
      </c>
      <c r="X55" s="6">
        <v>5.01</v>
      </c>
      <c r="Y55" s="6">
        <v>3</v>
      </c>
      <c r="Z55" s="6">
        <v>0.1</v>
      </c>
      <c r="AA55" s="6">
        <v>0.05</v>
      </c>
      <c r="AB55" s="6">
        <v>94.1</v>
      </c>
      <c r="AC55" s="6">
        <v>4.2</v>
      </c>
      <c r="AD55" s="6" t="s">
        <v>43</v>
      </c>
    </row>
    <row r="56" spans="1:30">
      <c r="A56" s="16" t="s">
        <v>1086</v>
      </c>
      <c r="B56" s="16" t="s">
        <v>721</v>
      </c>
      <c r="C56" s="16" t="s">
        <v>645</v>
      </c>
      <c r="D56" s="16">
        <v>800</v>
      </c>
      <c r="E56" s="16">
        <v>1</v>
      </c>
      <c r="F56" s="17">
        <v>453600</v>
      </c>
      <c r="G56" s="18">
        <v>3.5046513928104248E-14</v>
      </c>
      <c r="H56" s="19">
        <f t="shared" si="0"/>
        <v>0.25216739454408521</v>
      </c>
      <c r="I56" s="16" t="s">
        <v>41</v>
      </c>
      <c r="J56" s="16" t="s">
        <v>722</v>
      </c>
      <c r="K56" s="16"/>
      <c r="L56" s="16">
        <v>1</v>
      </c>
      <c r="M56" s="16">
        <v>1</v>
      </c>
      <c r="N56" s="16">
        <v>1</v>
      </c>
      <c r="O56" s="16">
        <v>1</v>
      </c>
      <c r="P56" s="16">
        <v>74.400000000000006</v>
      </c>
      <c r="Q56" s="16">
        <v>0.26</v>
      </c>
      <c r="R56" s="16">
        <v>13.9</v>
      </c>
      <c r="S56" s="16"/>
      <c r="T56" s="16">
        <v>1.68</v>
      </c>
      <c r="U56" s="16">
        <v>0.06</v>
      </c>
      <c r="V56" s="16">
        <v>0.16</v>
      </c>
      <c r="W56" s="16">
        <v>1.05</v>
      </c>
      <c r="X56" s="16">
        <v>4.8899999999999997</v>
      </c>
      <c r="Y56" s="16">
        <v>3.33</v>
      </c>
      <c r="Z56" s="16">
        <v>0.06</v>
      </c>
      <c r="AA56" s="16">
        <v>0.02</v>
      </c>
      <c r="AB56" s="16">
        <v>94.4</v>
      </c>
      <c r="AC56" s="16">
        <v>4.2300000000000004</v>
      </c>
      <c r="AD56" s="16" t="s">
        <v>43</v>
      </c>
    </row>
    <row r="57" spans="1:30">
      <c r="A57" s="16" t="s">
        <v>1086</v>
      </c>
      <c r="B57" s="6" t="s">
        <v>723</v>
      </c>
      <c r="C57" s="6" t="s">
        <v>645</v>
      </c>
      <c r="D57" s="6">
        <v>750</v>
      </c>
      <c r="E57" s="6">
        <v>1</v>
      </c>
      <c r="F57" s="11">
        <v>244800</v>
      </c>
      <c r="G57" s="9">
        <v>1.5666500344126923E-14</v>
      </c>
      <c r="H57" s="10">
        <f t="shared" si="0"/>
        <v>0.12385732572992637</v>
      </c>
      <c r="I57" s="6" t="s">
        <v>41</v>
      </c>
      <c r="J57" s="6" t="s">
        <v>722</v>
      </c>
      <c r="L57" s="6">
        <v>1</v>
      </c>
      <c r="M57" s="6">
        <v>1</v>
      </c>
      <c r="N57" s="6">
        <v>1</v>
      </c>
      <c r="O57" s="6">
        <v>1</v>
      </c>
      <c r="P57" s="6">
        <v>74.2</v>
      </c>
      <c r="Q57" s="6">
        <v>0.28999999999999998</v>
      </c>
      <c r="R57" s="6">
        <v>13.9</v>
      </c>
      <c r="T57" s="6">
        <v>1.91</v>
      </c>
      <c r="U57" s="6">
        <v>0.06</v>
      </c>
      <c r="V57" s="6">
        <v>0.23</v>
      </c>
      <c r="W57" s="6">
        <v>1.37</v>
      </c>
      <c r="X57" s="6">
        <v>4.51</v>
      </c>
      <c r="Y57" s="6">
        <v>3.21</v>
      </c>
      <c r="Z57" s="6">
        <v>0.08</v>
      </c>
      <c r="AA57" s="6">
        <v>0.01</v>
      </c>
      <c r="AB57" s="6">
        <v>94.5</v>
      </c>
      <c r="AC57" s="6">
        <v>4.2</v>
      </c>
      <c r="AD57" s="6" t="s">
        <v>43</v>
      </c>
    </row>
    <row r="58" spans="1:30">
      <c r="A58" s="16" t="s">
        <v>1086</v>
      </c>
      <c r="B58" s="16" t="s">
        <v>724</v>
      </c>
      <c r="C58" s="16" t="s">
        <v>645</v>
      </c>
      <c r="D58" s="16">
        <v>800</v>
      </c>
      <c r="E58" s="16">
        <v>2</v>
      </c>
      <c r="F58" s="17">
        <v>201600</v>
      </c>
      <c r="G58" s="18">
        <v>3.5046513928104248E-14</v>
      </c>
      <c r="H58" s="19">
        <f t="shared" si="0"/>
        <v>0.16811159636272346</v>
      </c>
      <c r="I58" s="16" t="s">
        <v>41</v>
      </c>
      <c r="J58" s="16" t="s">
        <v>725</v>
      </c>
      <c r="K58" s="16"/>
      <c r="L58" s="16">
        <v>1</v>
      </c>
      <c r="M58" s="16">
        <v>1</v>
      </c>
      <c r="N58" s="16">
        <v>1</v>
      </c>
      <c r="O58" s="16">
        <v>1</v>
      </c>
      <c r="P58" s="16">
        <v>75.599999999999994</v>
      </c>
      <c r="Q58" s="16">
        <v>0.23</v>
      </c>
      <c r="R58" s="16">
        <v>15.4</v>
      </c>
      <c r="S58" s="16"/>
      <c r="T58" s="16">
        <v>1.6</v>
      </c>
      <c r="U58" s="16">
        <v>0.17</v>
      </c>
      <c r="V58" s="16">
        <v>0.19</v>
      </c>
      <c r="W58" s="16">
        <v>1.71</v>
      </c>
      <c r="X58" s="16">
        <v>2.79</v>
      </c>
      <c r="Y58" s="16">
        <v>2.0499999999999998</v>
      </c>
      <c r="Z58" s="16">
        <v>0.11</v>
      </c>
      <c r="AA58" s="16">
        <v>0.15</v>
      </c>
      <c r="AB58" s="16">
        <v>89.5</v>
      </c>
      <c r="AC58" s="16">
        <v>6.18</v>
      </c>
      <c r="AD58" s="16" t="s">
        <v>43</v>
      </c>
    </row>
    <row r="59" spans="1:30">
      <c r="A59" s="16" t="s">
        <v>1086</v>
      </c>
      <c r="B59" s="6" t="s">
        <v>726</v>
      </c>
      <c r="C59" s="6" t="s">
        <v>645</v>
      </c>
      <c r="D59" s="6">
        <v>900</v>
      </c>
      <c r="E59" s="6">
        <v>2</v>
      </c>
      <c r="F59" s="11">
        <v>86400</v>
      </c>
      <c r="G59" s="9">
        <v>1.4274849337614078E-13</v>
      </c>
      <c r="H59" s="10">
        <f t="shared" si="0"/>
        <v>0.22211231238000798</v>
      </c>
      <c r="I59" s="6" t="s">
        <v>41</v>
      </c>
      <c r="J59" s="6" t="s">
        <v>727</v>
      </c>
      <c r="L59" s="6">
        <v>1</v>
      </c>
      <c r="M59" s="6">
        <v>1</v>
      </c>
      <c r="N59" s="6">
        <v>1</v>
      </c>
      <c r="O59" s="6">
        <v>1</v>
      </c>
      <c r="P59" s="6">
        <v>69.7</v>
      </c>
      <c r="Q59" s="6">
        <v>0.63</v>
      </c>
      <c r="R59" s="6">
        <v>14.5</v>
      </c>
      <c r="T59" s="6">
        <v>3.75</v>
      </c>
      <c r="U59" s="6">
        <v>0.11</v>
      </c>
      <c r="V59" s="6">
        <v>0.69</v>
      </c>
      <c r="W59" s="6">
        <v>2.2000000000000002</v>
      </c>
      <c r="X59" s="6">
        <v>5.5</v>
      </c>
      <c r="Y59" s="6">
        <v>2.71</v>
      </c>
      <c r="Z59" s="6">
        <v>0.11</v>
      </c>
      <c r="AA59" s="6">
        <v>0.01</v>
      </c>
      <c r="AB59" s="6">
        <v>95.2</v>
      </c>
      <c r="AC59" s="6">
        <v>6.5</v>
      </c>
      <c r="AD59" s="6" t="s">
        <v>43</v>
      </c>
    </row>
    <row r="60" spans="1:30">
      <c r="A60" s="16" t="s">
        <v>1086</v>
      </c>
      <c r="B60" s="16" t="s">
        <v>728</v>
      </c>
      <c r="C60" s="16" t="s">
        <v>645</v>
      </c>
      <c r="D60" s="16">
        <v>900</v>
      </c>
      <c r="E60" s="16">
        <v>0.5</v>
      </c>
      <c r="F60" s="17">
        <v>504000</v>
      </c>
      <c r="G60" s="18">
        <v>1.4274849337614078E-13</v>
      </c>
      <c r="H60" s="19">
        <f t="shared" si="0"/>
        <v>0.53645219977766867</v>
      </c>
      <c r="I60" s="16" t="s">
        <v>41</v>
      </c>
      <c r="J60" s="16" t="s">
        <v>729</v>
      </c>
      <c r="K60" s="16"/>
      <c r="L60" s="16">
        <v>1</v>
      </c>
      <c r="M60" s="16">
        <v>1</v>
      </c>
      <c r="N60" s="16">
        <v>1</v>
      </c>
      <c r="O60" s="16">
        <v>1</v>
      </c>
      <c r="P60" s="16">
        <v>72.400000000000006</v>
      </c>
      <c r="Q60" s="16">
        <v>0.46</v>
      </c>
      <c r="R60" s="16">
        <v>13.8</v>
      </c>
      <c r="S60" s="16"/>
      <c r="T60" s="16">
        <v>2.6</v>
      </c>
      <c r="U60" s="16">
        <v>0.09</v>
      </c>
      <c r="V60" s="16">
        <v>0.34</v>
      </c>
      <c r="W60" s="16">
        <v>1.36</v>
      </c>
      <c r="X60" s="16">
        <v>5.53</v>
      </c>
      <c r="Y60" s="16">
        <v>3.08</v>
      </c>
      <c r="Z60" s="16">
        <v>0.09</v>
      </c>
      <c r="AA60" s="16">
        <v>0.03</v>
      </c>
      <c r="AB60" s="16">
        <v>98.7</v>
      </c>
      <c r="AC60" s="16">
        <v>2.7</v>
      </c>
      <c r="AD60" s="16" t="s">
        <v>43</v>
      </c>
    </row>
    <row r="61" spans="1:30">
      <c r="A61" s="16" t="s">
        <v>1086</v>
      </c>
      <c r="B61" s="6" t="s">
        <v>730</v>
      </c>
      <c r="C61" s="8" t="s">
        <v>645</v>
      </c>
      <c r="D61" s="6">
        <v>925</v>
      </c>
      <c r="E61" s="6">
        <v>0.5</v>
      </c>
      <c r="F61" s="11">
        <v>352800</v>
      </c>
      <c r="G61" s="9">
        <v>1.9549928676947054E-13</v>
      </c>
      <c r="H61" s="10">
        <f t="shared" si="0"/>
        <v>0.52525098142609572</v>
      </c>
      <c r="I61" s="6" t="s">
        <v>41</v>
      </c>
      <c r="J61" s="6" t="s">
        <v>720</v>
      </c>
      <c r="L61" s="6">
        <v>1</v>
      </c>
      <c r="M61" s="6">
        <v>1</v>
      </c>
      <c r="N61" s="6">
        <v>1</v>
      </c>
      <c r="O61" s="6">
        <v>1</v>
      </c>
      <c r="P61" s="6">
        <v>70.5</v>
      </c>
      <c r="Q61" s="6">
        <v>0.62</v>
      </c>
      <c r="R61" s="6">
        <v>14.4</v>
      </c>
      <c r="T61" s="6">
        <v>3.23</v>
      </c>
      <c r="U61" s="6">
        <v>0.09</v>
      </c>
      <c r="V61" s="6">
        <v>0.52</v>
      </c>
      <c r="W61" s="6">
        <v>1.88</v>
      </c>
      <c r="X61" s="6">
        <v>5.69</v>
      </c>
      <c r="Y61" s="6">
        <v>2.86</v>
      </c>
      <c r="Z61" s="6">
        <v>0.11</v>
      </c>
      <c r="AA61" s="6">
        <v>0.04</v>
      </c>
      <c r="AB61" s="6">
        <v>98.8</v>
      </c>
      <c r="AC61" s="16">
        <v>2.67</v>
      </c>
      <c r="AD61" s="16" t="s">
        <v>43</v>
      </c>
    </row>
    <row r="62" spans="1:30">
      <c r="A62" s="16" t="s">
        <v>1086</v>
      </c>
      <c r="B62" s="16" t="s">
        <v>731</v>
      </c>
      <c r="C62" s="16" t="s">
        <v>645</v>
      </c>
      <c r="D62" s="16">
        <v>850</v>
      </c>
      <c r="E62" s="16">
        <v>0.5</v>
      </c>
      <c r="F62" s="17">
        <v>352800</v>
      </c>
      <c r="G62" s="18">
        <v>7.2976735414337512E-14</v>
      </c>
      <c r="H62" s="19">
        <f t="shared" si="0"/>
        <v>0.32091240084595218</v>
      </c>
      <c r="I62" s="16" t="s">
        <v>41</v>
      </c>
      <c r="J62" s="16" t="s">
        <v>720</v>
      </c>
      <c r="K62" s="16"/>
      <c r="L62" s="16">
        <v>1</v>
      </c>
      <c r="M62" s="16">
        <v>1</v>
      </c>
      <c r="N62" s="16">
        <v>1</v>
      </c>
      <c r="O62" s="16">
        <v>1</v>
      </c>
      <c r="P62" s="16">
        <v>74.5</v>
      </c>
      <c r="Q62" s="16">
        <v>0.36</v>
      </c>
      <c r="R62" s="16">
        <v>13.3</v>
      </c>
      <c r="S62" s="16"/>
      <c r="T62" s="16">
        <v>1.83</v>
      </c>
      <c r="U62" s="16">
        <v>0.1</v>
      </c>
      <c r="V62" s="16">
        <v>0.24</v>
      </c>
      <c r="W62" s="16">
        <v>1.01</v>
      </c>
      <c r="X62" s="16">
        <v>4.96</v>
      </c>
      <c r="Y62" s="16">
        <v>3.44</v>
      </c>
      <c r="Z62" s="16">
        <v>7.0000000000000007E-2</v>
      </c>
      <c r="AA62" s="16">
        <v>0.04</v>
      </c>
      <c r="AB62" s="16">
        <v>98.5</v>
      </c>
      <c r="AC62" s="16">
        <v>2.74</v>
      </c>
      <c r="AD62" s="16" t="s">
        <v>43</v>
      </c>
    </row>
    <row r="63" spans="1:30">
      <c r="A63" s="16" t="s">
        <v>1086</v>
      </c>
      <c r="B63" s="6" t="s">
        <v>732</v>
      </c>
      <c r="C63" s="8" t="s">
        <v>645</v>
      </c>
      <c r="D63" s="6">
        <v>750</v>
      </c>
      <c r="E63" s="6">
        <v>2</v>
      </c>
      <c r="F63" s="11">
        <v>252000</v>
      </c>
      <c r="G63" s="9">
        <v>1.5666500344126923E-14</v>
      </c>
      <c r="H63" s="10">
        <f t="shared" si="0"/>
        <v>0.12566555752026862</v>
      </c>
      <c r="I63" s="6" t="s">
        <v>41</v>
      </c>
      <c r="J63" s="6" t="s">
        <v>722</v>
      </c>
      <c r="L63" s="6">
        <v>1</v>
      </c>
      <c r="M63" s="6">
        <v>1</v>
      </c>
      <c r="N63" s="6">
        <v>1</v>
      </c>
      <c r="O63" s="6">
        <v>1</v>
      </c>
      <c r="P63" s="6">
        <v>74.5</v>
      </c>
      <c r="Q63" s="6">
        <v>0.21</v>
      </c>
      <c r="R63" s="6">
        <v>14.2</v>
      </c>
      <c r="T63" s="6">
        <v>1.29</v>
      </c>
      <c r="U63" s="6">
        <v>7.0000000000000007E-2</v>
      </c>
      <c r="V63" s="6">
        <v>0.13</v>
      </c>
      <c r="W63" s="6">
        <v>1.1499999999999999</v>
      </c>
      <c r="X63" s="6">
        <v>5.0599999999999996</v>
      </c>
      <c r="Y63" s="6">
        <v>3.27</v>
      </c>
      <c r="Z63" s="6">
        <v>0.05</v>
      </c>
      <c r="AA63" s="6">
        <v>0.03</v>
      </c>
      <c r="AB63" s="6">
        <v>91.6</v>
      </c>
      <c r="AC63" s="16">
        <v>6.37</v>
      </c>
      <c r="AD63" s="16" t="s">
        <v>43</v>
      </c>
    </row>
    <row r="64" spans="1:30">
      <c r="A64" s="16" t="s">
        <v>1086</v>
      </c>
      <c r="B64" s="16" t="s">
        <v>733</v>
      </c>
      <c r="C64" s="16" t="s">
        <v>645</v>
      </c>
      <c r="D64" s="16">
        <v>825</v>
      </c>
      <c r="E64" s="16">
        <v>0.75</v>
      </c>
      <c r="F64" s="17">
        <v>338400</v>
      </c>
      <c r="G64" s="18">
        <v>5.0996514572634554E-14</v>
      </c>
      <c r="H64" s="19">
        <f t="shared" si="0"/>
        <v>0.26273348116583489</v>
      </c>
      <c r="I64" s="16" t="s">
        <v>41</v>
      </c>
      <c r="J64" s="16" t="s">
        <v>729</v>
      </c>
      <c r="K64" s="16"/>
      <c r="L64" s="16">
        <v>1</v>
      </c>
      <c r="M64" s="16">
        <v>1</v>
      </c>
      <c r="N64" s="16">
        <v>1</v>
      </c>
      <c r="O64" s="16">
        <v>1</v>
      </c>
      <c r="P64" s="16">
        <v>74.5</v>
      </c>
      <c r="Q64" s="16">
        <v>0.37</v>
      </c>
      <c r="R64" s="16">
        <v>13.4</v>
      </c>
      <c r="S64" s="16"/>
      <c r="T64" s="16">
        <v>1.74</v>
      </c>
      <c r="U64" s="16">
        <v>0.09</v>
      </c>
      <c r="V64" s="16">
        <v>0.17</v>
      </c>
      <c r="W64" s="16">
        <v>0.88</v>
      </c>
      <c r="X64" s="16">
        <v>5.04</v>
      </c>
      <c r="Y64" s="16">
        <v>3.47</v>
      </c>
      <c r="Z64" s="16">
        <v>0.08</v>
      </c>
      <c r="AA64" s="16">
        <v>0.04</v>
      </c>
      <c r="AB64" s="16">
        <v>97.7</v>
      </c>
      <c r="AC64" s="16">
        <v>3.55</v>
      </c>
      <c r="AD64" s="16" t="s">
        <v>43</v>
      </c>
    </row>
    <row r="65" spans="1:30">
      <c r="A65" s="16" t="s">
        <v>1086</v>
      </c>
      <c r="B65" s="6" t="s">
        <v>734</v>
      </c>
      <c r="C65" s="8" t="s">
        <v>645</v>
      </c>
      <c r="D65" s="6">
        <v>875</v>
      </c>
      <c r="E65" s="6">
        <v>0.75</v>
      </c>
      <c r="F65" s="11">
        <v>259200</v>
      </c>
      <c r="G65" s="9">
        <v>1.028135457036711E-13</v>
      </c>
      <c r="H65" s="10">
        <f t="shared" si="0"/>
        <v>0.32649208900916143</v>
      </c>
      <c r="I65" s="6" t="s">
        <v>41</v>
      </c>
      <c r="J65" s="6" t="s">
        <v>720</v>
      </c>
      <c r="L65" s="6">
        <v>1</v>
      </c>
      <c r="M65" s="6">
        <v>1</v>
      </c>
      <c r="N65" s="6">
        <v>1</v>
      </c>
      <c r="O65" s="6">
        <v>1</v>
      </c>
      <c r="P65" s="6">
        <v>72.400000000000006</v>
      </c>
      <c r="Q65" s="6">
        <v>0.47</v>
      </c>
      <c r="R65" s="6">
        <v>14.4</v>
      </c>
      <c r="T65" s="6">
        <v>2.36</v>
      </c>
      <c r="U65" s="6">
        <v>0.11</v>
      </c>
      <c r="V65" s="6">
        <v>0.33</v>
      </c>
      <c r="W65" s="6">
        <v>1.41</v>
      </c>
      <c r="X65" s="6">
        <v>5.29</v>
      </c>
      <c r="Y65" s="6">
        <v>3.04</v>
      </c>
      <c r="Z65" s="6">
        <v>7.0000000000000007E-2</v>
      </c>
      <c r="AA65" s="6">
        <v>0.02</v>
      </c>
      <c r="AB65" s="6">
        <v>98</v>
      </c>
      <c r="AC65" s="16">
        <v>3.49</v>
      </c>
      <c r="AD65" s="16" t="s">
        <v>43</v>
      </c>
    </row>
    <row r="66" spans="1:30">
      <c r="A66" s="16" t="s">
        <v>1086</v>
      </c>
      <c r="B66" s="16" t="s">
        <v>735</v>
      </c>
      <c r="C66" s="16" t="s">
        <v>645</v>
      </c>
      <c r="D66" s="16">
        <v>825</v>
      </c>
      <c r="E66" s="16">
        <v>1.5</v>
      </c>
      <c r="F66" s="17">
        <v>684000</v>
      </c>
      <c r="G66" s="18">
        <v>5.0996514572634554E-14</v>
      </c>
      <c r="H66" s="19">
        <f t="shared" ref="H66:H129" si="3">2*SQRT(G66*F66)*1000</f>
        <v>0.37353241341378679</v>
      </c>
      <c r="I66" s="16" t="s">
        <v>41</v>
      </c>
      <c r="J66" s="16" t="s">
        <v>725</v>
      </c>
      <c r="K66" s="16"/>
      <c r="L66" s="16">
        <v>1</v>
      </c>
      <c r="M66" s="16">
        <v>1</v>
      </c>
      <c r="N66" s="16">
        <v>1</v>
      </c>
      <c r="O66" s="16">
        <v>1</v>
      </c>
      <c r="P66" s="16">
        <v>72.8</v>
      </c>
      <c r="Q66" s="16">
        <v>0.28999999999999998</v>
      </c>
      <c r="R66" s="16">
        <v>14.8</v>
      </c>
      <c r="S66" s="16"/>
      <c r="T66" s="16">
        <v>1.75</v>
      </c>
      <c r="U66" s="16">
        <v>0.09</v>
      </c>
      <c r="V66" s="16">
        <v>0.26</v>
      </c>
      <c r="W66" s="16">
        <v>1.49</v>
      </c>
      <c r="X66" s="16">
        <v>5.42</v>
      </c>
      <c r="Y66" s="16">
        <v>2.96</v>
      </c>
      <c r="Z66" s="16">
        <v>0.03</v>
      </c>
      <c r="AA66" s="16">
        <v>0.02</v>
      </c>
      <c r="AB66" s="16">
        <v>93.8</v>
      </c>
      <c r="AC66" s="16">
        <v>5.46</v>
      </c>
      <c r="AD66" s="16" t="s">
        <v>43</v>
      </c>
    </row>
    <row r="67" spans="1:30">
      <c r="A67" s="16" t="s">
        <v>1086</v>
      </c>
      <c r="B67" s="6" t="s">
        <v>736</v>
      </c>
      <c r="C67" s="8" t="s">
        <v>645</v>
      </c>
      <c r="D67" s="6">
        <v>900</v>
      </c>
      <c r="E67" s="6">
        <v>0.75</v>
      </c>
      <c r="F67" s="11">
        <v>255600</v>
      </c>
      <c r="G67" s="9">
        <v>1.4274849337614078E-13</v>
      </c>
      <c r="H67" s="10">
        <f t="shared" si="3"/>
        <v>0.38202887276718539</v>
      </c>
      <c r="I67" s="6" t="s">
        <v>41</v>
      </c>
      <c r="J67" s="6" t="s">
        <v>720</v>
      </c>
      <c r="L67" s="6">
        <v>1</v>
      </c>
      <c r="M67" s="6">
        <v>1</v>
      </c>
      <c r="N67" s="6">
        <v>1</v>
      </c>
      <c r="O67" s="6">
        <v>1</v>
      </c>
      <c r="P67" s="6">
        <v>70.7</v>
      </c>
      <c r="Q67" s="6">
        <v>0.55000000000000004</v>
      </c>
      <c r="R67" s="6">
        <v>14.5</v>
      </c>
      <c r="T67" s="6">
        <v>2.85</v>
      </c>
      <c r="U67" s="6">
        <v>0.1</v>
      </c>
      <c r="V67" s="6">
        <v>0.49</v>
      </c>
      <c r="W67" s="6">
        <v>1.97</v>
      </c>
      <c r="X67" s="6">
        <v>5.74</v>
      </c>
      <c r="Y67" s="6">
        <v>2.83</v>
      </c>
      <c r="Z67" s="6">
        <v>0.1</v>
      </c>
      <c r="AA67" s="6">
        <v>0.05</v>
      </c>
      <c r="AB67" s="6">
        <v>97.6</v>
      </c>
      <c r="AC67" s="16">
        <v>3.49</v>
      </c>
      <c r="AD67" s="16" t="s">
        <v>43</v>
      </c>
    </row>
    <row r="68" spans="1:30">
      <c r="A68" s="16" t="s">
        <v>1086</v>
      </c>
      <c r="B68" s="16" t="s">
        <v>737</v>
      </c>
      <c r="C68" s="16" t="s">
        <v>645</v>
      </c>
      <c r="D68" s="16">
        <v>800</v>
      </c>
      <c r="E68" s="16">
        <v>2</v>
      </c>
      <c r="F68" s="17">
        <v>835200</v>
      </c>
      <c r="G68" s="18">
        <v>3.5046513928104248E-14</v>
      </c>
      <c r="H68" s="19">
        <f t="shared" si="3"/>
        <v>0.34217450771647301</v>
      </c>
      <c r="I68" s="16" t="s">
        <v>41</v>
      </c>
      <c r="J68" s="16" t="s">
        <v>725</v>
      </c>
      <c r="K68" s="16"/>
      <c r="L68" s="16">
        <v>1</v>
      </c>
      <c r="M68" s="16">
        <v>1</v>
      </c>
      <c r="N68" s="16">
        <v>1</v>
      </c>
      <c r="O68" s="16">
        <v>1</v>
      </c>
      <c r="P68" s="16">
        <v>72.599999999999994</v>
      </c>
      <c r="Q68" s="16">
        <v>0.31</v>
      </c>
      <c r="R68" s="16">
        <v>14.9</v>
      </c>
      <c r="S68" s="16"/>
      <c r="T68" s="16">
        <v>1.56</v>
      </c>
      <c r="U68" s="16">
        <v>0.08</v>
      </c>
      <c r="V68" s="16">
        <v>0.19</v>
      </c>
      <c r="W68" s="16">
        <v>1.69</v>
      </c>
      <c r="X68" s="16">
        <v>5.58</v>
      </c>
      <c r="Y68" s="16">
        <v>2.89</v>
      </c>
      <c r="Z68" s="16">
        <v>0.11</v>
      </c>
      <c r="AA68" s="16">
        <v>0.05</v>
      </c>
      <c r="AB68" s="16">
        <v>94.6</v>
      </c>
      <c r="AC68" s="16">
        <v>6.53</v>
      </c>
      <c r="AD68" s="16" t="s">
        <v>43</v>
      </c>
    </row>
    <row r="69" spans="1:30">
      <c r="A69" s="16" t="s">
        <v>1086</v>
      </c>
      <c r="B69" s="6" t="s">
        <v>738</v>
      </c>
      <c r="C69" s="8" t="s">
        <v>645</v>
      </c>
      <c r="D69" s="6">
        <v>875</v>
      </c>
      <c r="E69" s="6">
        <v>0.75</v>
      </c>
      <c r="F69" s="11">
        <v>756000</v>
      </c>
      <c r="G69" s="9">
        <v>1.028135457036711E-13</v>
      </c>
      <c r="H69" s="10">
        <f t="shared" si="3"/>
        <v>0.55759139359202936</v>
      </c>
      <c r="I69" s="6" t="s">
        <v>41</v>
      </c>
      <c r="J69" s="6" t="s">
        <v>720</v>
      </c>
      <c r="L69" s="6">
        <v>1</v>
      </c>
      <c r="M69" s="6">
        <v>1</v>
      </c>
      <c r="N69" s="6">
        <v>1</v>
      </c>
      <c r="O69" s="6">
        <v>1</v>
      </c>
      <c r="P69" s="6">
        <v>73.3</v>
      </c>
      <c r="Q69" s="6">
        <v>0.4</v>
      </c>
      <c r="R69" s="6">
        <v>13.8</v>
      </c>
      <c r="T69" s="6">
        <v>2.12</v>
      </c>
      <c r="U69" s="6">
        <v>0.1</v>
      </c>
      <c r="V69" s="6">
        <v>0.32</v>
      </c>
      <c r="W69" s="6">
        <v>1.32</v>
      </c>
      <c r="X69" s="6">
        <v>5.26</v>
      </c>
      <c r="Y69" s="6">
        <v>3.09</v>
      </c>
      <c r="Z69" s="6">
        <v>0.08</v>
      </c>
      <c r="AA69" s="6">
        <v>0.03</v>
      </c>
      <c r="AB69" s="6">
        <v>97.1</v>
      </c>
      <c r="AC69" s="16">
        <v>3.52</v>
      </c>
      <c r="AD69" s="16" t="s">
        <v>43</v>
      </c>
    </row>
    <row r="70" spans="1:30">
      <c r="A70" s="16" t="s">
        <v>1086</v>
      </c>
      <c r="B70" s="16" t="s">
        <v>739</v>
      </c>
      <c r="C70" s="16" t="s">
        <v>645</v>
      </c>
      <c r="D70" s="16">
        <v>900</v>
      </c>
      <c r="E70" s="16">
        <v>0.5</v>
      </c>
      <c r="F70" s="17">
        <v>774000</v>
      </c>
      <c r="G70" s="18">
        <v>1.4274849337614078E-13</v>
      </c>
      <c r="H70" s="19">
        <f t="shared" si="3"/>
        <v>0.66479270114264333</v>
      </c>
      <c r="I70" s="16" t="s">
        <v>41</v>
      </c>
      <c r="J70" s="16" t="s">
        <v>729</v>
      </c>
      <c r="K70" s="16"/>
      <c r="L70" s="16">
        <v>1</v>
      </c>
      <c r="M70" s="16">
        <v>1</v>
      </c>
      <c r="N70" s="16">
        <v>1</v>
      </c>
      <c r="O70" s="16">
        <v>1</v>
      </c>
      <c r="P70" s="16">
        <v>71.900000000000006</v>
      </c>
      <c r="Q70" s="16">
        <v>0.52</v>
      </c>
      <c r="R70" s="16">
        <v>14.3</v>
      </c>
      <c r="S70" s="16"/>
      <c r="T70" s="16">
        <v>2.4300000000000002</v>
      </c>
      <c r="U70" s="16">
        <v>0.1</v>
      </c>
      <c r="V70" s="16">
        <v>0.41</v>
      </c>
      <c r="W70" s="16">
        <v>1.49</v>
      </c>
      <c r="X70" s="16">
        <v>5.45</v>
      </c>
      <c r="Y70" s="16">
        <v>3.16</v>
      </c>
      <c r="Z70" s="16">
        <v>0.1</v>
      </c>
      <c r="AA70" s="16">
        <v>0.06</v>
      </c>
      <c r="AB70" s="16">
        <v>98.3</v>
      </c>
      <c r="AC70" s="16">
        <v>2.7</v>
      </c>
      <c r="AD70" s="16" t="s">
        <v>43</v>
      </c>
    </row>
    <row r="71" spans="1:30">
      <c r="A71" s="16" t="s">
        <v>1086</v>
      </c>
      <c r="B71" s="6" t="s">
        <v>740</v>
      </c>
      <c r="C71" s="8" t="s">
        <v>645</v>
      </c>
      <c r="D71" s="6">
        <v>825</v>
      </c>
      <c r="E71" s="6">
        <v>1.5</v>
      </c>
      <c r="F71" s="11">
        <v>759600</v>
      </c>
      <c r="G71" s="9">
        <v>5.0996514572634554E-14</v>
      </c>
      <c r="H71" s="10">
        <f t="shared" si="3"/>
        <v>0.39363410659836479</v>
      </c>
      <c r="I71" s="6" t="s">
        <v>41</v>
      </c>
      <c r="J71" s="6" t="s">
        <v>725</v>
      </c>
      <c r="L71" s="6">
        <v>1</v>
      </c>
      <c r="M71" s="6">
        <v>1</v>
      </c>
      <c r="N71" s="6">
        <v>1</v>
      </c>
      <c r="O71" s="6">
        <v>1</v>
      </c>
      <c r="P71" s="6">
        <v>72.5</v>
      </c>
      <c r="Q71" s="6">
        <v>0.3</v>
      </c>
      <c r="R71" s="6">
        <v>14.8</v>
      </c>
      <c r="T71" s="6">
        <v>1.68</v>
      </c>
      <c r="U71" s="6">
        <v>0.1</v>
      </c>
      <c r="V71" s="6">
        <v>0.26</v>
      </c>
      <c r="W71" s="6">
        <v>1.38</v>
      </c>
      <c r="X71" s="6">
        <v>5.64</v>
      </c>
      <c r="Y71" s="6">
        <v>3.14</v>
      </c>
      <c r="Z71" s="6">
        <v>0.05</v>
      </c>
      <c r="AA71" s="6">
        <v>0.02</v>
      </c>
      <c r="AB71" s="6">
        <v>96.3</v>
      </c>
      <c r="AC71" s="16">
        <v>5.48</v>
      </c>
      <c r="AD71" s="16" t="s">
        <v>43</v>
      </c>
    </row>
    <row r="72" spans="1:30">
      <c r="A72" s="16" t="s">
        <v>1086</v>
      </c>
      <c r="B72" s="16" t="s">
        <v>741</v>
      </c>
      <c r="C72" s="16" t="s">
        <v>645</v>
      </c>
      <c r="D72" s="16">
        <v>875</v>
      </c>
      <c r="E72" s="16">
        <v>1</v>
      </c>
      <c r="F72" s="17">
        <v>691200</v>
      </c>
      <c r="G72" s="18">
        <v>1.028135457036711E-13</v>
      </c>
      <c r="H72" s="19">
        <f t="shared" si="3"/>
        <v>0.53315934875186222</v>
      </c>
      <c r="I72" s="16" t="s">
        <v>41</v>
      </c>
      <c r="J72" s="16" t="s">
        <v>720</v>
      </c>
      <c r="K72" s="16"/>
      <c r="L72" s="16">
        <v>1</v>
      </c>
      <c r="M72" s="16">
        <v>1</v>
      </c>
      <c r="N72" s="16">
        <v>1</v>
      </c>
      <c r="O72" s="16">
        <v>1</v>
      </c>
      <c r="P72" s="16">
        <v>71.5</v>
      </c>
      <c r="Q72" s="16">
        <v>0.43</v>
      </c>
      <c r="R72" s="16">
        <v>14.8</v>
      </c>
      <c r="S72" s="16"/>
      <c r="T72" s="16">
        <v>2.5</v>
      </c>
      <c r="U72" s="16">
        <v>0.1</v>
      </c>
      <c r="V72" s="16">
        <v>0.39</v>
      </c>
      <c r="W72" s="16">
        <v>1.87</v>
      </c>
      <c r="X72" s="16">
        <v>5.47</v>
      </c>
      <c r="Y72" s="16">
        <v>2.74</v>
      </c>
      <c r="Z72" s="16">
        <v>0.08</v>
      </c>
      <c r="AA72" s="16">
        <v>0.04</v>
      </c>
      <c r="AB72" s="16">
        <v>97</v>
      </c>
      <c r="AC72" s="16">
        <v>4.2</v>
      </c>
      <c r="AD72" s="16" t="s">
        <v>43</v>
      </c>
    </row>
    <row r="73" spans="1:30">
      <c r="A73" s="8" t="s">
        <v>1081</v>
      </c>
      <c r="B73" s="6" t="s">
        <v>644</v>
      </c>
      <c r="C73" s="8" t="s">
        <v>645</v>
      </c>
      <c r="D73" s="6">
        <v>1050</v>
      </c>
      <c r="E73" s="8">
        <v>10</v>
      </c>
      <c r="F73" s="6">
        <f>4*24*3600</f>
        <v>345600</v>
      </c>
      <c r="G73" s="9">
        <v>7.8813293078769567E-13</v>
      </c>
      <c r="H73" s="10">
        <f t="shared" si="3"/>
        <v>1.0437983346992419</v>
      </c>
      <c r="I73" s="6">
        <v>4</v>
      </c>
      <c r="J73" s="6" t="s">
        <v>646</v>
      </c>
      <c r="K73" s="6">
        <v>44</v>
      </c>
      <c r="L73" s="6">
        <v>1</v>
      </c>
      <c r="M73" s="6">
        <v>1</v>
      </c>
      <c r="N73" s="6">
        <v>1</v>
      </c>
      <c r="O73" s="6">
        <v>1</v>
      </c>
      <c r="P73" s="6">
        <v>60.87</v>
      </c>
      <c r="Q73" s="6">
        <v>0.43</v>
      </c>
      <c r="R73" s="6">
        <v>16.02</v>
      </c>
      <c r="T73" s="6">
        <v>4.9000000000000004</v>
      </c>
      <c r="U73" s="6">
        <v>0.09</v>
      </c>
      <c r="V73" s="6">
        <v>2.81</v>
      </c>
      <c r="W73" s="6">
        <v>4.63</v>
      </c>
      <c r="X73" s="6">
        <v>2.89</v>
      </c>
      <c r="Y73" s="6">
        <v>6.31</v>
      </c>
      <c r="Z73" s="6">
        <v>0.89</v>
      </c>
      <c r="AA73" s="6">
        <v>0.1</v>
      </c>
      <c r="AB73" s="6">
        <v>90.59</v>
      </c>
      <c r="AC73" s="6">
        <v>8.6</v>
      </c>
      <c r="AD73" s="6" t="s">
        <v>275</v>
      </c>
    </row>
    <row r="74" spans="1:30">
      <c r="A74" s="8" t="s">
        <v>1081</v>
      </c>
      <c r="B74" s="6" t="s">
        <v>647</v>
      </c>
      <c r="C74" s="8" t="s">
        <v>645</v>
      </c>
      <c r="D74" s="6">
        <v>1000</v>
      </c>
      <c r="E74" s="8">
        <v>10</v>
      </c>
      <c r="F74" s="6">
        <f>5*24*3600</f>
        <v>432000</v>
      </c>
      <c r="G74" s="9">
        <v>4.6632042652511761E-13</v>
      </c>
      <c r="H74" s="10">
        <f t="shared" si="3"/>
        <v>0.89766457935879551</v>
      </c>
      <c r="I74" s="6">
        <v>4</v>
      </c>
      <c r="J74" s="6" t="s">
        <v>648</v>
      </c>
      <c r="K74" s="6">
        <v>33</v>
      </c>
      <c r="L74" s="6">
        <v>1</v>
      </c>
      <c r="M74" s="6">
        <v>1</v>
      </c>
      <c r="N74" s="6">
        <v>1</v>
      </c>
      <c r="O74" s="6">
        <v>1</v>
      </c>
      <c r="P74" s="6">
        <v>65.63</v>
      </c>
      <c r="Q74" s="6">
        <v>0.2</v>
      </c>
      <c r="R74" s="6">
        <v>15.74</v>
      </c>
      <c r="T74" s="6">
        <v>3.79</v>
      </c>
      <c r="U74" s="6">
        <v>0.1</v>
      </c>
      <c r="V74" s="6">
        <v>1.36</v>
      </c>
      <c r="W74" s="6">
        <v>2.75</v>
      </c>
      <c r="X74" s="6">
        <v>3.7</v>
      </c>
      <c r="Y74" s="6">
        <v>6.3</v>
      </c>
      <c r="Z74" s="6">
        <v>0.43</v>
      </c>
      <c r="AA74" s="6">
        <v>7.0000000000000007E-2</v>
      </c>
      <c r="AB74" s="6">
        <v>91.43</v>
      </c>
      <c r="AC74" s="6">
        <v>8</v>
      </c>
      <c r="AD74" s="6" t="s">
        <v>275</v>
      </c>
    </row>
    <row r="75" spans="1:30">
      <c r="A75" s="8" t="s">
        <v>1081</v>
      </c>
      <c r="B75" s="6" t="s">
        <v>649</v>
      </c>
      <c r="C75" s="8" t="s">
        <v>645</v>
      </c>
      <c r="D75" s="6">
        <v>1000</v>
      </c>
      <c r="E75" s="8">
        <v>10</v>
      </c>
      <c r="F75" s="6">
        <f>5*24*3600</f>
        <v>432000</v>
      </c>
      <c r="G75" s="9">
        <v>4.6632042652511761E-13</v>
      </c>
      <c r="H75" s="10">
        <f t="shared" si="3"/>
        <v>0.89766457935879551</v>
      </c>
      <c r="I75" s="6">
        <v>4</v>
      </c>
      <c r="J75" s="6" t="s">
        <v>650</v>
      </c>
      <c r="K75" s="6">
        <v>36</v>
      </c>
      <c r="L75" s="6">
        <v>1</v>
      </c>
      <c r="M75" s="6">
        <v>1</v>
      </c>
      <c r="N75" s="6">
        <v>1</v>
      </c>
      <c r="O75" s="6">
        <v>1</v>
      </c>
      <c r="P75" s="6">
        <v>64.47</v>
      </c>
      <c r="Q75" s="6">
        <v>0.24</v>
      </c>
      <c r="R75" s="6">
        <v>15.51</v>
      </c>
      <c r="T75" s="6">
        <v>4.51</v>
      </c>
      <c r="U75" s="6">
        <v>0.12</v>
      </c>
      <c r="V75" s="6">
        <v>1.7</v>
      </c>
      <c r="W75" s="6">
        <v>3.52</v>
      </c>
      <c r="X75" s="6">
        <v>3.49</v>
      </c>
      <c r="Y75" s="6">
        <v>5.92</v>
      </c>
      <c r="Z75" s="6">
        <v>0.52</v>
      </c>
      <c r="AA75" s="6">
        <v>0.05</v>
      </c>
      <c r="AB75" s="6">
        <v>91.51</v>
      </c>
      <c r="AC75" s="6">
        <v>7.9</v>
      </c>
      <c r="AD75" s="6" t="s">
        <v>275</v>
      </c>
    </row>
    <row r="76" spans="1:30">
      <c r="A76" s="8" t="s">
        <v>1081</v>
      </c>
      <c r="B76" s="6" t="s">
        <v>651</v>
      </c>
      <c r="C76" s="8" t="s">
        <v>645</v>
      </c>
      <c r="D76" s="6">
        <v>950</v>
      </c>
      <c r="E76" s="8">
        <v>10</v>
      </c>
      <c r="F76" s="6">
        <f>7*24*3600</f>
        <v>604800</v>
      </c>
      <c r="G76" s="9">
        <v>2.6432360916877484E-13</v>
      </c>
      <c r="H76" s="10">
        <f t="shared" si="3"/>
        <v>0.79965722362841196</v>
      </c>
      <c r="I76" s="6">
        <v>4</v>
      </c>
      <c r="J76" s="6" t="s">
        <v>652</v>
      </c>
      <c r="K76" s="6">
        <v>33</v>
      </c>
      <c r="L76" s="6">
        <v>1</v>
      </c>
      <c r="M76" s="6">
        <v>1</v>
      </c>
      <c r="N76" s="6">
        <v>1</v>
      </c>
      <c r="O76" s="6">
        <v>1</v>
      </c>
      <c r="P76" s="6">
        <v>69.06</v>
      </c>
      <c r="Q76" s="6">
        <v>0.19</v>
      </c>
      <c r="R76" s="6">
        <v>15.91</v>
      </c>
      <c r="T76" s="6">
        <v>2.2799999999999998</v>
      </c>
      <c r="U76" s="6">
        <v>7.0000000000000007E-2</v>
      </c>
      <c r="V76" s="6">
        <v>0.67</v>
      </c>
      <c r="W76" s="6">
        <v>2.09</v>
      </c>
      <c r="X76" s="6">
        <v>3.59</v>
      </c>
      <c r="Y76" s="6">
        <v>5.97</v>
      </c>
      <c r="Z76" s="6">
        <v>0.16</v>
      </c>
      <c r="AA76" s="6">
        <v>0.03</v>
      </c>
      <c r="AB76" s="6">
        <v>89.86</v>
      </c>
      <c r="AC76" s="6">
        <v>9.6999999999999993</v>
      </c>
      <c r="AD76" s="6" t="s">
        <v>275</v>
      </c>
    </row>
    <row r="77" spans="1:30">
      <c r="A77" s="8" t="s">
        <v>1081</v>
      </c>
      <c r="B77" s="6" t="s">
        <v>653</v>
      </c>
      <c r="C77" s="8" t="s">
        <v>645</v>
      </c>
      <c r="D77" s="6">
        <v>950</v>
      </c>
      <c r="E77" s="8">
        <v>10</v>
      </c>
      <c r="F77" s="6">
        <f>7*24*3600</f>
        <v>604800</v>
      </c>
      <c r="G77" s="9">
        <v>2.6432360916877484E-13</v>
      </c>
      <c r="H77" s="10">
        <f t="shared" si="3"/>
        <v>0.79965722362841196</v>
      </c>
      <c r="I77" s="6">
        <v>4</v>
      </c>
      <c r="J77" s="6" t="s">
        <v>652</v>
      </c>
      <c r="K77" s="6">
        <v>32</v>
      </c>
      <c r="L77" s="6">
        <v>1</v>
      </c>
      <c r="M77" s="6">
        <v>1</v>
      </c>
      <c r="N77" s="6">
        <v>1</v>
      </c>
      <c r="O77" s="6">
        <v>1</v>
      </c>
      <c r="P77" s="6">
        <v>68.28</v>
      </c>
      <c r="Q77" s="6">
        <v>0.16</v>
      </c>
      <c r="R77" s="6">
        <v>16.02</v>
      </c>
      <c r="T77" s="6">
        <v>2.4700000000000002</v>
      </c>
      <c r="U77" s="6">
        <v>7.0000000000000007E-2</v>
      </c>
      <c r="V77" s="6">
        <v>0.84</v>
      </c>
      <c r="W77" s="6">
        <v>2</v>
      </c>
      <c r="X77" s="6">
        <v>3.82</v>
      </c>
      <c r="Y77" s="6">
        <v>6.18</v>
      </c>
      <c r="Z77" s="6">
        <v>0.17</v>
      </c>
      <c r="AA77" s="6">
        <v>0.03</v>
      </c>
      <c r="AB77" s="6">
        <v>91.2</v>
      </c>
      <c r="AC77" s="6">
        <v>8.4</v>
      </c>
      <c r="AD77" s="6" t="s">
        <v>275</v>
      </c>
    </row>
    <row r="78" spans="1:30">
      <c r="A78" s="8" t="s">
        <v>1081</v>
      </c>
      <c r="B78" s="6" t="s">
        <v>654</v>
      </c>
      <c r="C78" s="8" t="s">
        <v>645</v>
      </c>
      <c r="D78" s="6">
        <v>950</v>
      </c>
      <c r="E78" s="8">
        <v>10</v>
      </c>
      <c r="F78" s="6">
        <f>4*24*3600</f>
        <v>345600</v>
      </c>
      <c r="G78" s="9">
        <v>2.6432360916877484E-13</v>
      </c>
      <c r="H78" s="10">
        <f t="shared" si="3"/>
        <v>0.60448404223346897</v>
      </c>
      <c r="I78" s="6">
        <v>4</v>
      </c>
      <c r="J78" s="6" t="s">
        <v>655</v>
      </c>
      <c r="K78" s="6">
        <v>33</v>
      </c>
      <c r="L78" s="6">
        <v>1</v>
      </c>
      <c r="M78" s="6">
        <v>1</v>
      </c>
      <c r="N78" s="6">
        <v>1</v>
      </c>
      <c r="O78" s="6">
        <v>1</v>
      </c>
      <c r="P78" s="6">
        <v>67.400000000000006</v>
      </c>
      <c r="Q78" s="6">
        <v>0.21</v>
      </c>
      <c r="R78" s="6">
        <v>16.05</v>
      </c>
      <c r="T78" s="6">
        <v>2.87</v>
      </c>
      <c r="U78" s="6">
        <v>0.1</v>
      </c>
      <c r="V78" s="6">
        <v>0.75</v>
      </c>
      <c r="W78" s="6">
        <v>2.78</v>
      </c>
      <c r="X78" s="6">
        <v>3.64</v>
      </c>
      <c r="Y78" s="6">
        <v>5.86</v>
      </c>
      <c r="Z78" s="6">
        <v>0.33</v>
      </c>
      <c r="AA78" s="6">
        <v>7.0000000000000007E-2</v>
      </c>
      <c r="AB78" s="6">
        <v>89.09</v>
      </c>
      <c r="AC78" s="6">
        <v>10.3</v>
      </c>
      <c r="AD78" s="6" t="s">
        <v>275</v>
      </c>
    </row>
    <row r="79" spans="1:30">
      <c r="A79" s="8" t="s">
        <v>1081</v>
      </c>
      <c r="B79" s="6" t="s">
        <v>656</v>
      </c>
      <c r="C79" s="8" t="s">
        <v>645</v>
      </c>
      <c r="D79" s="6">
        <v>950</v>
      </c>
      <c r="E79" s="8">
        <v>10</v>
      </c>
      <c r="F79" s="6">
        <f>7*24*3600</f>
        <v>604800</v>
      </c>
      <c r="G79" s="9">
        <v>2.6432360916877484E-13</v>
      </c>
      <c r="H79" s="10">
        <f t="shared" si="3"/>
        <v>0.79965722362841196</v>
      </c>
      <c r="I79" s="6">
        <v>4</v>
      </c>
      <c r="J79" s="6" t="s">
        <v>655</v>
      </c>
      <c r="K79" s="6">
        <v>31</v>
      </c>
      <c r="L79" s="6">
        <v>1</v>
      </c>
      <c r="M79" s="6">
        <v>1</v>
      </c>
      <c r="N79" s="6">
        <v>1</v>
      </c>
      <c r="O79" s="6">
        <v>1</v>
      </c>
      <c r="P79" s="6">
        <v>68.34</v>
      </c>
      <c r="Q79" s="6">
        <v>0.13</v>
      </c>
      <c r="R79" s="6">
        <v>16.079999999999998</v>
      </c>
      <c r="T79" s="6">
        <v>2.54</v>
      </c>
      <c r="U79" s="6">
        <v>7.0000000000000007E-2</v>
      </c>
      <c r="V79" s="6">
        <v>0.79</v>
      </c>
      <c r="W79" s="6">
        <v>1.9</v>
      </c>
      <c r="X79" s="6">
        <v>3.81</v>
      </c>
      <c r="Y79" s="6">
        <v>6.13</v>
      </c>
      <c r="Z79" s="6">
        <v>0.22</v>
      </c>
      <c r="AA79" s="6">
        <v>0.05</v>
      </c>
      <c r="AB79" s="6">
        <v>90.67</v>
      </c>
      <c r="AC79" s="6">
        <v>8.8000000000000007</v>
      </c>
      <c r="AD79" s="6" t="s">
        <v>275</v>
      </c>
    </row>
    <row r="80" spans="1:30">
      <c r="A80" s="8" t="s">
        <v>1081</v>
      </c>
      <c r="B80" s="6" t="s">
        <v>657</v>
      </c>
      <c r="C80" s="8" t="s">
        <v>645</v>
      </c>
      <c r="D80" s="6">
        <v>900</v>
      </c>
      <c r="E80" s="8">
        <v>10</v>
      </c>
      <c r="F80" s="6">
        <f>7*24*3600</f>
        <v>604800</v>
      </c>
      <c r="G80" s="9">
        <v>1.4274849337614078E-13</v>
      </c>
      <c r="H80" s="10">
        <f t="shared" si="3"/>
        <v>0.58765394168299401</v>
      </c>
      <c r="I80" s="6">
        <v>4</v>
      </c>
      <c r="J80" s="6" t="s">
        <v>655</v>
      </c>
      <c r="K80" s="6">
        <v>29</v>
      </c>
      <c r="L80" s="6">
        <v>1</v>
      </c>
      <c r="M80" s="6">
        <v>1</v>
      </c>
      <c r="N80" s="6">
        <v>1</v>
      </c>
      <c r="O80" s="6">
        <v>1</v>
      </c>
      <c r="P80" s="6">
        <v>69.72</v>
      </c>
      <c r="Q80" s="6">
        <v>0.1</v>
      </c>
      <c r="R80" s="6">
        <v>15.55</v>
      </c>
      <c r="T80" s="6">
        <v>2.1</v>
      </c>
      <c r="U80" s="6">
        <v>7.0000000000000007E-2</v>
      </c>
      <c r="V80" s="6">
        <v>0.93</v>
      </c>
      <c r="W80" s="6">
        <v>1.49</v>
      </c>
      <c r="X80" s="6">
        <v>3.88</v>
      </c>
      <c r="Y80" s="6">
        <v>6.1</v>
      </c>
      <c r="Z80" s="6">
        <v>0.06</v>
      </c>
      <c r="AA80" s="6">
        <v>0.02</v>
      </c>
      <c r="AB80" s="6">
        <v>91.74</v>
      </c>
      <c r="AC80" s="6">
        <v>7.9</v>
      </c>
      <c r="AD80" s="6" t="s">
        <v>275</v>
      </c>
    </row>
    <row r="81" spans="1:34">
      <c r="A81" s="8" t="s">
        <v>1081</v>
      </c>
      <c r="B81" s="6" t="s">
        <v>658</v>
      </c>
      <c r="C81" s="8" t="s">
        <v>645</v>
      </c>
      <c r="D81" s="6">
        <v>850</v>
      </c>
      <c r="E81" s="8">
        <v>10</v>
      </c>
      <c r="F81" s="6">
        <f>7*24*3600</f>
        <v>604800</v>
      </c>
      <c r="G81" s="9">
        <v>7.2976735414337512E-14</v>
      </c>
      <c r="H81" s="10">
        <f t="shared" si="3"/>
        <v>0.42017296237902468</v>
      </c>
      <c r="I81" s="6">
        <v>4</v>
      </c>
      <c r="J81" s="6" t="s">
        <v>659</v>
      </c>
      <c r="K81" s="6">
        <v>28</v>
      </c>
      <c r="L81" s="6">
        <v>1</v>
      </c>
      <c r="M81" s="6">
        <v>1</v>
      </c>
      <c r="N81" s="6">
        <v>1</v>
      </c>
      <c r="O81" s="6">
        <v>1</v>
      </c>
      <c r="P81" s="6">
        <v>71.31</v>
      </c>
      <c r="Q81" s="6">
        <v>0.09</v>
      </c>
      <c r="R81" s="6">
        <v>15.43</v>
      </c>
      <c r="T81" s="6">
        <v>1.41</v>
      </c>
      <c r="U81" s="6">
        <v>0.04</v>
      </c>
      <c r="V81" s="6">
        <v>0.68</v>
      </c>
      <c r="W81" s="6">
        <v>1.07</v>
      </c>
      <c r="X81" s="6">
        <v>3.96</v>
      </c>
      <c r="Y81" s="6">
        <v>5.96</v>
      </c>
      <c r="Z81" s="6">
        <v>0.06</v>
      </c>
      <c r="AA81" s="6">
        <v>0.03</v>
      </c>
      <c r="AB81" s="6">
        <v>92.13</v>
      </c>
      <c r="AC81" s="6">
        <v>7.7</v>
      </c>
      <c r="AD81" s="6" t="s">
        <v>275</v>
      </c>
    </row>
    <row r="82" spans="1:34">
      <c r="A82" s="8" t="s">
        <v>1081</v>
      </c>
      <c r="B82" s="6" t="s">
        <v>660</v>
      </c>
      <c r="C82" s="8" t="s">
        <v>558</v>
      </c>
      <c r="D82" s="6">
        <v>1050</v>
      </c>
      <c r="E82" s="8">
        <v>10</v>
      </c>
      <c r="F82" s="6">
        <f>3*24*3600</f>
        <v>259200</v>
      </c>
      <c r="G82" s="9">
        <v>7.8813293078769567E-13</v>
      </c>
      <c r="H82" s="10">
        <f t="shared" si="3"/>
        <v>0.90395587427743551</v>
      </c>
      <c r="I82" s="6">
        <v>4</v>
      </c>
      <c r="J82" s="6" t="s">
        <v>661</v>
      </c>
      <c r="K82" s="6">
        <v>64</v>
      </c>
      <c r="L82" s="6">
        <v>1</v>
      </c>
      <c r="M82" s="6">
        <v>1</v>
      </c>
      <c r="N82" s="6">
        <v>0</v>
      </c>
      <c r="O82" s="6">
        <v>0</v>
      </c>
      <c r="P82" s="6">
        <v>60.52</v>
      </c>
      <c r="Q82" s="6">
        <v>0.52</v>
      </c>
      <c r="R82" s="6">
        <v>17.670000000000002</v>
      </c>
      <c r="T82" s="6">
        <v>4.1500000000000004</v>
      </c>
      <c r="U82" s="6">
        <v>7.0000000000000007E-2</v>
      </c>
      <c r="V82" s="6">
        <v>2.09</v>
      </c>
      <c r="W82" s="6">
        <v>3.65</v>
      </c>
      <c r="X82" s="6">
        <v>3.61</v>
      </c>
      <c r="Y82" s="6">
        <v>7.02</v>
      </c>
      <c r="Z82" s="6">
        <v>0.7</v>
      </c>
      <c r="AA82" s="6">
        <v>0.06</v>
      </c>
      <c r="AB82" s="6">
        <v>92.88</v>
      </c>
      <c r="AC82" s="6">
        <v>6.1</v>
      </c>
      <c r="AD82" s="6" t="s">
        <v>275</v>
      </c>
    </row>
    <row r="83" spans="1:34">
      <c r="A83" s="8" t="s">
        <v>1081</v>
      </c>
      <c r="B83" s="6" t="s">
        <v>662</v>
      </c>
      <c r="C83" s="8" t="s">
        <v>558</v>
      </c>
      <c r="D83" s="6">
        <v>1050</v>
      </c>
      <c r="E83" s="8">
        <v>10</v>
      </c>
      <c r="F83" s="6">
        <f>3*24*3600</f>
        <v>259200</v>
      </c>
      <c r="G83" s="9">
        <v>7.8813293078769567E-13</v>
      </c>
      <c r="H83" s="10">
        <f t="shared" si="3"/>
        <v>0.90395587427743551</v>
      </c>
      <c r="I83" s="6">
        <v>5.4</v>
      </c>
      <c r="J83" s="6" t="s">
        <v>661</v>
      </c>
      <c r="K83" s="6">
        <v>95</v>
      </c>
      <c r="L83" s="6">
        <v>1</v>
      </c>
      <c r="M83" s="6">
        <v>1</v>
      </c>
      <c r="N83" s="6">
        <v>0</v>
      </c>
      <c r="O83" s="6">
        <v>0</v>
      </c>
      <c r="P83" s="6">
        <v>61.59</v>
      </c>
      <c r="Q83" s="6">
        <v>0.76</v>
      </c>
      <c r="R83" s="6">
        <v>16.600000000000001</v>
      </c>
      <c r="T83" s="6">
        <v>4.3600000000000003</v>
      </c>
      <c r="U83" s="6">
        <v>0.1</v>
      </c>
      <c r="V83" s="6">
        <v>2.16</v>
      </c>
      <c r="W83" s="6">
        <v>3.23</v>
      </c>
      <c r="X83" s="6">
        <v>4</v>
      </c>
      <c r="Y83" s="6">
        <v>6.42</v>
      </c>
      <c r="Z83" s="6">
        <v>0.79</v>
      </c>
      <c r="AA83" s="6">
        <v>0.09</v>
      </c>
      <c r="AB83" s="6">
        <v>92.55</v>
      </c>
      <c r="AC83" s="6">
        <v>6.3</v>
      </c>
      <c r="AD83" s="6" t="s">
        <v>275</v>
      </c>
    </row>
    <row r="84" spans="1:34">
      <c r="A84" s="8" t="s">
        <v>1081</v>
      </c>
      <c r="B84" s="6" t="s">
        <v>663</v>
      </c>
      <c r="C84" s="8" t="s">
        <v>558</v>
      </c>
      <c r="D84" s="6">
        <v>1000</v>
      </c>
      <c r="E84" s="8">
        <v>10</v>
      </c>
      <c r="F84" s="6">
        <f>7*24*3600</f>
        <v>604800</v>
      </c>
      <c r="G84" s="9">
        <v>4.6632042652511761E-13</v>
      </c>
      <c r="H84" s="10">
        <f t="shared" si="3"/>
        <v>1.0621310539898383</v>
      </c>
      <c r="I84" s="6">
        <v>5.4</v>
      </c>
      <c r="J84" s="6" t="s">
        <v>664</v>
      </c>
      <c r="K84" s="6">
        <v>81</v>
      </c>
      <c r="L84" s="6">
        <v>1</v>
      </c>
      <c r="M84" s="6">
        <v>1</v>
      </c>
      <c r="N84" s="6">
        <v>0</v>
      </c>
      <c r="O84" s="6">
        <v>0</v>
      </c>
      <c r="P84" s="6">
        <v>64.11</v>
      </c>
      <c r="Q84" s="6">
        <v>0.48</v>
      </c>
      <c r="R84" s="6">
        <v>17.28</v>
      </c>
      <c r="T84" s="6">
        <v>3.41</v>
      </c>
      <c r="U84" s="6">
        <v>0.09</v>
      </c>
      <c r="V84" s="6">
        <v>1.08</v>
      </c>
      <c r="W84" s="6">
        <v>2.36</v>
      </c>
      <c r="X84" s="6">
        <v>4.41</v>
      </c>
      <c r="Y84" s="6">
        <v>6.46</v>
      </c>
      <c r="Z84" s="6">
        <v>0.32</v>
      </c>
      <c r="AA84" s="6">
        <v>0.02</v>
      </c>
      <c r="AB84" s="6">
        <v>92.92</v>
      </c>
      <c r="AC84" s="6">
        <v>6.3</v>
      </c>
      <c r="AD84" s="6" t="s">
        <v>275</v>
      </c>
    </row>
    <row r="85" spans="1:34">
      <c r="A85" s="8" t="s">
        <v>1081</v>
      </c>
      <c r="B85" s="6" t="s">
        <v>665</v>
      </c>
      <c r="C85" s="8" t="s">
        <v>558</v>
      </c>
      <c r="D85" s="6">
        <v>900</v>
      </c>
      <c r="E85" s="8">
        <v>10</v>
      </c>
      <c r="F85" s="6">
        <f>7*24*3600</f>
        <v>604800</v>
      </c>
      <c r="G85" s="9">
        <v>1.4274849337614078E-13</v>
      </c>
      <c r="H85" s="10">
        <f t="shared" si="3"/>
        <v>0.58765394168299401</v>
      </c>
      <c r="I85" s="6">
        <v>5.4</v>
      </c>
      <c r="J85" s="6" t="s">
        <v>666</v>
      </c>
      <c r="K85" s="6">
        <v>65</v>
      </c>
      <c r="L85" s="6">
        <v>1</v>
      </c>
      <c r="M85" s="6">
        <v>1</v>
      </c>
      <c r="N85" s="6">
        <v>0</v>
      </c>
      <c r="O85" s="6">
        <v>0</v>
      </c>
      <c r="P85" s="6">
        <v>67.739999999999995</v>
      </c>
      <c r="Q85" s="6">
        <v>0.23</v>
      </c>
      <c r="R85" s="6">
        <v>17.350000000000001</v>
      </c>
      <c r="T85" s="6">
        <v>1.82</v>
      </c>
      <c r="U85" s="6">
        <v>0.06</v>
      </c>
      <c r="V85" s="6">
        <v>0.36</v>
      </c>
      <c r="W85" s="6">
        <v>1.6</v>
      </c>
      <c r="X85" s="6">
        <v>4.79</v>
      </c>
      <c r="Y85" s="6">
        <v>5.96</v>
      </c>
      <c r="Z85" s="6">
        <v>0.1</v>
      </c>
      <c r="AB85" s="6">
        <v>92.23</v>
      </c>
      <c r="AC85" s="6">
        <v>7.3</v>
      </c>
      <c r="AD85" s="6" t="s">
        <v>275</v>
      </c>
    </row>
    <row r="86" spans="1:34">
      <c r="A86" s="8" t="s">
        <v>1081</v>
      </c>
      <c r="B86" s="6" t="s">
        <v>667</v>
      </c>
      <c r="C86" s="8" t="s">
        <v>558</v>
      </c>
      <c r="D86" s="6">
        <v>900</v>
      </c>
      <c r="E86" s="8">
        <v>10</v>
      </c>
      <c r="F86" s="6">
        <f>7*24*3600</f>
        <v>604800</v>
      </c>
      <c r="G86" s="9">
        <v>1.4274849337614078E-13</v>
      </c>
      <c r="H86" s="10">
        <f t="shared" si="3"/>
        <v>0.58765394168299401</v>
      </c>
      <c r="I86" s="6">
        <v>5.4</v>
      </c>
      <c r="J86" s="6" t="s">
        <v>666</v>
      </c>
      <c r="K86" s="6">
        <v>67</v>
      </c>
      <c r="L86" s="6">
        <v>1</v>
      </c>
      <c r="M86" s="6">
        <v>1</v>
      </c>
      <c r="N86" s="6">
        <v>0</v>
      </c>
      <c r="O86" s="6">
        <v>0</v>
      </c>
      <c r="P86" s="6">
        <v>67.5</v>
      </c>
      <c r="Q86" s="6">
        <v>0.22</v>
      </c>
      <c r="R86" s="6">
        <v>17.45</v>
      </c>
      <c r="T86" s="6">
        <v>1.86</v>
      </c>
      <c r="U86" s="6">
        <v>0.06</v>
      </c>
      <c r="V86" s="6">
        <v>0.3</v>
      </c>
      <c r="W86" s="6">
        <v>1.69</v>
      </c>
      <c r="X86" s="6">
        <v>4.72</v>
      </c>
      <c r="Y86" s="6">
        <v>6.1</v>
      </c>
      <c r="Z86" s="6">
        <v>0.1</v>
      </c>
      <c r="AA86" s="6">
        <v>0.06</v>
      </c>
      <c r="AB86" s="6">
        <v>92.26</v>
      </c>
      <c r="AC86" s="6">
        <v>7.2</v>
      </c>
      <c r="AD86" s="6" t="s">
        <v>275</v>
      </c>
    </row>
    <row r="87" spans="1:34">
      <c r="A87" s="8" t="s">
        <v>1081</v>
      </c>
      <c r="B87" s="6" t="s">
        <v>668</v>
      </c>
      <c r="C87" s="8" t="s">
        <v>645</v>
      </c>
      <c r="D87" s="6">
        <v>900</v>
      </c>
      <c r="E87" s="8">
        <v>10</v>
      </c>
      <c r="F87" s="6">
        <f>7*24*3600</f>
        <v>604800</v>
      </c>
      <c r="G87" s="9">
        <v>1.4274849337614078E-13</v>
      </c>
      <c r="H87" s="10">
        <f t="shared" si="3"/>
        <v>0.58765394168299401</v>
      </c>
      <c r="I87" s="6">
        <v>4</v>
      </c>
      <c r="J87" s="6" t="s">
        <v>669</v>
      </c>
      <c r="K87" s="6">
        <v>22</v>
      </c>
      <c r="L87" s="6">
        <v>1</v>
      </c>
      <c r="M87" s="6">
        <v>1</v>
      </c>
      <c r="N87" s="6">
        <v>0</v>
      </c>
      <c r="O87" s="6">
        <v>0</v>
      </c>
      <c r="P87" s="6">
        <v>67.63</v>
      </c>
      <c r="Q87" s="6">
        <v>0.05</v>
      </c>
      <c r="R87" s="6">
        <v>17.18</v>
      </c>
      <c r="T87" s="6">
        <v>1.95</v>
      </c>
      <c r="U87" s="6">
        <v>7.0000000000000007E-2</v>
      </c>
      <c r="V87" s="6">
        <v>0.28999999999999998</v>
      </c>
      <c r="W87" s="6">
        <v>1.36</v>
      </c>
      <c r="X87" s="6">
        <v>4.51</v>
      </c>
      <c r="Y87" s="6">
        <v>6.9</v>
      </c>
      <c r="Z87" s="6">
        <v>0.06</v>
      </c>
      <c r="AA87" s="6">
        <v>0.03</v>
      </c>
      <c r="AB87" s="6">
        <v>93.18</v>
      </c>
      <c r="AC87" s="6">
        <v>6.4</v>
      </c>
      <c r="AD87" s="6" t="s">
        <v>275</v>
      </c>
    </row>
    <row r="88" spans="1:34">
      <c r="A88" s="6" t="s">
        <v>1032</v>
      </c>
      <c r="B88" s="6" t="s">
        <v>40</v>
      </c>
      <c r="C88" s="8" t="s">
        <v>645</v>
      </c>
      <c r="D88" s="6">
        <v>980</v>
      </c>
      <c r="E88" s="6">
        <v>1</v>
      </c>
      <c r="F88" s="6">
        <f>24*3600</f>
        <v>86400</v>
      </c>
      <c r="G88" s="9">
        <v>3.7361642622285051E-13</v>
      </c>
      <c r="H88" s="10">
        <f t="shared" si="3"/>
        <v>0.35933527088586381</v>
      </c>
      <c r="I88" s="6" t="s">
        <v>41</v>
      </c>
      <c r="J88" s="8" t="s">
        <v>42</v>
      </c>
      <c r="K88" s="6">
        <v>51</v>
      </c>
      <c r="L88" s="6">
        <v>1</v>
      </c>
      <c r="M88" s="6">
        <v>0</v>
      </c>
      <c r="N88" s="6">
        <v>0</v>
      </c>
      <c r="O88" s="6">
        <v>0</v>
      </c>
      <c r="P88" s="6">
        <v>59.4</v>
      </c>
      <c r="Q88" s="6">
        <v>0.71</v>
      </c>
      <c r="R88" s="6">
        <v>13.9</v>
      </c>
      <c r="S88" s="6">
        <v>0.02</v>
      </c>
      <c r="T88" s="6">
        <v>11.7</v>
      </c>
      <c r="U88" s="6">
        <v>0.36</v>
      </c>
      <c r="V88" s="6">
        <v>2.64</v>
      </c>
      <c r="W88" s="6">
        <v>8.33</v>
      </c>
      <c r="X88" s="6">
        <v>1.76</v>
      </c>
      <c r="Y88" s="6">
        <v>0.36</v>
      </c>
      <c r="Z88" s="6">
        <v>0.81</v>
      </c>
      <c r="AA88" s="6">
        <v>0.02</v>
      </c>
      <c r="AB88" s="6">
        <v>95.1</v>
      </c>
      <c r="AC88" s="6">
        <v>3.66</v>
      </c>
      <c r="AD88" s="6" t="s">
        <v>43</v>
      </c>
    </row>
    <row r="89" spans="1:34">
      <c r="A89" s="6" t="s">
        <v>1032</v>
      </c>
      <c r="B89" s="6" t="s">
        <v>44</v>
      </c>
      <c r="C89" s="8" t="s">
        <v>645</v>
      </c>
      <c r="D89" s="6">
        <v>960</v>
      </c>
      <c r="E89" s="6">
        <v>2</v>
      </c>
      <c r="F89" s="6">
        <f>49*3600</f>
        <v>176400</v>
      </c>
      <c r="G89" s="9">
        <v>2.9719748068493078E-13</v>
      </c>
      <c r="H89" s="10">
        <f t="shared" si="3"/>
        <v>0.45793290160381261</v>
      </c>
      <c r="I89" s="6" t="s">
        <v>41</v>
      </c>
      <c r="J89" s="8" t="s">
        <v>45</v>
      </c>
      <c r="K89" s="6">
        <v>44</v>
      </c>
      <c r="L89" s="6">
        <v>1</v>
      </c>
      <c r="M89" s="6">
        <v>0</v>
      </c>
      <c r="N89" s="6">
        <v>0</v>
      </c>
      <c r="O89" s="6">
        <v>0</v>
      </c>
      <c r="P89" s="6">
        <v>62.3</v>
      </c>
      <c r="Q89" s="6">
        <v>0.67</v>
      </c>
      <c r="R89" s="6">
        <v>14.3</v>
      </c>
      <c r="S89" s="6">
        <v>0.01</v>
      </c>
      <c r="T89" s="6">
        <v>10.5</v>
      </c>
      <c r="U89" s="6">
        <v>0.28000000000000003</v>
      </c>
      <c r="V89" s="6">
        <v>1.97</v>
      </c>
      <c r="W89" s="6">
        <v>7.33</v>
      </c>
      <c r="X89" s="6">
        <v>1.82</v>
      </c>
      <c r="Y89" s="6">
        <v>0.41</v>
      </c>
      <c r="Z89" s="6">
        <v>0.55000000000000004</v>
      </c>
      <c r="AA89" s="6">
        <v>0.02</v>
      </c>
      <c r="AB89" s="6">
        <v>91.83</v>
      </c>
      <c r="AC89" s="6">
        <v>5.9</v>
      </c>
      <c r="AD89" s="6" t="s">
        <v>43</v>
      </c>
    </row>
    <row r="90" spans="1:34">
      <c r="A90" s="8" t="s">
        <v>1048</v>
      </c>
      <c r="B90" s="6" t="s">
        <v>186</v>
      </c>
      <c r="C90" s="6" t="s">
        <v>1126</v>
      </c>
      <c r="D90" s="6">
        <v>918</v>
      </c>
      <c r="E90" s="8">
        <v>0.5</v>
      </c>
      <c r="F90" s="8">
        <f>167*3600</f>
        <v>601200</v>
      </c>
      <c r="G90" s="9">
        <v>1.7925960209475701E-13</v>
      </c>
      <c r="H90" s="10">
        <f t="shared" si="3"/>
        <v>0.65656948689188388</v>
      </c>
      <c r="I90" s="6" t="s">
        <v>183</v>
      </c>
      <c r="L90" s="6">
        <v>1</v>
      </c>
      <c r="M90" s="6">
        <v>1</v>
      </c>
      <c r="N90" s="6">
        <v>1</v>
      </c>
      <c r="O90" s="8">
        <v>1</v>
      </c>
      <c r="P90" s="6">
        <v>70</v>
      </c>
      <c r="Q90" s="6">
        <v>0.41</v>
      </c>
      <c r="R90" s="6">
        <v>14.04</v>
      </c>
      <c r="T90" s="6">
        <v>2.12</v>
      </c>
      <c r="U90" s="6">
        <v>0.05</v>
      </c>
      <c r="V90" s="6">
        <v>0.65</v>
      </c>
      <c r="W90" s="6">
        <v>1.07</v>
      </c>
      <c r="X90" s="6">
        <v>4.88</v>
      </c>
      <c r="Y90" s="6">
        <v>2.56</v>
      </c>
      <c r="Z90" s="6">
        <v>0.45</v>
      </c>
      <c r="AA90" s="6">
        <v>0.09</v>
      </c>
      <c r="AB90" s="6">
        <f t="shared" ref="AB90:AB111" si="4">SUM(P90:Z90)</f>
        <v>96.22999999999999</v>
      </c>
      <c r="AC90" s="6">
        <v>2.66</v>
      </c>
      <c r="AD90" s="6" t="s">
        <v>1122</v>
      </c>
      <c r="AH90"/>
    </row>
    <row r="91" spans="1:34">
      <c r="A91" s="8" t="s">
        <v>1048</v>
      </c>
      <c r="B91" s="6" t="s">
        <v>187</v>
      </c>
      <c r="C91" s="6" t="s">
        <v>1126</v>
      </c>
      <c r="D91" s="6">
        <v>900</v>
      </c>
      <c r="E91" s="8">
        <v>0.5</v>
      </c>
      <c r="F91" s="8">
        <f>262*3600</f>
        <v>943200</v>
      </c>
      <c r="G91" s="9">
        <v>1.4274849337614078E-13</v>
      </c>
      <c r="H91" s="10">
        <f t="shared" si="3"/>
        <v>0.73386750562312264</v>
      </c>
      <c r="I91" s="6" t="s">
        <v>183</v>
      </c>
      <c r="L91" s="6">
        <v>1</v>
      </c>
      <c r="M91" s="6">
        <v>1</v>
      </c>
      <c r="N91" s="6">
        <v>1</v>
      </c>
      <c r="O91" s="8">
        <v>1</v>
      </c>
      <c r="P91" s="6">
        <v>70.8</v>
      </c>
      <c r="Q91" s="6">
        <v>0.5</v>
      </c>
      <c r="R91" s="6">
        <v>13.99</v>
      </c>
      <c r="T91" s="6">
        <v>1.58</v>
      </c>
      <c r="U91" s="6">
        <v>0.1</v>
      </c>
      <c r="V91" s="6">
        <v>0.84</v>
      </c>
      <c r="W91" s="6">
        <v>0.83</v>
      </c>
      <c r="X91" s="6">
        <v>5.26</v>
      </c>
      <c r="Y91" s="6">
        <v>2.9</v>
      </c>
      <c r="Z91" s="6">
        <v>0.16</v>
      </c>
      <c r="AA91" s="6">
        <v>0.02</v>
      </c>
      <c r="AB91" s="6">
        <f t="shared" si="4"/>
        <v>96.96</v>
      </c>
      <c r="AC91" s="6">
        <v>2.69</v>
      </c>
      <c r="AD91" s="6" t="s">
        <v>1122</v>
      </c>
      <c r="AH91"/>
    </row>
    <row r="92" spans="1:34">
      <c r="A92" s="8" t="s">
        <v>1048</v>
      </c>
      <c r="B92" s="6" t="s">
        <v>188</v>
      </c>
      <c r="C92" s="6" t="s">
        <v>1126</v>
      </c>
      <c r="D92" s="6">
        <v>900</v>
      </c>
      <c r="E92" s="8">
        <v>0.5</v>
      </c>
      <c r="F92" s="8">
        <f>262*3600</f>
        <v>943200</v>
      </c>
      <c r="G92" s="9">
        <v>1.4274849337614078E-13</v>
      </c>
      <c r="H92" s="10">
        <f t="shared" si="3"/>
        <v>0.73386750562312264</v>
      </c>
      <c r="I92" s="6" t="s">
        <v>183</v>
      </c>
      <c r="L92" s="6">
        <v>1</v>
      </c>
      <c r="M92" s="6">
        <v>1</v>
      </c>
      <c r="N92" s="6">
        <v>1</v>
      </c>
      <c r="O92" s="8">
        <v>1</v>
      </c>
      <c r="P92" s="6">
        <v>69.98</v>
      </c>
      <c r="Q92" s="6">
        <v>0.46</v>
      </c>
      <c r="R92" s="6">
        <v>14.3</v>
      </c>
      <c r="T92" s="6">
        <v>2.0299999999999998</v>
      </c>
      <c r="U92" s="6">
        <v>0.08</v>
      </c>
      <c r="V92" s="6">
        <v>0.91</v>
      </c>
      <c r="W92" s="6">
        <v>0.91</v>
      </c>
      <c r="X92" s="6">
        <v>5.05</v>
      </c>
      <c r="Y92" s="6">
        <v>2.74</v>
      </c>
      <c r="Z92" s="6">
        <v>0.22</v>
      </c>
      <c r="AA92" s="6">
        <v>0.05</v>
      </c>
      <c r="AB92" s="6">
        <f t="shared" si="4"/>
        <v>96.679999999999978</v>
      </c>
      <c r="AC92">
        <v>2.59449</v>
      </c>
      <c r="AD92" s="6" t="s">
        <v>1122</v>
      </c>
    </row>
    <row r="93" spans="1:34">
      <c r="A93" s="8" t="s">
        <v>1048</v>
      </c>
      <c r="B93" s="6" t="s">
        <v>189</v>
      </c>
      <c r="C93" s="6" t="s">
        <v>1126</v>
      </c>
      <c r="D93" s="6">
        <v>910</v>
      </c>
      <c r="E93" s="8">
        <v>0.5</v>
      </c>
      <c r="F93" s="8">
        <f>336*3600</f>
        <v>1209600</v>
      </c>
      <c r="G93" s="9">
        <v>1.6214127517730542E-13</v>
      </c>
      <c r="H93" s="10">
        <f t="shared" si="3"/>
        <v>0.88572249932914915</v>
      </c>
      <c r="I93" s="6" t="s">
        <v>183</v>
      </c>
      <c r="L93" s="6">
        <v>1</v>
      </c>
      <c r="M93" s="6">
        <v>1</v>
      </c>
      <c r="N93" s="6">
        <v>1</v>
      </c>
      <c r="O93" s="8">
        <v>1</v>
      </c>
      <c r="P93" s="6">
        <v>70.760000000000005</v>
      </c>
      <c r="Q93" s="6">
        <v>0.46</v>
      </c>
      <c r="R93" s="6">
        <v>13.3</v>
      </c>
      <c r="T93" s="6">
        <v>2.17</v>
      </c>
      <c r="U93" s="6">
        <v>0.01</v>
      </c>
      <c r="V93" s="6">
        <v>0.59</v>
      </c>
      <c r="W93" s="6">
        <v>1.36</v>
      </c>
      <c r="X93" s="6">
        <v>4.6399999999999997</v>
      </c>
      <c r="Y93" s="6">
        <v>2.67</v>
      </c>
      <c r="Z93" s="6">
        <v>0.16</v>
      </c>
      <c r="AA93" s="6">
        <v>0.02</v>
      </c>
      <c r="AB93" s="6">
        <f t="shared" si="4"/>
        <v>96.12</v>
      </c>
      <c r="AC93">
        <v>2.6113599999999999</v>
      </c>
      <c r="AD93" s="6" t="s">
        <v>1122</v>
      </c>
    </row>
    <row r="94" spans="1:34">
      <c r="A94" s="8" t="s">
        <v>1048</v>
      </c>
      <c r="B94" s="6" t="s">
        <v>190</v>
      </c>
      <c r="C94" s="6" t="s">
        <v>1126</v>
      </c>
      <c r="D94" s="6">
        <v>909</v>
      </c>
      <c r="E94" s="8">
        <v>0.5</v>
      </c>
      <c r="F94" s="8">
        <f>336*3600</f>
        <v>1209600</v>
      </c>
      <c r="G94" s="9">
        <v>1.6010448471595836E-13</v>
      </c>
      <c r="H94" s="10">
        <f t="shared" si="3"/>
        <v>0.88014177201726596</v>
      </c>
      <c r="I94" s="6" t="s">
        <v>183</v>
      </c>
      <c r="L94" s="6">
        <v>1</v>
      </c>
      <c r="M94" s="6">
        <v>1</v>
      </c>
      <c r="N94" s="6">
        <v>1</v>
      </c>
      <c r="O94" s="8">
        <v>1</v>
      </c>
      <c r="P94" s="6">
        <v>68.959999999999994</v>
      </c>
      <c r="Q94" s="6">
        <v>0.45</v>
      </c>
      <c r="R94" s="6">
        <v>13.11</v>
      </c>
      <c r="T94" s="6">
        <v>2.0299999999999998</v>
      </c>
      <c r="U94" s="6">
        <v>0.04</v>
      </c>
      <c r="V94" s="6">
        <v>0.24</v>
      </c>
      <c r="W94" s="6">
        <v>3.11</v>
      </c>
      <c r="X94" s="6">
        <v>4.71</v>
      </c>
      <c r="Y94" s="6">
        <v>2.74</v>
      </c>
      <c r="Z94" s="6">
        <v>0.02</v>
      </c>
      <c r="AA94" s="6">
        <v>0.01</v>
      </c>
      <c r="AB94" s="6">
        <f t="shared" si="4"/>
        <v>95.409999999999982</v>
      </c>
      <c r="AC94">
        <v>2.6631900000000002</v>
      </c>
      <c r="AD94" s="6" t="s">
        <v>1122</v>
      </c>
    </row>
    <row r="95" spans="1:34">
      <c r="A95" s="8" t="s">
        <v>1048</v>
      </c>
      <c r="B95" s="6" t="s">
        <v>191</v>
      </c>
      <c r="C95" s="6" t="s">
        <v>1126</v>
      </c>
      <c r="D95" s="6">
        <v>909</v>
      </c>
      <c r="E95" s="8">
        <v>0.5</v>
      </c>
      <c r="F95" s="8">
        <f>386*3600</f>
        <v>1389600</v>
      </c>
      <c r="G95" s="9">
        <v>1.6010448471595836E-13</v>
      </c>
      <c r="H95" s="10">
        <f t="shared" si="3"/>
        <v>0.94335823940069707</v>
      </c>
      <c r="I95" s="6" t="s">
        <v>183</v>
      </c>
      <c r="L95" s="6">
        <v>1</v>
      </c>
      <c r="M95" s="6">
        <v>1</v>
      </c>
      <c r="N95" s="6">
        <v>1</v>
      </c>
      <c r="O95" s="8">
        <v>1</v>
      </c>
      <c r="P95" s="6">
        <v>70.28</v>
      </c>
      <c r="Q95" s="6">
        <v>0.44</v>
      </c>
      <c r="R95" s="6">
        <v>12.67</v>
      </c>
      <c r="T95" s="6">
        <v>2.0499999999999998</v>
      </c>
      <c r="U95" s="6">
        <v>0.06</v>
      </c>
      <c r="V95" s="6">
        <v>0.28000000000000003</v>
      </c>
      <c r="W95" s="6">
        <v>2.57</v>
      </c>
      <c r="X95" s="6">
        <v>4.5999999999999996</v>
      </c>
      <c r="Y95" s="6">
        <v>2.77</v>
      </c>
      <c r="Z95" s="6">
        <v>0.02</v>
      </c>
      <c r="AA95" s="6">
        <v>0.02</v>
      </c>
      <c r="AB95" s="6">
        <f t="shared" si="4"/>
        <v>95.739999999999981</v>
      </c>
      <c r="AC95">
        <v>2.66439</v>
      </c>
      <c r="AD95" s="6" t="s">
        <v>1122</v>
      </c>
    </row>
    <row r="96" spans="1:34">
      <c r="A96" s="8" t="s">
        <v>1048</v>
      </c>
      <c r="B96" s="6" t="s">
        <v>192</v>
      </c>
      <c r="C96" s="6" t="s">
        <v>1126</v>
      </c>
      <c r="D96" s="6">
        <v>909</v>
      </c>
      <c r="E96" s="8">
        <v>0.5</v>
      </c>
      <c r="F96" s="8">
        <f>386*3600</f>
        <v>1389600</v>
      </c>
      <c r="G96" s="9">
        <v>1.6010448471595836E-13</v>
      </c>
      <c r="H96" s="10">
        <f t="shared" si="3"/>
        <v>0.94335823940069707</v>
      </c>
      <c r="I96" s="6" t="s">
        <v>183</v>
      </c>
      <c r="L96" s="6">
        <v>1</v>
      </c>
      <c r="M96" s="6">
        <v>1</v>
      </c>
      <c r="N96" s="6">
        <v>1</v>
      </c>
      <c r="O96" s="8">
        <v>1</v>
      </c>
      <c r="P96" s="6">
        <v>69.930000000000007</v>
      </c>
      <c r="Q96" s="6">
        <v>0.45</v>
      </c>
      <c r="R96" s="6">
        <v>12.59</v>
      </c>
      <c r="T96" s="6">
        <v>1.94</v>
      </c>
      <c r="U96" s="6">
        <v>0.04</v>
      </c>
      <c r="V96" s="6">
        <v>0.27</v>
      </c>
      <c r="W96" s="6">
        <v>2.95</v>
      </c>
      <c r="X96" s="6">
        <v>4.22</v>
      </c>
      <c r="Y96" s="6">
        <v>2.67</v>
      </c>
      <c r="Z96" s="6">
        <v>0.05</v>
      </c>
      <c r="AA96" s="6">
        <v>0.05</v>
      </c>
      <c r="AB96" s="6">
        <f t="shared" si="4"/>
        <v>95.110000000000014</v>
      </c>
      <c r="AC96">
        <v>2.6592199999999999</v>
      </c>
      <c r="AD96" s="6" t="s">
        <v>1122</v>
      </c>
    </row>
    <row r="97" spans="1:34">
      <c r="A97" s="8" t="s">
        <v>1048</v>
      </c>
      <c r="B97" s="6" t="s">
        <v>193</v>
      </c>
      <c r="C97" s="6" t="s">
        <v>1126</v>
      </c>
      <c r="D97" s="6">
        <v>900</v>
      </c>
      <c r="E97" s="8">
        <v>0.51</v>
      </c>
      <c r="F97" s="8">
        <f>333*3600</f>
        <v>1198800</v>
      </c>
      <c r="G97" s="9">
        <v>1.4274849337614078E-13</v>
      </c>
      <c r="H97" s="10">
        <f t="shared" si="3"/>
        <v>0.82734972982244348</v>
      </c>
      <c r="I97" s="6" t="s">
        <v>183</v>
      </c>
      <c r="L97" s="6">
        <v>1</v>
      </c>
      <c r="M97" s="6">
        <v>1</v>
      </c>
      <c r="N97" s="6">
        <v>1</v>
      </c>
      <c r="O97" s="8">
        <v>1</v>
      </c>
      <c r="P97" s="6">
        <v>68.36</v>
      </c>
      <c r="Q97" s="6">
        <v>0.42</v>
      </c>
      <c r="R97" s="6">
        <v>14.32</v>
      </c>
      <c r="T97" s="6">
        <v>1.26</v>
      </c>
      <c r="U97" s="6">
        <v>0.16</v>
      </c>
      <c r="V97" s="6">
        <v>0.08</v>
      </c>
      <c r="W97" s="6">
        <v>1.1399999999999999</v>
      </c>
      <c r="X97" s="6">
        <v>5.71</v>
      </c>
      <c r="Y97" s="6">
        <v>4.3099999999999996</v>
      </c>
      <c r="Z97" s="6">
        <v>0.03</v>
      </c>
      <c r="AA97" s="6">
        <v>0.01</v>
      </c>
      <c r="AB97" s="6">
        <f t="shared" si="4"/>
        <v>95.789999999999992</v>
      </c>
      <c r="AC97">
        <v>2.6587700000000001</v>
      </c>
      <c r="AD97" s="6" t="s">
        <v>1122</v>
      </c>
    </row>
    <row r="98" spans="1:34">
      <c r="A98" s="8" t="s">
        <v>1048</v>
      </c>
      <c r="B98" s="6" t="s">
        <v>194</v>
      </c>
      <c r="C98" s="6" t="s">
        <v>1126</v>
      </c>
      <c r="D98" s="6">
        <v>900</v>
      </c>
      <c r="E98" s="8">
        <v>0.51</v>
      </c>
      <c r="F98" s="8">
        <f>333*3600</f>
        <v>1198800</v>
      </c>
      <c r="G98" s="9">
        <v>1.4274849337614078E-13</v>
      </c>
      <c r="H98" s="10">
        <f t="shared" si="3"/>
        <v>0.82734972982244348</v>
      </c>
      <c r="I98" s="6" t="s">
        <v>183</v>
      </c>
      <c r="L98" s="6">
        <v>1</v>
      </c>
      <c r="M98" s="6">
        <v>1</v>
      </c>
      <c r="N98" s="6">
        <v>1</v>
      </c>
      <c r="O98" s="8">
        <v>1</v>
      </c>
      <c r="P98" s="6">
        <v>67.180000000000007</v>
      </c>
      <c r="Q98" s="6">
        <v>0.42</v>
      </c>
      <c r="R98" s="6">
        <v>14.62</v>
      </c>
      <c r="T98" s="6">
        <v>1.1599999999999999</v>
      </c>
      <c r="U98" s="6">
        <v>0.18</v>
      </c>
      <c r="V98" s="6">
        <v>0.11</v>
      </c>
      <c r="W98" s="6">
        <v>0.82</v>
      </c>
      <c r="X98" s="6">
        <v>6.32</v>
      </c>
      <c r="Y98" s="6">
        <v>4.5999999999999996</v>
      </c>
      <c r="Z98" s="6">
        <v>0.01</v>
      </c>
      <c r="AA98" s="6">
        <v>0.01</v>
      </c>
      <c r="AB98" s="6">
        <f t="shared" si="4"/>
        <v>95.42</v>
      </c>
      <c r="AC98" s="6">
        <v>2.2799999999999998</v>
      </c>
      <c r="AD98" s="6" t="s">
        <v>213</v>
      </c>
      <c r="AH98"/>
    </row>
    <row r="99" spans="1:34">
      <c r="A99" s="8" t="s">
        <v>1048</v>
      </c>
      <c r="B99" s="6" t="s">
        <v>195</v>
      </c>
      <c r="C99" s="6" t="s">
        <v>1126</v>
      </c>
      <c r="D99" s="6">
        <v>900</v>
      </c>
      <c r="E99" s="8">
        <v>0.5</v>
      </c>
      <c r="F99" s="8">
        <f>430*3600</f>
        <v>1548000</v>
      </c>
      <c r="G99" s="9">
        <v>1.4274849337614078E-13</v>
      </c>
      <c r="H99" s="10">
        <f t="shared" si="3"/>
        <v>0.94015885412256994</v>
      </c>
      <c r="I99" s="6" t="s">
        <v>183</v>
      </c>
      <c r="L99" s="6">
        <v>1</v>
      </c>
      <c r="M99" s="6">
        <v>1</v>
      </c>
      <c r="N99" s="6">
        <v>1</v>
      </c>
      <c r="O99" s="8">
        <v>1</v>
      </c>
      <c r="P99" s="6">
        <v>71.16</v>
      </c>
      <c r="Q99" s="6">
        <v>0.28000000000000003</v>
      </c>
      <c r="R99" s="6">
        <v>13.11</v>
      </c>
      <c r="T99" s="6">
        <v>1.1299999999999999</v>
      </c>
      <c r="U99" s="6">
        <v>0.06</v>
      </c>
      <c r="V99" s="6">
        <v>0.3</v>
      </c>
      <c r="W99" s="6">
        <v>0.86</v>
      </c>
      <c r="X99" s="6">
        <v>4.53</v>
      </c>
      <c r="Y99" s="6">
        <v>3.24</v>
      </c>
      <c r="Z99" s="6">
        <v>0.11</v>
      </c>
      <c r="AA99" s="6">
        <v>0.02</v>
      </c>
      <c r="AB99" s="6">
        <f t="shared" si="4"/>
        <v>94.779999999999987</v>
      </c>
      <c r="AC99">
        <v>2.6403500000000002</v>
      </c>
      <c r="AD99" s="6" t="s">
        <v>1122</v>
      </c>
    </row>
    <row r="100" spans="1:34">
      <c r="A100" s="8" t="s">
        <v>1048</v>
      </c>
      <c r="B100" s="6" t="s">
        <v>196</v>
      </c>
      <c r="C100" s="6" t="s">
        <v>1126</v>
      </c>
      <c r="D100" s="6">
        <v>900</v>
      </c>
      <c r="E100" s="8">
        <v>0.5</v>
      </c>
      <c r="F100" s="8">
        <f>430*3600</f>
        <v>1548000</v>
      </c>
      <c r="G100" s="9">
        <v>1.4274849337614078E-13</v>
      </c>
      <c r="H100" s="10">
        <f t="shared" si="3"/>
        <v>0.94015885412256994</v>
      </c>
      <c r="I100" s="6" t="s">
        <v>183</v>
      </c>
      <c r="L100" s="6">
        <v>1</v>
      </c>
      <c r="M100" s="6">
        <v>1</v>
      </c>
      <c r="N100" s="6">
        <v>1</v>
      </c>
      <c r="O100" s="8">
        <v>1</v>
      </c>
      <c r="P100" s="6">
        <v>67.55</v>
      </c>
      <c r="Q100" s="6">
        <v>0.46</v>
      </c>
      <c r="R100" s="6">
        <v>14.36</v>
      </c>
      <c r="T100" s="6">
        <v>1.73</v>
      </c>
      <c r="U100" s="6">
        <v>7.0000000000000007E-2</v>
      </c>
      <c r="V100" s="6">
        <v>0.23</v>
      </c>
      <c r="W100" s="6">
        <v>0.65</v>
      </c>
      <c r="X100" s="6">
        <v>5.9</v>
      </c>
      <c r="Y100" s="6">
        <v>3.73</v>
      </c>
      <c r="Z100" s="6">
        <v>0.13</v>
      </c>
      <c r="AA100" s="6">
        <v>0.08</v>
      </c>
      <c r="AB100" s="6">
        <f t="shared" si="4"/>
        <v>94.81</v>
      </c>
      <c r="AC100">
        <v>2.6256499999999998</v>
      </c>
      <c r="AD100" s="6" t="s">
        <v>1122</v>
      </c>
    </row>
    <row r="101" spans="1:34">
      <c r="A101" s="8" t="s">
        <v>1048</v>
      </c>
      <c r="B101" s="6" t="s">
        <v>197</v>
      </c>
      <c r="C101" s="6" t="s">
        <v>1126</v>
      </c>
      <c r="D101" s="6">
        <v>900</v>
      </c>
      <c r="E101" s="8">
        <v>0.5</v>
      </c>
      <c r="F101" s="8">
        <f>432*3600</f>
        <v>1555200</v>
      </c>
      <c r="G101" s="9">
        <v>1.4274849337614078E-13</v>
      </c>
      <c r="H101" s="10">
        <f t="shared" si="3"/>
        <v>0.94234273361357046</v>
      </c>
      <c r="I101" s="6" t="s">
        <v>183</v>
      </c>
      <c r="L101" s="6">
        <v>1</v>
      </c>
      <c r="M101" s="6">
        <v>1</v>
      </c>
      <c r="N101" s="6">
        <v>1</v>
      </c>
      <c r="O101" s="8">
        <v>1</v>
      </c>
      <c r="P101" s="6">
        <v>65.88</v>
      </c>
      <c r="Q101" s="6">
        <v>0.35</v>
      </c>
      <c r="R101" s="6">
        <v>14.67</v>
      </c>
      <c r="T101" s="6">
        <v>2.5</v>
      </c>
      <c r="U101" s="6">
        <v>0.04</v>
      </c>
      <c r="V101" s="6">
        <v>0.14000000000000001</v>
      </c>
      <c r="W101" s="6">
        <v>2.46</v>
      </c>
      <c r="X101" s="6">
        <v>7.04</v>
      </c>
      <c r="Y101" s="6">
        <v>4.3</v>
      </c>
      <c r="Z101" s="6">
        <v>0.05</v>
      </c>
      <c r="AA101" s="6">
        <v>0.01</v>
      </c>
      <c r="AB101" s="6">
        <f t="shared" si="4"/>
        <v>97.429999999999993</v>
      </c>
      <c r="AC101" s="6">
        <v>1.91</v>
      </c>
      <c r="AD101" s="6" t="s">
        <v>213</v>
      </c>
      <c r="AH101"/>
    </row>
    <row r="102" spans="1:34">
      <c r="A102" s="8" t="s">
        <v>1048</v>
      </c>
      <c r="B102" s="6" t="s">
        <v>198</v>
      </c>
      <c r="C102" s="6" t="s">
        <v>1126</v>
      </c>
      <c r="D102" s="6">
        <v>900</v>
      </c>
      <c r="E102" s="8">
        <v>0.5</v>
      </c>
      <c r="F102" s="8">
        <f>432*3600</f>
        <v>1555200</v>
      </c>
      <c r="G102" s="9">
        <v>1.4274849337614078E-13</v>
      </c>
      <c r="H102" s="10">
        <f t="shared" si="3"/>
        <v>0.94234273361357046</v>
      </c>
      <c r="I102" s="6" t="s">
        <v>183</v>
      </c>
      <c r="L102" s="6">
        <v>1</v>
      </c>
      <c r="M102" s="6">
        <v>1</v>
      </c>
      <c r="N102" s="6">
        <v>1</v>
      </c>
      <c r="O102" s="8">
        <v>1</v>
      </c>
      <c r="P102" s="6">
        <v>66.91</v>
      </c>
      <c r="Q102" s="6">
        <v>0.35</v>
      </c>
      <c r="R102" s="6">
        <v>14.69</v>
      </c>
      <c r="T102" s="6">
        <v>2.11</v>
      </c>
      <c r="U102" s="6">
        <v>0.04</v>
      </c>
      <c r="V102" s="6">
        <v>0.17</v>
      </c>
      <c r="W102" s="6">
        <v>2.44</v>
      </c>
      <c r="X102" s="6">
        <v>6.05</v>
      </c>
      <c r="Y102" s="6">
        <v>4.08</v>
      </c>
      <c r="Z102" s="6">
        <v>0.04</v>
      </c>
      <c r="AA102" s="6">
        <v>0.02</v>
      </c>
      <c r="AB102" s="6">
        <f t="shared" si="4"/>
        <v>96.88</v>
      </c>
      <c r="AC102">
        <v>2.68337</v>
      </c>
      <c r="AD102" s="6" t="s">
        <v>1122</v>
      </c>
    </row>
    <row r="103" spans="1:34">
      <c r="A103" s="8" t="s">
        <v>1048</v>
      </c>
      <c r="B103" s="6" t="s">
        <v>199</v>
      </c>
      <c r="C103" s="6" t="s">
        <v>1126</v>
      </c>
      <c r="D103" s="6">
        <v>900</v>
      </c>
      <c r="E103" s="8">
        <v>0.5</v>
      </c>
      <c r="F103" s="8">
        <f>504*3600</f>
        <v>1814400</v>
      </c>
      <c r="G103" s="9">
        <v>1.4274849337614078E-13</v>
      </c>
      <c r="H103" s="10">
        <f t="shared" si="3"/>
        <v>1.0178464842630637</v>
      </c>
      <c r="I103" s="6" t="s">
        <v>183</v>
      </c>
      <c r="L103" s="6">
        <v>1</v>
      </c>
      <c r="M103" s="6">
        <v>1</v>
      </c>
      <c r="N103" s="6">
        <v>1</v>
      </c>
      <c r="O103" s="8">
        <v>1</v>
      </c>
      <c r="P103" s="6">
        <v>69.05</v>
      </c>
      <c r="Q103" s="6">
        <v>0.44</v>
      </c>
      <c r="R103" s="6">
        <v>14.25</v>
      </c>
      <c r="T103" s="6">
        <v>2.13</v>
      </c>
      <c r="U103" s="6">
        <v>0.05</v>
      </c>
      <c r="V103" s="6">
        <v>0.56999999999999995</v>
      </c>
      <c r="W103" s="6">
        <v>1.07</v>
      </c>
      <c r="X103" s="6">
        <v>5.08</v>
      </c>
      <c r="Y103" s="6">
        <v>2.62</v>
      </c>
      <c r="Z103" s="6">
        <v>0.4</v>
      </c>
      <c r="AA103" s="6">
        <v>0.09</v>
      </c>
      <c r="AB103" s="6">
        <f t="shared" si="4"/>
        <v>95.659999999999982</v>
      </c>
      <c r="AC103" s="6">
        <v>2.12</v>
      </c>
      <c r="AD103" s="6" t="s">
        <v>213</v>
      </c>
      <c r="AH103"/>
    </row>
    <row r="104" spans="1:34">
      <c r="A104" s="8" t="s">
        <v>1048</v>
      </c>
      <c r="B104" s="6" t="s">
        <v>200</v>
      </c>
      <c r="C104" s="6" t="s">
        <v>1126</v>
      </c>
      <c r="D104" s="6">
        <v>900</v>
      </c>
      <c r="E104" s="8">
        <v>0.5</v>
      </c>
      <c r="F104" s="8">
        <f>264*3600</f>
        <v>950400</v>
      </c>
      <c r="G104" s="9">
        <v>1.4274849337614078E-13</v>
      </c>
      <c r="H104" s="10">
        <f t="shared" si="3"/>
        <v>0.73666320148269704</v>
      </c>
      <c r="I104" s="6" t="s">
        <v>183</v>
      </c>
      <c r="L104" s="6">
        <v>1</v>
      </c>
      <c r="M104" s="6">
        <v>1</v>
      </c>
      <c r="N104" s="6">
        <v>1</v>
      </c>
      <c r="O104" s="8">
        <v>1</v>
      </c>
      <c r="P104" s="6">
        <v>68.959999999999994</v>
      </c>
      <c r="Q104" s="6">
        <v>0.47</v>
      </c>
      <c r="R104" s="6">
        <v>13.63</v>
      </c>
      <c r="T104" s="6">
        <v>1.66</v>
      </c>
      <c r="U104" s="6">
        <v>0.06</v>
      </c>
      <c r="V104" s="6">
        <v>0.63</v>
      </c>
      <c r="W104" s="6">
        <v>1.68</v>
      </c>
      <c r="X104" s="6">
        <v>4.5999999999999996</v>
      </c>
      <c r="Y104" s="6">
        <v>2.77</v>
      </c>
      <c r="Z104" s="6">
        <v>0.22</v>
      </c>
      <c r="AA104" s="6">
        <v>0.02</v>
      </c>
      <c r="AB104" s="6">
        <f t="shared" si="4"/>
        <v>94.679999999999978</v>
      </c>
      <c r="AC104">
        <v>2.6153900000000001</v>
      </c>
      <c r="AD104" s="6" t="s">
        <v>1122</v>
      </c>
    </row>
    <row r="105" spans="1:34">
      <c r="A105" s="8" t="s">
        <v>1048</v>
      </c>
      <c r="B105" s="6" t="s">
        <v>201</v>
      </c>
      <c r="C105" s="6" t="s">
        <v>1126</v>
      </c>
      <c r="D105" s="6">
        <v>943</v>
      </c>
      <c r="E105" s="8">
        <v>0.5</v>
      </c>
      <c r="F105" s="8">
        <f>218*3600</f>
        <v>784800</v>
      </c>
      <c r="G105" s="9">
        <v>2.4322118108816696E-13</v>
      </c>
      <c r="H105" s="10">
        <f t="shared" si="3"/>
        <v>0.87379627584006891</v>
      </c>
      <c r="I105" s="6" t="s">
        <v>183</v>
      </c>
      <c r="L105" s="6">
        <v>1</v>
      </c>
      <c r="M105" s="6">
        <v>1</v>
      </c>
      <c r="N105" s="6">
        <v>1</v>
      </c>
      <c r="O105" s="8">
        <v>1</v>
      </c>
      <c r="P105" s="6">
        <v>69.05</v>
      </c>
      <c r="Q105" s="6">
        <v>0.44</v>
      </c>
      <c r="R105" s="6">
        <v>13.94</v>
      </c>
      <c r="T105" s="6">
        <v>2.3199999999999998</v>
      </c>
      <c r="U105" s="6">
        <v>0.05</v>
      </c>
      <c r="V105" s="6">
        <v>0.57999999999999996</v>
      </c>
      <c r="W105" s="6">
        <v>1.67</v>
      </c>
      <c r="X105" s="6">
        <v>4.87</v>
      </c>
      <c r="Y105" s="6">
        <v>2.44</v>
      </c>
      <c r="Z105" s="6">
        <v>0.34</v>
      </c>
      <c r="AA105" s="6">
        <v>0.11</v>
      </c>
      <c r="AB105" s="6">
        <f t="shared" si="4"/>
        <v>95.699999999999989</v>
      </c>
      <c r="AC105">
        <v>2.5857399999999999</v>
      </c>
      <c r="AD105" s="6" t="s">
        <v>1122</v>
      </c>
    </row>
    <row r="106" spans="1:34">
      <c r="A106" s="8" t="s">
        <v>1048</v>
      </c>
      <c r="B106" s="6" t="s">
        <v>202</v>
      </c>
      <c r="C106" s="6" t="s">
        <v>1126</v>
      </c>
      <c r="D106" s="6">
        <v>943</v>
      </c>
      <c r="E106" s="8">
        <v>0.5</v>
      </c>
      <c r="F106" s="8">
        <f>218*3600</f>
        <v>784800</v>
      </c>
      <c r="G106" s="9">
        <v>2.4322118108816696E-13</v>
      </c>
      <c r="H106" s="10">
        <f t="shared" si="3"/>
        <v>0.87379627584006891</v>
      </c>
      <c r="I106" s="6" t="s">
        <v>183</v>
      </c>
      <c r="L106" s="6">
        <v>1</v>
      </c>
      <c r="M106" s="6">
        <v>1</v>
      </c>
      <c r="N106" s="6">
        <v>1</v>
      </c>
      <c r="O106" s="8">
        <v>1</v>
      </c>
      <c r="P106" s="6">
        <v>68.64</v>
      </c>
      <c r="Q106" s="6">
        <v>0.48</v>
      </c>
      <c r="R106" s="6">
        <v>14.1</v>
      </c>
      <c r="T106" s="6">
        <v>2.5299999999999998</v>
      </c>
      <c r="U106" s="6">
        <v>0.09</v>
      </c>
      <c r="V106" s="6">
        <v>0.71</v>
      </c>
      <c r="W106" s="6">
        <v>1.53</v>
      </c>
      <c r="X106" s="6">
        <v>4.82</v>
      </c>
      <c r="Y106" s="6">
        <v>2.56</v>
      </c>
      <c r="Z106" s="6">
        <v>0.36</v>
      </c>
      <c r="AA106" s="6">
        <v>7.0000000000000007E-2</v>
      </c>
      <c r="AB106" s="6">
        <f t="shared" si="4"/>
        <v>95.820000000000007</v>
      </c>
      <c r="AC106">
        <v>2.5705100000000001</v>
      </c>
      <c r="AD106" s="6" t="s">
        <v>1122</v>
      </c>
    </row>
    <row r="107" spans="1:34">
      <c r="A107" s="8" t="s">
        <v>1048</v>
      </c>
      <c r="B107" s="6" t="s">
        <v>204</v>
      </c>
      <c r="C107" s="6" t="s">
        <v>1126</v>
      </c>
      <c r="D107" s="6">
        <v>947</v>
      </c>
      <c r="E107" s="8">
        <v>0.51</v>
      </c>
      <c r="F107" s="8">
        <f>337*3600</f>
        <v>1213200</v>
      </c>
      <c r="G107" s="9">
        <v>2.5509414043801542E-13</v>
      </c>
      <c r="H107" s="10">
        <f t="shared" si="3"/>
        <v>1.1126189126190518</v>
      </c>
      <c r="I107" s="6" t="s">
        <v>183</v>
      </c>
      <c r="L107" s="6">
        <v>1</v>
      </c>
      <c r="M107" s="6">
        <v>1</v>
      </c>
      <c r="N107" s="6">
        <v>1</v>
      </c>
      <c r="O107" s="8">
        <v>1</v>
      </c>
      <c r="P107" s="6">
        <v>68.239999999999995</v>
      </c>
      <c r="Q107" s="6">
        <v>0.47</v>
      </c>
      <c r="R107" s="6">
        <v>14.1</v>
      </c>
      <c r="T107" s="6">
        <v>2.08</v>
      </c>
      <c r="U107" s="6">
        <v>0.06</v>
      </c>
      <c r="V107" s="6">
        <v>0.77</v>
      </c>
      <c r="W107" s="6">
        <v>1.75</v>
      </c>
      <c r="X107" s="6">
        <v>4.84</v>
      </c>
      <c r="Y107" s="6">
        <v>2.64</v>
      </c>
      <c r="Z107" s="6">
        <v>0.26</v>
      </c>
      <c r="AA107" s="6">
        <v>0.04</v>
      </c>
      <c r="AB107" s="6">
        <f t="shared" si="4"/>
        <v>95.21</v>
      </c>
      <c r="AC107">
        <v>2.5813799999999998</v>
      </c>
      <c r="AD107" s="6" t="s">
        <v>1122</v>
      </c>
    </row>
    <row r="108" spans="1:34">
      <c r="A108" s="8" t="s">
        <v>1048</v>
      </c>
      <c r="B108" s="6" t="s">
        <v>205</v>
      </c>
      <c r="C108" s="6" t="s">
        <v>1126</v>
      </c>
      <c r="D108" s="6">
        <v>947</v>
      </c>
      <c r="E108" s="8">
        <v>0.51</v>
      </c>
      <c r="F108" s="8">
        <f>337*3600</f>
        <v>1213200</v>
      </c>
      <c r="G108" s="9">
        <v>2.5509414043801542E-13</v>
      </c>
      <c r="H108" s="10">
        <f t="shared" si="3"/>
        <v>1.1126189126190518</v>
      </c>
      <c r="I108" s="6" t="s">
        <v>183</v>
      </c>
      <c r="L108" s="6">
        <v>1</v>
      </c>
      <c r="M108" s="6">
        <v>1</v>
      </c>
      <c r="N108" s="6">
        <v>1</v>
      </c>
      <c r="O108" s="8">
        <v>1</v>
      </c>
      <c r="P108" s="6">
        <v>67.349999999999994</v>
      </c>
      <c r="Q108" s="6">
        <v>0.44</v>
      </c>
      <c r="R108" s="6">
        <v>13.78</v>
      </c>
      <c r="T108" s="6">
        <v>2.04</v>
      </c>
      <c r="U108" s="6">
        <v>0.05</v>
      </c>
      <c r="V108" s="6">
        <v>0.76</v>
      </c>
      <c r="W108" s="6">
        <v>2.4</v>
      </c>
      <c r="X108" s="6">
        <v>4.72</v>
      </c>
      <c r="Y108" s="6">
        <v>2.68</v>
      </c>
      <c r="Z108" s="6">
        <v>0.75</v>
      </c>
      <c r="AA108" s="6">
        <v>0.15</v>
      </c>
      <c r="AB108" s="6">
        <f t="shared" si="4"/>
        <v>94.970000000000013</v>
      </c>
      <c r="AC108">
        <v>2.5827800000000001</v>
      </c>
      <c r="AD108" s="6" t="s">
        <v>1122</v>
      </c>
    </row>
    <row r="109" spans="1:34">
      <c r="A109" s="8" t="s">
        <v>1048</v>
      </c>
      <c r="B109" s="6" t="s">
        <v>206</v>
      </c>
      <c r="C109" s="6" t="s">
        <v>1126</v>
      </c>
      <c r="D109" s="6">
        <v>850</v>
      </c>
      <c r="E109" s="8">
        <v>0.51</v>
      </c>
      <c r="F109" s="8">
        <f>22*3600</f>
        <v>79200</v>
      </c>
      <c r="G109" s="9">
        <v>7.2976735414337512E-14</v>
      </c>
      <c r="H109" s="10">
        <f t="shared" si="3"/>
        <v>0.15204943202545063</v>
      </c>
      <c r="I109" s="6" t="s">
        <v>183</v>
      </c>
      <c r="L109" s="6">
        <v>1</v>
      </c>
      <c r="M109" s="6">
        <v>1</v>
      </c>
      <c r="N109" s="6">
        <v>1</v>
      </c>
      <c r="O109" s="8">
        <v>1</v>
      </c>
      <c r="P109" s="6">
        <v>71.739999999999995</v>
      </c>
      <c r="Q109" s="6">
        <v>0.43</v>
      </c>
      <c r="R109" s="6">
        <v>14.36</v>
      </c>
      <c r="T109" s="6">
        <v>0.15</v>
      </c>
      <c r="U109" s="6">
        <v>0.01</v>
      </c>
      <c r="V109" s="6">
        <v>0.37</v>
      </c>
      <c r="W109" s="6">
        <v>0.56000000000000005</v>
      </c>
      <c r="X109" s="6">
        <v>3.82</v>
      </c>
      <c r="Y109" s="6">
        <v>5.29</v>
      </c>
      <c r="Z109" s="6">
        <v>0.24</v>
      </c>
      <c r="AA109" s="6">
        <v>0.06</v>
      </c>
      <c r="AB109" s="6">
        <f t="shared" si="4"/>
        <v>96.970000000000013</v>
      </c>
      <c r="AC109">
        <v>2.5836999999999999</v>
      </c>
      <c r="AD109" s="6" t="s">
        <v>1122</v>
      </c>
    </row>
    <row r="110" spans="1:34">
      <c r="A110" s="8" t="s">
        <v>1048</v>
      </c>
      <c r="B110" s="6" t="s">
        <v>207</v>
      </c>
      <c r="C110" s="6" t="s">
        <v>1126</v>
      </c>
      <c r="D110" s="6">
        <v>850</v>
      </c>
      <c r="E110" s="8">
        <v>0.51</v>
      </c>
      <c r="F110" s="8">
        <f>22*3600</f>
        <v>79200</v>
      </c>
      <c r="G110" s="9">
        <v>7.2976735414337512E-14</v>
      </c>
      <c r="H110" s="10">
        <f t="shared" si="3"/>
        <v>0.15204943202545063</v>
      </c>
      <c r="I110" s="6" t="s">
        <v>183</v>
      </c>
      <c r="L110" s="6">
        <v>1</v>
      </c>
      <c r="M110" s="6">
        <v>1</v>
      </c>
      <c r="N110" s="6">
        <v>1</v>
      </c>
      <c r="O110" s="8">
        <v>1</v>
      </c>
      <c r="P110" s="6">
        <v>69.739999999999995</v>
      </c>
      <c r="Q110" s="6">
        <v>0.47</v>
      </c>
      <c r="R110" s="6">
        <v>14.68</v>
      </c>
      <c r="T110" s="6">
        <v>0.17</v>
      </c>
      <c r="U110" s="6">
        <v>0.01</v>
      </c>
      <c r="V110" s="6">
        <v>0.32</v>
      </c>
      <c r="W110" s="6">
        <v>0.67</v>
      </c>
      <c r="X110" s="6">
        <v>4.1500000000000004</v>
      </c>
      <c r="Y110" s="6">
        <v>6.48</v>
      </c>
      <c r="Z110" s="6">
        <v>0.16</v>
      </c>
      <c r="AA110" s="6">
        <v>7.0000000000000007E-2</v>
      </c>
      <c r="AB110" s="6">
        <f t="shared" si="4"/>
        <v>96.85</v>
      </c>
      <c r="AC110">
        <v>2.5905499999999999</v>
      </c>
      <c r="AD110" s="6" t="s">
        <v>1122</v>
      </c>
    </row>
    <row r="111" spans="1:34">
      <c r="A111" s="8" t="s">
        <v>1048</v>
      </c>
      <c r="B111" s="6" t="s">
        <v>209</v>
      </c>
      <c r="C111" s="6" t="s">
        <v>1126</v>
      </c>
      <c r="D111" s="6">
        <v>839</v>
      </c>
      <c r="E111" s="8">
        <v>0.51</v>
      </c>
      <c r="F111" s="8">
        <f>71*3600</f>
        <v>255600</v>
      </c>
      <c r="G111" s="9">
        <v>6.2454420530625547E-14</v>
      </c>
      <c r="H111" s="10">
        <f t="shared" si="3"/>
        <v>0.25269230211961652</v>
      </c>
      <c r="I111" s="6" t="s">
        <v>183</v>
      </c>
      <c r="L111" s="6">
        <v>1</v>
      </c>
      <c r="M111" s="6">
        <v>1</v>
      </c>
      <c r="N111" s="6">
        <v>1</v>
      </c>
      <c r="O111" s="8">
        <v>1</v>
      </c>
      <c r="P111" s="6">
        <v>70.39</v>
      </c>
      <c r="Q111" s="6">
        <v>0.48</v>
      </c>
      <c r="R111" s="6">
        <v>14.66</v>
      </c>
      <c r="T111" s="6">
        <v>0.37</v>
      </c>
      <c r="U111" s="6">
        <v>0.01</v>
      </c>
      <c r="V111" s="6">
        <v>0.46</v>
      </c>
      <c r="W111" s="6">
        <v>0.97</v>
      </c>
      <c r="X111" s="6">
        <v>4.43</v>
      </c>
      <c r="Y111" s="6">
        <v>5.54</v>
      </c>
      <c r="Z111" s="6">
        <v>0.08</v>
      </c>
      <c r="AA111" s="6">
        <v>0.04</v>
      </c>
      <c r="AB111" s="6">
        <f t="shared" si="4"/>
        <v>97.390000000000015</v>
      </c>
      <c r="AC111">
        <v>2.6190600000000002</v>
      </c>
      <c r="AD111" s="6" t="s">
        <v>1122</v>
      </c>
    </row>
    <row r="112" spans="1:34">
      <c r="A112" s="8" t="s">
        <v>1065</v>
      </c>
      <c r="B112" s="6">
        <v>42</v>
      </c>
      <c r="C112" s="8" t="s">
        <v>645</v>
      </c>
      <c r="D112" s="6">
        <v>950</v>
      </c>
      <c r="E112" s="8">
        <v>2</v>
      </c>
      <c r="F112" s="6">
        <f>120*3600</f>
        <v>432000</v>
      </c>
      <c r="G112" s="9">
        <v>2.6432360916877484E-13</v>
      </c>
      <c r="H112" s="10">
        <f t="shared" si="3"/>
        <v>0.67583370487394523</v>
      </c>
      <c r="I112" s="8" t="s">
        <v>478</v>
      </c>
      <c r="J112" s="6" t="s">
        <v>479</v>
      </c>
      <c r="K112" s="6">
        <v>95.1</v>
      </c>
      <c r="L112" s="6">
        <v>1</v>
      </c>
      <c r="M112" s="6">
        <v>1</v>
      </c>
      <c r="N112" s="6">
        <v>1</v>
      </c>
      <c r="O112" s="6">
        <v>1</v>
      </c>
      <c r="P112" s="6">
        <v>67.81</v>
      </c>
      <c r="Q112" s="6">
        <v>0.89</v>
      </c>
      <c r="R112" s="6">
        <v>14.63</v>
      </c>
      <c r="T112" s="6">
        <v>4.43</v>
      </c>
      <c r="U112" s="6">
        <v>0.15</v>
      </c>
      <c r="V112" s="6">
        <v>1.31</v>
      </c>
      <c r="W112" s="6">
        <v>4.3099999999999996</v>
      </c>
      <c r="X112" s="6">
        <v>4.6100000000000003</v>
      </c>
      <c r="Y112" s="6">
        <v>1.35</v>
      </c>
      <c r="Z112" s="6">
        <v>0.19</v>
      </c>
      <c r="AA112" s="6">
        <v>0.01</v>
      </c>
      <c r="AC112" s="6">
        <v>5.0999999999999996</v>
      </c>
      <c r="AD112" s="6" t="s">
        <v>89</v>
      </c>
    </row>
    <row r="113" spans="1:30">
      <c r="A113" s="8" t="s">
        <v>1065</v>
      </c>
      <c r="B113" s="6">
        <v>62</v>
      </c>
      <c r="C113" s="8" t="s">
        <v>645</v>
      </c>
      <c r="D113" s="6">
        <v>950</v>
      </c>
      <c r="E113" s="6">
        <v>2</v>
      </c>
      <c r="F113" s="6">
        <f>120*3600</f>
        <v>432000</v>
      </c>
      <c r="G113" s="9">
        <v>2.6432360916877484E-13</v>
      </c>
      <c r="H113" s="10">
        <f t="shared" si="3"/>
        <v>0.67583370487394523</v>
      </c>
      <c r="I113" s="8" t="s">
        <v>478</v>
      </c>
      <c r="J113" s="6" t="s">
        <v>479</v>
      </c>
      <c r="K113" s="6">
        <v>96.6</v>
      </c>
      <c r="L113" s="6">
        <v>1</v>
      </c>
      <c r="M113" s="6">
        <v>1</v>
      </c>
      <c r="N113" s="6">
        <v>1</v>
      </c>
      <c r="O113" s="6">
        <v>1</v>
      </c>
      <c r="P113" s="6">
        <v>67.260000000000005</v>
      </c>
      <c r="Q113" s="6">
        <v>0.86</v>
      </c>
      <c r="R113" s="6">
        <v>14.72</v>
      </c>
      <c r="T113" s="6">
        <v>4.41</v>
      </c>
      <c r="U113" s="6">
        <v>0.12</v>
      </c>
      <c r="V113" s="6">
        <v>1.56</v>
      </c>
      <c r="W113" s="6">
        <v>4.62</v>
      </c>
      <c r="X113" s="6">
        <v>4.46</v>
      </c>
      <c r="Y113" s="6">
        <v>1.3</v>
      </c>
      <c r="Z113" s="6">
        <v>0.23</v>
      </c>
      <c r="AA113" s="6">
        <v>0.01</v>
      </c>
      <c r="AC113" s="6">
        <v>4.9000000000000004</v>
      </c>
      <c r="AD113" s="6" t="s">
        <v>89</v>
      </c>
    </row>
    <row r="114" spans="1:30">
      <c r="A114" s="8" t="s">
        <v>1065</v>
      </c>
      <c r="B114" s="6">
        <v>57</v>
      </c>
      <c r="C114" s="8" t="s">
        <v>645</v>
      </c>
      <c r="D114" s="6">
        <v>950</v>
      </c>
      <c r="E114" s="8">
        <v>2</v>
      </c>
      <c r="F114" s="6">
        <f>120*3600</f>
        <v>432000</v>
      </c>
      <c r="G114" s="9">
        <v>2.6432360916877484E-13</v>
      </c>
      <c r="H114" s="10">
        <f t="shared" si="3"/>
        <v>0.67583370487394523</v>
      </c>
      <c r="I114" s="8" t="s">
        <v>478</v>
      </c>
      <c r="J114" s="6" t="s">
        <v>479</v>
      </c>
      <c r="K114" s="6">
        <v>95.2</v>
      </c>
      <c r="L114" s="6">
        <v>1</v>
      </c>
      <c r="M114" s="6">
        <v>1</v>
      </c>
      <c r="N114" s="6">
        <v>1</v>
      </c>
      <c r="O114" s="6">
        <v>1</v>
      </c>
      <c r="P114" s="6">
        <v>67.52</v>
      </c>
      <c r="Q114" s="6">
        <v>0.85</v>
      </c>
      <c r="R114" s="6">
        <v>14.92</v>
      </c>
      <c r="T114" s="6">
        <v>4.37</v>
      </c>
      <c r="U114" s="6">
        <v>0.13</v>
      </c>
      <c r="V114" s="6">
        <v>1.32</v>
      </c>
      <c r="W114" s="6">
        <v>4.34</v>
      </c>
      <c r="X114" s="6">
        <v>4.58</v>
      </c>
      <c r="Y114" s="6">
        <v>1.31</v>
      </c>
      <c r="Z114" s="6">
        <v>0.21</v>
      </c>
      <c r="AA114" s="6">
        <v>0.03</v>
      </c>
      <c r="AC114" s="6">
        <v>5.0999999999999996</v>
      </c>
      <c r="AD114" s="6" t="s">
        <v>89</v>
      </c>
    </row>
    <row r="115" spans="1:30">
      <c r="A115" s="8" t="s">
        <v>1065</v>
      </c>
      <c r="B115" s="6">
        <v>81</v>
      </c>
      <c r="C115" s="8" t="s">
        <v>645</v>
      </c>
      <c r="D115" s="6">
        <v>800</v>
      </c>
      <c r="E115" s="8">
        <v>2</v>
      </c>
      <c r="F115" s="6">
        <f>650*3600</f>
        <v>2340000</v>
      </c>
      <c r="G115" s="9">
        <v>3.5046513928104248E-14</v>
      </c>
      <c r="H115" s="10">
        <f t="shared" si="3"/>
        <v>0.57274372136851548</v>
      </c>
      <c r="I115" s="8" t="s">
        <v>478</v>
      </c>
      <c r="J115" s="6" t="s">
        <v>480</v>
      </c>
      <c r="K115" s="6">
        <v>72.5</v>
      </c>
      <c r="L115" s="6">
        <v>1</v>
      </c>
      <c r="M115" s="6">
        <v>1</v>
      </c>
      <c r="N115" s="6">
        <v>1</v>
      </c>
      <c r="O115" s="6">
        <v>1</v>
      </c>
      <c r="P115" s="6">
        <v>74.25</v>
      </c>
      <c r="Q115" s="6">
        <v>0.31</v>
      </c>
      <c r="R115" s="6">
        <v>14.59</v>
      </c>
      <c r="T115" s="6">
        <v>1.41</v>
      </c>
      <c r="U115" s="6">
        <v>0.08</v>
      </c>
      <c r="V115" s="6">
        <v>0.23</v>
      </c>
      <c r="W115" s="6">
        <v>1.85</v>
      </c>
      <c r="X115" s="6">
        <v>5.26</v>
      </c>
      <c r="Y115" s="6">
        <v>1.8</v>
      </c>
      <c r="Z115" s="6">
        <v>0.02</v>
      </c>
      <c r="AA115" s="6">
        <v>0.02</v>
      </c>
      <c r="AC115" s="6">
        <v>5.5</v>
      </c>
      <c r="AD115" s="6" t="s">
        <v>89</v>
      </c>
    </row>
    <row r="116" spans="1:30">
      <c r="A116" s="8" t="s">
        <v>1065</v>
      </c>
      <c r="B116" s="6">
        <v>105</v>
      </c>
      <c r="C116" s="8" t="s">
        <v>645</v>
      </c>
      <c r="D116" s="6">
        <v>800</v>
      </c>
      <c r="E116" s="8">
        <v>2</v>
      </c>
      <c r="F116" s="6">
        <f t="shared" ref="F116:F121" si="5">336*3600</f>
        <v>1209600</v>
      </c>
      <c r="G116" s="9">
        <v>3.5046513928104248E-14</v>
      </c>
      <c r="H116" s="10">
        <f t="shared" si="3"/>
        <v>0.41178763093339704</v>
      </c>
      <c r="I116" s="8" t="s">
        <v>478</v>
      </c>
      <c r="J116" s="6" t="s">
        <v>481</v>
      </c>
      <c r="K116" s="6">
        <v>75.900000000000006</v>
      </c>
      <c r="L116" s="6">
        <v>1</v>
      </c>
      <c r="M116" s="6">
        <v>1</v>
      </c>
      <c r="N116" s="6">
        <v>1</v>
      </c>
      <c r="O116" s="6">
        <v>1</v>
      </c>
      <c r="P116" s="6">
        <v>73.42</v>
      </c>
      <c r="Q116" s="6">
        <v>0.21</v>
      </c>
      <c r="R116" s="6">
        <v>14.95</v>
      </c>
      <c r="T116" s="6">
        <v>1.7</v>
      </c>
      <c r="U116" s="6">
        <v>0.1</v>
      </c>
      <c r="V116" s="6">
        <v>0.37</v>
      </c>
      <c r="W116" s="6">
        <v>2.27</v>
      </c>
      <c r="X116" s="6">
        <v>4.53</v>
      </c>
      <c r="Y116" s="6">
        <v>1.7</v>
      </c>
      <c r="Z116" s="6">
        <v>0.18</v>
      </c>
      <c r="AA116" s="6">
        <v>0.15</v>
      </c>
      <c r="AC116" s="6">
        <v>4.8</v>
      </c>
      <c r="AD116" s="6" t="s">
        <v>89</v>
      </c>
    </row>
    <row r="117" spans="1:30">
      <c r="A117" s="8" t="s">
        <v>1065</v>
      </c>
      <c r="B117" s="6">
        <v>101</v>
      </c>
      <c r="C117" s="8" t="s">
        <v>645</v>
      </c>
      <c r="D117" s="6">
        <v>800</v>
      </c>
      <c r="E117" s="8">
        <v>2</v>
      </c>
      <c r="F117" s="6">
        <f t="shared" si="5"/>
        <v>1209600</v>
      </c>
      <c r="G117" s="9">
        <v>3.5046513928104248E-14</v>
      </c>
      <c r="H117" s="10">
        <f t="shared" si="3"/>
        <v>0.41178763093339704</v>
      </c>
      <c r="I117" s="8" t="s">
        <v>478</v>
      </c>
      <c r="J117" s="6" t="s">
        <v>481</v>
      </c>
      <c r="K117" s="6">
        <v>68.400000000000006</v>
      </c>
      <c r="L117" s="6">
        <v>1</v>
      </c>
      <c r="M117" s="6">
        <v>1</v>
      </c>
      <c r="N117" s="6">
        <v>1</v>
      </c>
      <c r="O117" s="6">
        <v>1</v>
      </c>
      <c r="P117" s="6">
        <v>74.739999999999995</v>
      </c>
      <c r="Q117" s="6">
        <v>0.32</v>
      </c>
      <c r="R117" s="6">
        <v>13.41</v>
      </c>
      <c r="T117" s="6">
        <v>1.88</v>
      </c>
      <c r="U117" s="6">
        <v>0.08</v>
      </c>
      <c r="V117" s="6">
        <v>0.31</v>
      </c>
      <c r="W117" s="6">
        <v>1.67</v>
      </c>
      <c r="X117" s="6">
        <v>4.8499999999999996</v>
      </c>
      <c r="Y117" s="6">
        <v>1.93</v>
      </c>
      <c r="Z117" s="6">
        <v>0.13</v>
      </c>
      <c r="AA117" s="6">
        <v>0.13</v>
      </c>
      <c r="AC117" s="6">
        <v>5.5</v>
      </c>
      <c r="AD117" s="6" t="s">
        <v>89</v>
      </c>
    </row>
    <row r="118" spans="1:30">
      <c r="A118" s="8" t="s">
        <v>1065</v>
      </c>
      <c r="B118" s="6">
        <v>110</v>
      </c>
      <c r="C118" s="8" t="s">
        <v>645</v>
      </c>
      <c r="D118" s="6">
        <v>800</v>
      </c>
      <c r="E118" s="8">
        <v>2</v>
      </c>
      <c r="F118" s="6">
        <f t="shared" si="5"/>
        <v>1209600</v>
      </c>
      <c r="G118" s="9">
        <v>3.5046513928104248E-14</v>
      </c>
      <c r="H118" s="10">
        <f t="shared" si="3"/>
        <v>0.41178763093339704</v>
      </c>
      <c r="I118" s="8" t="s">
        <v>478</v>
      </c>
      <c r="J118" s="6" t="s">
        <v>481</v>
      </c>
      <c r="K118" s="6">
        <v>63.9</v>
      </c>
      <c r="L118" s="6">
        <v>1</v>
      </c>
      <c r="M118" s="6">
        <v>1</v>
      </c>
      <c r="N118" s="6">
        <v>1</v>
      </c>
      <c r="O118" s="6">
        <v>1</v>
      </c>
      <c r="P118" s="6">
        <v>74.62</v>
      </c>
      <c r="Q118" s="6">
        <v>0.31</v>
      </c>
      <c r="R118" s="6">
        <v>14.63</v>
      </c>
      <c r="T118" s="6">
        <v>1.47</v>
      </c>
      <c r="U118" s="6">
        <v>0.09</v>
      </c>
      <c r="V118" s="6">
        <v>0.37</v>
      </c>
      <c r="W118" s="6">
        <v>2.11</v>
      </c>
      <c r="X118" s="6">
        <v>4.42</v>
      </c>
      <c r="Y118" s="6">
        <v>1.58</v>
      </c>
      <c r="Z118" s="6">
        <v>0.03</v>
      </c>
      <c r="AA118" s="6">
        <v>0.03</v>
      </c>
      <c r="AC118" s="6">
        <v>5.4</v>
      </c>
      <c r="AD118" s="6" t="s">
        <v>89</v>
      </c>
    </row>
    <row r="119" spans="1:30">
      <c r="A119" s="8" t="s">
        <v>1065</v>
      </c>
      <c r="B119" s="6">
        <v>107</v>
      </c>
      <c r="C119" s="8" t="s">
        <v>645</v>
      </c>
      <c r="D119" s="6">
        <v>800</v>
      </c>
      <c r="E119" s="8">
        <v>2</v>
      </c>
      <c r="F119" s="6">
        <f t="shared" si="5"/>
        <v>1209600</v>
      </c>
      <c r="G119" s="9">
        <v>3.5046513928104248E-14</v>
      </c>
      <c r="H119" s="10">
        <f t="shared" si="3"/>
        <v>0.41178763093339704</v>
      </c>
      <c r="I119" s="8" t="s">
        <v>478</v>
      </c>
      <c r="J119" s="6" t="s">
        <v>482</v>
      </c>
      <c r="K119" s="6">
        <v>46.7</v>
      </c>
      <c r="L119" s="6">
        <v>1</v>
      </c>
      <c r="M119" s="6">
        <v>1</v>
      </c>
      <c r="N119" s="6">
        <v>1</v>
      </c>
      <c r="O119" s="6">
        <v>1</v>
      </c>
      <c r="P119" s="6">
        <v>78.06</v>
      </c>
      <c r="Q119" s="6">
        <v>0.25</v>
      </c>
      <c r="R119" s="6">
        <v>12.29</v>
      </c>
      <c r="T119" s="6">
        <v>1.88</v>
      </c>
      <c r="U119" s="6">
        <v>0.08</v>
      </c>
      <c r="V119" s="6">
        <v>0.28000000000000003</v>
      </c>
      <c r="W119" s="6">
        <v>1.06</v>
      </c>
      <c r="X119" s="6">
        <v>2.64</v>
      </c>
      <c r="Y119" s="6">
        <v>2.67</v>
      </c>
      <c r="Z119" s="6">
        <v>0.14000000000000001</v>
      </c>
      <c r="AA119" s="6">
        <v>0.05</v>
      </c>
      <c r="AC119" s="6">
        <v>3.5</v>
      </c>
      <c r="AD119" s="6" t="s">
        <v>89</v>
      </c>
    </row>
    <row r="120" spans="1:30">
      <c r="A120" s="8" t="s">
        <v>1065</v>
      </c>
      <c r="B120" s="6">
        <v>103</v>
      </c>
      <c r="C120" s="8" t="s">
        <v>645</v>
      </c>
      <c r="D120" s="6">
        <v>800</v>
      </c>
      <c r="E120" s="8">
        <v>2</v>
      </c>
      <c r="F120" s="6">
        <f t="shared" si="5"/>
        <v>1209600</v>
      </c>
      <c r="G120" s="9">
        <v>3.5046513928104248E-14</v>
      </c>
      <c r="H120" s="10">
        <f t="shared" si="3"/>
        <v>0.41178763093339704</v>
      </c>
      <c r="I120" s="8" t="s">
        <v>478</v>
      </c>
      <c r="J120" s="6" t="s">
        <v>483</v>
      </c>
      <c r="K120" s="6">
        <v>39.799999999999997</v>
      </c>
      <c r="L120" s="6">
        <v>1</v>
      </c>
      <c r="M120" s="6">
        <v>1</v>
      </c>
      <c r="N120" s="6">
        <v>1</v>
      </c>
      <c r="O120" s="6">
        <v>1</v>
      </c>
      <c r="P120" s="6">
        <v>77.290000000000006</v>
      </c>
      <c r="Q120" s="6">
        <v>0.27</v>
      </c>
      <c r="R120" s="6">
        <v>11.86</v>
      </c>
      <c r="T120" s="6">
        <v>1.81</v>
      </c>
      <c r="U120" s="6">
        <v>0.06</v>
      </c>
      <c r="V120" s="6">
        <v>0.2</v>
      </c>
      <c r="W120" s="6">
        <v>1.06</v>
      </c>
      <c r="X120" s="6">
        <v>3.87</v>
      </c>
      <c r="Y120" s="6">
        <v>2.78</v>
      </c>
      <c r="Z120" s="6">
        <v>7.0000000000000007E-2</v>
      </c>
      <c r="AA120" s="6">
        <v>0.05</v>
      </c>
      <c r="AC120" s="6">
        <v>2.8</v>
      </c>
      <c r="AD120" s="6" t="s">
        <v>89</v>
      </c>
    </row>
    <row r="121" spans="1:30">
      <c r="A121" s="8" t="s">
        <v>1065</v>
      </c>
      <c r="B121" s="6">
        <v>111</v>
      </c>
      <c r="C121" s="8" t="s">
        <v>645</v>
      </c>
      <c r="D121" s="6">
        <v>800</v>
      </c>
      <c r="E121" s="8">
        <v>2</v>
      </c>
      <c r="F121" s="6">
        <f t="shared" si="5"/>
        <v>1209600</v>
      </c>
      <c r="G121" s="9">
        <v>3.5046513928104248E-14</v>
      </c>
      <c r="H121" s="10">
        <f t="shared" si="3"/>
        <v>0.41178763093339704</v>
      </c>
      <c r="I121" s="8" t="s">
        <v>478</v>
      </c>
      <c r="J121" s="6" t="s">
        <v>482</v>
      </c>
      <c r="K121" s="6">
        <v>49.5</v>
      </c>
      <c r="L121" s="6">
        <v>1</v>
      </c>
      <c r="M121" s="6">
        <v>1</v>
      </c>
      <c r="N121" s="6">
        <v>1</v>
      </c>
      <c r="O121" s="6">
        <v>1</v>
      </c>
      <c r="P121" s="6">
        <v>78.59</v>
      </c>
      <c r="Q121" s="6">
        <v>0.26</v>
      </c>
      <c r="R121" s="6">
        <v>11.62</v>
      </c>
      <c r="T121" s="6">
        <v>1.43</v>
      </c>
      <c r="U121" s="6">
        <v>7.0000000000000007E-2</v>
      </c>
      <c r="V121" s="6">
        <v>0.23</v>
      </c>
      <c r="W121" s="6">
        <v>1.1200000000000001</v>
      </c>
      <c r="X121" s="6">
        <v>3.77</v>
      </c>
      <c r="Y121" s="6">
        <v>2.19</v>
      </c>
      <c r="Z121" s="6">
        <v>0.08</v>
      </c>
      <c r="AA121" s="6">
        <v>7.0000000000000007E-2</v>
      </c>
      <c r="AC121" s="6">
        <v>3.1</v>
      </c>
      <c r="AD121" s="6" t="s">
        <v>89</v>
      </c>
    </row>
    <row r="122" spans="1:30">
      <c r="A122" s="8" t="s">
        <v>1066</v>
      </c>
      <c r="B122" s="6" t="s">
        <v>484</v>
      </c>
      <c r="C122" s="8" t="s">
        <v>645</v>
      </c>
      <c r="D122" s="6">
        <v>950</v>
      </c>
      <c r="E122" s="8">
        <v>2</v>
      </c>
      <c r="F122" s="6">
        <f>120*3600</f>
        <v>432000</v>
      </c>
      <c r="G122" s="9">
        <v>2.6432360916877484E-13</v>
      </c>
      <c r="H122" s="10">
        <f t="shared" si="3"/>
        <v>0.67583370487394523</v>
      </c>
      <c r="I122" s="8" t="s">
        <v>478</v>
      </c>
      <c r="J122" s="6" t="s">
        <v>479</v>
      </c>
      <c r="K122" s="6">
        <v>93</v>
      </c>
      <c r="L122" s="6">
        <v>1</v>
      </c>
      <c r="M122" s="6">
        <v>1</v>
      </c>
      <c r="N122" s="6">
        <v>1</v>
      </c>
      <c r="O122" s="6">
        <v>1</v>
      </c>
      <c r="P122" s="6">
        <v>67.84</v>
      </c>
      <c r="Q122" s="6">
        <v>0.89</v>
      </c>
      <c r="R122" s="6">
        <v>14.92</v>
      </c>
      <c r="T122" s="6">
        <v>4.0599999999999996</v>
      </c>
      <c r="U122" s="6">
        <v>0.13</v>
      </c>
      <c r="V122" s="6">
        <v>1.29</v>
      </c>
      <c r="W122" s="6">
        <v>4.3899999999999997</v>
      </c>
      <c r="X122" s="6">
        <v>4.4400000000000004</v>
      </c>
      <c r="Y122" s="6">
        <v>1.35</v>
      </c>
      <c r="Z122" s="6">
        <v>0.22</v>
      </c>
      <c r="AA122" s="6">
        <v>0.09</v>
      </c>
      <c r="AB122" s="6">
        <v>100</v>
      </c>
      <c r="AC122" s="6">
        <v>4.8</v>
      </c>
      <c r="AD122" s="6" t="s">
        <v>89</v>
      </c>
    </row>
    <row r="123" spans="1:30">
      <c r="A123" s="8" t="s">
        <v>1066</v>
      </c>
      <c r="B123" s="6" t="s">
        <v>485</v>
      </c>
      <c r="C123" s="8" t="s">
        <v>645</v>
      </c>
      <c r="D123" s="6">
        <v>910</v>
      </c>
      <c r="E123" s="8">
        <v>2</v>
      </c>
      <c r="F123" s="6">
        <f>144*3600</f>
        <v>518400</v>
      </c>
      <c r="G123" s="9">
        <v>1.6214127517730542E-13</v>
      </c>
      <c r="H123" s="10">
        <f t="shared" si="3"/>
        <v>0.57984148541447134</v>
      </c>
      <c r="I123" s="8" t="s">
        <v>478</v>
      </c>
      <c r="J123" s="6" t="s">
        <v>479</v>
      </c>
      <c r="K123" s="6">
        <v>90.7</v>
      </c>
      <c r="L123" s="6">
        <v>1</v>
      </c>
      <c r="M123" s="6">
        <v>1</v>
      </c>
      <c r="N123" s="6">
        <v>1</v>
      </c>
      <c r="O123" s="6">
        <v>1</v>
      </c>
      <c r="P123" s="6">
        <v>68.95</v>
      </c>
      <c r="Q123" s="6">
        <v>0.61</v>
      </c>
      <c r="R123" s="6">
        <v>15.3</v>
      </c>
      <c r="T123" s="6">
        <v>3.18</v>
      </c>
      <c r="U123" s="6">
        <v>0.12</v>
      </c>
      <c r="V123" s="6">
        <v>1.02</v>
      </c>
      <c r="W123" s="6">
        <v>3.83</v>
      </c>
      <c r="X123" s="6">
        <v>4.95</v>
      </c>
      <c r="Y123" s="6">
        <v>1.37</v>
      </c>
      <c r="Z123" s="6">
        <v>0.16</v>
      </c>
      <c r="AA123" s="6">
        <v>0.09</v>
      </c>
      <c r="AB123" s="6">
        <v>100</v>
      </c>
      <c r="AC123" s="6">
        <v>5.3</v>
      </c>
      <c r="AD123" s="6" t="s">
        <v>89</v>
      </c>
    </row>
    <row r="124" spans="1:30">
      <c r="A124" s="8" t="s">
        <v>1066</v>
      </c>
      <c r="B124" s="6" t="s">
        <v>486</v>
      </c>
      <c r="C124" s="8" t="s">
        <v>645</v>
      </c>
      <c r="D124" s="6">
        <v>910</v>
      </c>
      <c r="E124" s="8">
        <v>2</v>
      </c>
      <c r="F124" s="6">
        <f>144*3600</f>
        <v>518400</v>
      </c>
      <c r="G124" s="9">
        <v>1.6214127517730542E-13</v>
      </c>
      <c r="H124" s="10">
        <f t="shared" si="3"/>
        <v>0.57984148541447134</v>
      </c>
      <c r="I124" s="8" t="s">
        <v>478</v>
      </c>
      <c r="J124" s="6" t="s">
        <v>479</v>
      </c>
      <c r="K124" s="6">
        <v>90.9</v>
      </c>
      <c r="L124" s="6">
        <v>1</v>
      </c>
      <c r="M124" s="6">
        <v>1</v>
      </c>
      <c r="N124" s="6">
        <v>1</v>
      </c>
      <c r="O124" s="6">
        <v>1</v>
      </c>
      <c r="P124" s="6">
        <v>69.05</v>
      </c>
      <c r="Q124" s="6">
        <v>0.59</v>
      </c>
      <c r="R124" s="6">
        <v>15.44</v>
      </c>
      <c r="T124" s="6">
        <v>3.16</v>
      </c>
      <c r="U124" s="6">
        <v>0.12</v>
      </c>
      <c r="V124" s="6">
        <v>0.99</v>
      </c>
      <c r="W124" s="6">
        <v>3.77</v>
      </c>
      <c r="X124" s="6">
        <v>5.03</v>
      </c>
      <c r="Y124" s="6">
        <v>1.34</v>
      </c>
      <c r="Z124" s="6">
        <v>0.15</v>
      </c>
      <c r="AA124" s="6">
        <v>0.04</v>
      </c>
      <c r="AB124" s="6">
        <v>100</v>
      </c>
      <c r="AC124" s="6">
        <v>5.0999999999999996</v>
      </c>
      <c r="AD124" s="6" t="s">
        <v>89</v>
      </c>
    </row>
    <row r="125" spans="1:30">
      <c r="A125" s="8" t="s">
        <v>1066</v>
      </c>
      <c r="B125" s="6" t="s">
        <v>487</v>
      </c>
      <c r="C125" s="8" t="s">
        <v>645</v>
      </c>
      <c r="D125" s="6">
        <v>910</v>
      </c>
      <c r="E125" s="8">
        <v>2</v>
      </c>
      <c r="F125" s="6">
        <f>188*3600</f>
        <v>676800</v>
      </c>
      <c r="G125" s="9">
        <v>1.6214127517730542E-13</v>
      </c>
      <c r="H125" s="10">
        <f t="shared" si="3"/>
        <v>0.66253215783084918</v>
      </c>
      <c r="I125" s="8" t="s">
        <v>478</v>
      </c>
      <c r="J125" s="6" t="s">
        <v>479</v>
      </c>
      <c r="K125" s="6">
        <v>90.2</v>
      </c>
      <c r="L125" s="6">
        <v>1</v>
      </c>
      <c r="M125" s="6">
        <v>1</v>
      </c>
      <c r="N125" s="6">
        <v>1</v>
      </c>
      <c r="O125" s="6">
        <v>1</v>
      </c>
      <c r="P125" s="6">
        <v>69.53</v>
      </c>
      <c r="Q125" s="6">
        <v>0.75</v>
      </c>
      <c r="R125" s="6">
        <v>15.36</v>
      </c>
      <c r="T125" s="6">
        <v>3.38</v>
      </c>
      <c r="U125" s="6">
        <v>0.12</v>
      </c>
      <c r="V125" s="6">
        <v>0.91</v>
      </c>
      <c r="W125" s="6">
        <v>3.68</v>
      </c>
      <c r="X125" s="6">
        <v>4.4000000000000004</v>
      </c>
      <c r="Y125" s="6">
        <v>1.4</v>
      </c>
      <c r="Z125" s="6">
        <v>0.12</v>
      </c>
      <c r="AA125" s="6">
        <v>0.02</v>
      </c>
      <c r="AB125" s="6">
        <v>100</v>
      </c>
      <c r="AC125" s="6">
        <v>4.4000000000000004</v>
      </c>
      <c r="AD125" s="6" t="s">
        <v>89</v>
      </c>
    </row>
    <row r="126" spans="1:30">
      <c r="A126" s="8" t="s">
        <v>1066</v>
      </c>
      <c r="B126" s="6" t="s">
        <v>488</v>
      </c>
      <c r="C126" s="8" t="s">
        <v>645</v>
      </c>
      <c r="D126" s="6">
        <v>910</v>
      </c>
      <c r="E126" s="8">
        <v>2</v>
      </c>
      <c r="F126" s="6">
        <f>188*3600</f>
        <v>676800</v>
      </c>
      <c r="G126" s="9">
        <v>1.6214127517730542E-13</v>
      </c>
      <c r="H126" s="10">
        <f t="shared" si="3"/>
        <v>0.66253215783084918</v>
      </c>
      <c r="I126" s="8" t="s">
        <v>478</v>
      </c>
      <c r="J126" s="6" t="s">
        <v>479</v>
      </c>
      <c r="K126" s="6">
        <v>89.4</v>
      </c>
      <c r="L126" s="6">
        <v>1</v>
      </c>
      <c r="M126" s="6">
        <v>1</v>
      </c>
      <c r="N126" s="6">
        <v>1</v>
      </c>
      <c r="O126" s="6">
        <v>1</v>
      </c>
      <c r="P126" s="6">
        <v>69.23</v>
      </c>
      <c r="Q126" s="6">
        <v>0.78</v>
      </c>
      <c r="R126" s="6">
        <v>15.44</v>
      </c>
      <c r="T126" s="6">
        <v>3.5</v>
      </c>
      <c r="U126" s="6">
        <v>0.12</v>
      </c>
      <c r="V126" s="6">
        <v>0.87</v>
      </c>
      <c r="W126" s="6">
        <v>3.63</v>
      </c>
      <c r="X126" s="6">
        <v>4.3899999999999997</v>
      </c>
      <c r="Y126" s="6">
        <v>1.39</v>
      </c>
      <c r="Z126" s="6">
        <v>0.12</v>
      </c>
      <c r="AA126" s="6">
        <v>0.02</v>
      </c>
      <c r="AB126" s="6">
        <v>100</v>
      </c>
      <c r="AC126" s="6">
        <v>4.2</v>
      </c>
      <c r="AD126" s="6" t="s">
        <v>89</v>
      </c>
    </row>
    <row r="127" spans="1:30">
      <c r="A127" s="8" t="s">
        <v>1066</v>
      </c>
      <c r="B127" s="6" t="s">
        <v>489</v>
      </c>
      <c r="C127" s="8" t="s">
        <v>645</v>
      </c>
      <c r="D127" s="6">
        <v>850</v>
      </c>
      <c r="E127" s="8">
        <v>2</v>
      </c>
      <c r="F127" s="6">
        <f>670*3600</f>
        <v>2412000</v>
      </c>
      <c r="G127" s="9">
        <v>7.2976735414337512E-14</v>
      </c>
      <c r="H127" s="10">
        <f t="shared" si="3"/>
        <v>0.83909447815935978</v>
      </c>
      <c r="I127" s="8" t="s">
        <v>478</v>
      </c>
      <c r="J127" s="6" t="s">
        <v>490</v>
      </c>
      <c r="K127" s="6">
        <v>85.4</v>
      </c>
      <c r="L127" s="6">
        <v>1</v>
      </c>
      <c r="M127" s="6">
        <v>1</v>
      </c>
      <c r="N127" s="6">
        <v>1</v>
      </c>
      <c r="O127" s="6">
        <v>1</v>
      </c>
      <c r="P127" s="6">
        <v>70.459999999999994</v>
      </c>
      <c r="Q127" s="6">
        <v>0.43</v>
      </c>
      <c r="R127" s="6">
        <v>15.58</v>
      </c>
      <c r="T127" s="6">
        <v>2.2400000000000002</v>
      </c>
      <c r="U127" s="6">
        <v>0.1</v>
      </c>
      <c r="V127" s="6">
        <v>0.5</v>
      </c>
      <c r="W127" s="6">
        <v>2.86</v>
      </c>
      <c r="X127" s="6">
        <v>5.73</v>
      </c>
      <c r="Y127" s="6">
        <v>1.49</v>
      </c>
      <c r="Z127" s="6">
        <v>0.06</v>
      </c>
      <c r="AA127" s="6">
        <v>0.01</v>
      </c>
      <c r="AB127" s="6">
        <v>100</v>
      </c>
      <c r="AC127" s="6">
        <v>5.5</v>
      </c>
      <c r="AD127" s="6" t="s">
        <v>89</v>
      </c>
    </row>
    <row r="128" spans="1:30">
      <c r="A128" s="8" t="s">
        <v>1066</v>
      </c>
      <c r="B128" s="6" t="s">
        <v>491</v>
      </c>
      <c r="C128" s="8" t="s">
        <v>645</v>
      </c>
      <c r="D128" s="6">
        <v>850</v>
      </c>
      <c r="E128" s="8">
        <v>2</v>
      </c>
      <c r="F128" s="6">
        <f>670*3600</f>
        <v>2412000</v>
      </c>
      <c r="G128" s="9">
        <v>7.2976735414337512E-14</v>
      </c>
      <c r="H128" s="10">
        <f t="shared" si="3"/>
        <v>0.83909447815935978</v>
      </c>
      <c r="I128" s="8" t="s">
        <v>478</v>
      </c>
      <c r="J128" s="6" t="s">
        <v>490</v>
      </c>
      <c r="K128" s="6">
        <v>70.599999999999994</v>
      </c>
      <c r="L128" s="6">
        <v>1</v>
      </c>
      <c r="M128" s="6">
        <v>1</v>
      </c>
      <c r="N128" s="6">
        <v>1</v>
      </c>
      <c r="O128" s="6">
        <v>1</v>
      </c>
      <c r="P128" s="6">
        <v>72.180000000000007</v>
      </c>
      <c r="Q128" s="6">
        <v>0.42</v>
      </c>
      <c r="R128" s="6">
        <v>14.74</v>
      </c>
      <c r="T128" s="6">
        <v>2.25</v>
      </c>
      <c r="U128" s="6">
        <v>0.1</v>
      </c>
      <c r="V128" s="6">
        <v>0.45</v>
      </c>
      <c r="W128" s="6">
        <v>2.19</v>
      </c>
      <c r="X128" s="6">
        <v>5.48</v>
      </c>
      <c r="Y128" s="6">
        <v>1.67</v>
      </c>
      <c r="Z128" s="6">
        <v>0.08</v>
      </c>
      <c r="AA128" s="6">
        <v>7.0000000000000007E-2</v>
      </c>
      <c r="AB128" s="6">
        <v>100</v>
      </c>
      <c r="AC128" s="6">
        <v>5.0999999999999996</v>
      </c>
      <c r="AD128" s="6" t="s">
        <v>89</v>
      </c>
    </row>
    <row r="129" spans="1:32">
      <c r="A129" s="8" t="s">
        <v>1066</v>
      </c>
      <c r="B129" s="6" t="s">
        <v>492</v>
      </c>
      <c r="C129" s="8" t="s">
        <v>645</v>
      </c>
      <c r="D129" s="6">
        <v>800</v>
      </c>
      <c r="E129" s="8">
        <v>2</v>
      </c>
      <c r="F129" s="6">
        <f>650*3600</f>
        <v>2340000</v>
      </c>
      <c r="G129" s="9">
        <v>3.5046513928104248E-14</v>
      </c>
      <c r="H129" s="10">
        <f t="shared" si="3"/>
        <v>0.57274372136851548</v>
      </c>
      <c r="I129" s="8" t="s">
        <v>478</v>
      </c>
      <c r="J129" s="6" t="s">
        <v>480</v>
      </c>
      <c r="K129" s="6">
        <v>70.2</v>
      </c>
      <c r="L129" s="6">
        <v>1</v>
      </c>
      <c r="M129" s="6">
        <v>1</v>
      </c>
      <c r="N129" s="6">
        <v>1</v>
      </c>
      <c r="O129" s="6">
        <v>1</v>
      </c>
      <c r="P129" s="6">
        <v>74.91</v>
      </c>
      <c r="Q129" s="6">
        <v>0.28000000000000003</v>
      </c>
      <c r="R129" s="6">
        <v>14.14</v>
      </c>
      <c r="T129" s="6">
        <v>1.49</v>
      </c>
      <c r="U129" s="6">
        <v>0.08</v>
      </c>
      <c r="V129" s="6">
        <v>0.27</v>
      </c>
      <c r="W129" s="6">
        <v>2.2599999999999998</v>
      </c>
      <c r="X129" s="6">
        <v>4.2300000000000004</v>
      </c>
      <c r="Y129" s="6">
        <v>1.76</v>
      </c>
      <c r="Z129" s="6">
        <v>0.19</v>
      </c>
      <c r="AA129" s="6">
        <v>0.05</v>
      </c>
      <c r="AB129" s="6">
        <v>100</v>
      </c>
      <c r="AC129" s="6">
        <v>5.4</v>
      </c>
      <c r="AD129" s="6" t="s">
        <v>89</v>
      </c>
    </row>
    <row r="130" spans="1:32">
      <c r="A130" s="8" t="s">
        <v>1066</v>
      </c>
      <c r="B130" s="6" t="s">
        <v>493</v>
      </c>
      <c r="C130" s="8" t="s">
        <v>645</v>
      </c>
      <c r="D130" s="6">
        <v>750</v>
      </c>
      <c r="E130" s="8">
        <v>2</v>
      </c>
      <c r="F130" s="6">
        <f>666*3600</f>
        <v>2397600</v>
      </c>
      <c r="G130" s="9">
        <v>1.5666500344126923E-14</v>
      </c>
      <c r="H130" s="10">
        <f t="shared" ref="H130:H193" si="6">2*SQRT(G130*F130)*1000</f>
        <v>0.38761837533883098</v>
      </c>
      <c r="I130" s="8" t="s">
        <v>478</v>
      </c>
      <c r="J130" s="6" t="s">
        <v>494</v>
      </c>
      <c r="K130" s="6">
        <v>40.200000000000003</v>
      </c>
      <c r="L130" s="6">
        <v>1</v>
      </c>
      <c r="M130" s="6">
        <v>1</v>
      </c>
      <c r="N130" s="6">
        <v>1</v>
      </c>
      <c r="O130" s="6">
        <v>1</v>
      </c>
      <c r="P130" s="6">
        <v>77.67</v>
      </c>
      <c r="Q130" s="6">
        <v>0.19</v>
      </c>
      <c r="R130" s="6">
        <v>12.24</v>
      </c>
      <c r="T130" s="6">
        <v>1.71</v>
      </c>
      <c r="U130" s="6">
        <v>0.14000000000000001</v>
      </c>
      <c r="V130" s="6">
        <v>0.25</v>
      </c>
      <c r="W130" s="6">
        <v>1.25</v>
      </c>
      <c r="X130" s="6">
        <v>2.19</v>
      </c>
      <c r="Y130" s="6">
        <v>2.73</v>
      </c>
      <c r="Z130" s="6">
        <v>0.26</v>
      </c>
      <c r="AA130" s="6">
        <v>0.2</v>
      </c>
      <c r="AB130" s="6">
        <v>100</v>
      </c>
      <c r="AC130" s="6">
        <v>5.0999999999999996</v>
      </c>
      <c r="AD130" s="6" t="s">
        <v>89</v>
      </c>
    </row>
    <row r="131" spans="1:32">
      <c r="A131" s="8" t="s">
        <v>1072</v>
      </c>
      <c r="B131" s="6" t="s">
        <v>573</v>
      </c>
      <c r="C131" s="8" t="s">
        <v>574</v>
      </c>
      <c r="D131" s="6">
        <v>910</v>
      </c>
      <c r="E131" s="8">
        <v>1</v>
      </c>
      <c r="F131" s="6">
        <f>162*3600</f>
        <v>583200</v>
      </c>
      <c r="G131" s="9">
        <v>1.6214127517730542E-13</v>
      </c>
      <c r="H131" s="10">
        <f t="shared" si="6"/>
        <v>0.61501476952477985</v>
      </c>
      <c r="I131" s="6" t="s">
        <v>41</v>
      </c>
      <c r="J131" s="6" t="s">
        <v>575</v>
      </c>
      <c r="L131" s="6">
        <v>1</v>
      </c>
      <c r="M131" s="6">
        <v>1</v>
      </c>
      <c r="N131" s="6">
        <v>1</v>
      </c>
      <c r="O131" s="6">
        <v>1</v>
      </c>
      <c r="P131" s="6">
        <v>70.709999999999994</v>
      </c>
      <c r="Q131" s="6">
        <v>0.7</v>
      </c>
      <c r="R131" s="6">
        <v>14.83</v>
      </c>
      <c r="T131" s="6">
        <v>4.18</v>
      </c>
      <c r="U131" s="6">
        <v>0.09</v>
      </c>
      <c r="V131" s="6">
        <v>0.85</v>
      </c>
      <c r="W131" s="6">
        <v>3.68</v>
      </c>
      <c r="X131" s="6">
        <v>4.5199999999999996</v>
      </c>
      <c r="Y131" s="6">
        <v>0.11</v>
      </c>
      <c r="Z131" s="6">
        <v>0.13</v>
      </c>
      <c r="AA131" s="6">
        <v>0.02</v>
      </c>
      <c r="AB131" s="6">
        <v>100</v>
      </c>
      <c r="AC131" s="6">
        <v>4</v>
      </c>
      <c r="AD131" s="6" t="s">
        <v>275</v>
      </c>
    </row>
    <row r="132" spans="1:32">
      <c r="A132" s="8" t="s">
        <v>1080</v>
      </c>
      <c r="B132" s="6" t="s">
        <v>623</v>
      </c>
      <c r="C132" s="8" t="s">
        <v>645</v>
      </c>
      <c r="D132" s="6">
        <v>860</v>
      </c>
      <c r="E132" s="8">
        <v>1.25</v>
      </c>
      <c r="F132" s="6">
        <f>338*3600</f>
        <v>1216800</v>
      </c>
      <c r="G132" s="9">
        <v>8.3853082985741507E-14</v>
      </c>
      <c r="H132" s="10">
        <f t="shared" si="6"/>
        <v>0.63885031541684412</v>
      </c>
      <c r="I132" s="6" t="s">
        <v>41</v>
      </c>
      <c r="J132" s="6" t="s">
        <v>624</v>
      </c>
      <c r="L132" s="6">
        <v>1</v>
      </c>
      <c r="M132" s="6">
        <v>1</v>
      </c>
      <c r="N132" s="6">
        <v>1</v>
      </c>
      <c r="O132" s="6">
        <v>1</v>
      </c>
      <c r="P132" s="6">
        <v>71.209999999999994</v>
      </c>
      <c r="Q132" s="6">
        <v>0.31</v>
      </c>
      <c r="R132" s="6">
        <v>15.64</v>
      </c>
      <c r="T132" s="6">
        <v>1.84</v>
      </c>
      <c r="U132" s="6">
        <v>0.08</v>
      </c>
      <c r="V132" s="6">
        <v>0.33</v>
      </c>
      <c r="W132" s="6">
        <v>1.33</v>
      </c>
      <c r="X132" s="6">
        <v>5.09</v>
      </c>
      <c r="Y132" s="6">
        <v>4.04</v>
      </c>
      <c r="Z132" s="6">
        <v>0.05</v>
      </c>
      <c r="AA132" s="6">
        <v>0.01</v>
      </c>
      <c r="AB132" s="6">
        <f>SUM(P132:Z132)</f>
        <v>99.92</v>
      </c>
      <c r="AC132" s="6">
        <v>4.79</v>
      </c>
      <c r="AD132" s="6" t="s">
        <v>43</v>
      </c>
    </row>
    <row r="133" spans="1:32">
      <c r="A133" s="8" t="s">
        <v>1080</v>
      </c>
      <c r="B133" s="6" t="s">
        <v>625</v>
      </c>
      <c r="C133" s="8" t="s">
        <v>645</v>
      </c>
      <c r="D133" s="6">
        <v>850</v>
      </c>
      <c r="E133" s="8">
        <v>1.75</v>
      </c>
      <c r="F133" s="6">
        <f>168*3600</f>
        <v>604800</v>
      </c>
      <c r="G133" s="9">
        <v>7.2976735414337512E-14</v>
      </c>
      <c r="H133" s="10">
        <f t="shared" si="6"/>
        <v>0.42017296237902468</v>
      </c>
      <c r="I133" s="6" t="s">
        <v>41</v>
      </c>
      <c r="J133" s="6" t="s">
        <v>626</v>
      </c>
      <c r="L133" s="6">
        <v>1</v>
      </c>
      <c r="M133" s="6">
        <v>1</v>
      </c>
      <c r="N133" s="6">
        <v>1</v>
      </c>
      <c r="O133" s="6">
        <v>1</v>
      </c>
      <c r="P133" s="6">
        <v>70.959999999999994</v>
      </c>
      <c r="Q133" s="6">
        <v>0.27</v>
      </c>
      <c r="R133" s="6">
        <v>15.47</v>
      </c>
      <c r="T133" s="6">
        <v>1.99</v>
      </c>
      <c r="U133" s="6">
        <v>0.05</v>
      </c>
      <c r="V133" s="6">
        <v>0.28999999999999998</v>
      </c>
      <c r="W133" s="6">
        <v>1.36</v>
      </c>
      <c r="X133" s="6">
        <v>5.58</v>
      </c>
      <c r="Y133" s="6">
        <v>3.91</v>
      </c>
      <c r="Z133" s="6">
        <v>0.06</v>
      </c>
      <c r="AA133" s="6">
        <v>1.6E-2</v>
      </c>
      <c r="AB133" s="6">
        <f t="shared" ref="AB133:AB148" si="7">SUM(P133:AA133)</f>
        <v>99.955999999999989</v>
      </c>
      <c r="AC133" s="6">
        <v>6.04</v>
      </c>
      <c r="AD133" s="6" t="s">
        <v>43</v>
      </c>
    </row>
    <row r="134" spans="1:32">
      <c r="A134" s="8" t="s">
        <v>1080</v>
      </c>
      <c r="B134" s="6" t="s">
        <v>627</v>
      </c>
      <c r="C134" s="8" t="s">
        <v>645</v>
      </c>
      <c r="D134" s="6">
        <v>875</v>
      </c>
      <c r="E134" s="8">
        <v>1.75</v>
      </c>
      <c r="F134" s="6">
        <f>168*3600</f>
        <v>604800</v>
      </c>
      <c r="G134" s="9">
        <v>1.028135457036711E-13</v>
      </c>
      <c r="H134" s="10">
        <f t="shared" si="6"/>
        <v>0.49872490389624735</v>
      </c>
      <c r="I134" s="6" t="s">
        <v>41</v>
      </c>
      <c r="J134" s="6" t="s">
        <v>626</v>
      </c>
      <c r="L134" s="6">
        <v>1</v>
      </c>
      <c r="M134" s="6">
        <v>1</v>
      </c>
      <c r="N134" s="6">
        <v>1</v>
      </c>
      <c r="O134" s="6">
        <v>1</v>
      </c>
      <c r="P134" s="6">
        <v>69.900000000000006</v>
      </c>
      <c r="Q134" s="6">
        <v>0.38</v>
      </c>
      <c r="R134" s="6">
        <v>16.07</v>
      </c>
      <c r="T134" s="6">
        <v>2.3199999999999998</v>
      </c>
      <c r="U134" s="6">
        <v>7.0000000000000007E-2</v>
      </c>
      <c r="V134" s="6">
        <v>0.44</v>
      </c>
      <c r="W134" s="6">
        <v>1.75</v>
      </c>
      <c r="X134" s="6">
        <v>5.26</v>
      </c>
      <c r="Y134" s="6">
        <v>3.67</v>
      </c>
      <c r="Z134" s="6">
        <v>6.4000000000000001E-2</v>
      </c>
      <c r="AA134" s="6">
        <v>1.7000000000000001E-2</v>
      </c>
      <c r="AB134" s="6">
        <f t="shared" si="7"/>
        <v>99.940999999999974</v>
      </c>
      <c r="AC134" s="6">
        <v>5.95</v>
      </c>
      <c r="AD134" s="6" t="s">
        <v>43</v>
      </c>
    </row>
    <row r="135" spans="1:32">
      <c r="A135" s="8" t="s">
        <v>1080</v>
      </c>
      <c r="B135" s="6" t="s">
        <v>628</v>
      </c>
      <c r="C135" s="8" t="s">
        <v>645</v>
      </c>
      <c r="D135" s="6">
        <v>835</v>
      </c>
      <c r="E135" s="8">
        <v>1.5</v>
      </c>
      <c r="F135" s="6">
        <f>214*3600</f>
        <v>770400</v>
      </c>
      <c r="G135" s="9">
        <v>5.8971312323405523E-14</v>
      </c>
      <c r="H135" s="10">
        <f t="shared" si="6"/>
        <v>0.42629332161764683</v>
      </c>
      <c r="I135" s="6" t="s">
        <v>41</v>
      </c>
      <c r="J135" s="6" t="s">
        <v>626</v>
      </c>
      <c r="L135" s="6">
        <v>1</v>
      </c>
      <c r="M135" s="6">
        <v>1</v>
      </c>
      <c r="N135" s="6">
        <v>1</v>
      </c>
      <c r="O135" s="6">
        <v>1</v>
      </c>
      <c r="P135" s="6">
        <v>71.63</v>
      </c>
      <c r="Q135" s="6">
        <v>0.22</v>
      </c>
      <c r="R135" s="6">
        <v>15.59</v>
      </c>
      <c r="T135" s="6">
        <v>1.72</v>
      </c>
      <c r="U135" s="6">
        <v>0.06</v>
      </c>
      <c r="V135" s="6">
        <v>0.22</v>
      </c>
      <c r="W135" s="6">
        <v>1.21</v>
      </c>
      <c r="X135" s="6">
        <v>5.18</v>
      </c>
      <c r="Y135" s="6">
        <v>4.0599999999999996</v>
      </c>
      <c r="Z135" s="6">
        <v>3.5999999999999997E-2</v>
      </c>
      <c r="AA135" s="6">
        <v>2.1999999999999999E-2</v>
      </c>
      <c r="AB135" s="6">
        <f t="shared" si="7"/>
        <v>99.947999999999993</v>
      </c>
      <c r="AC135" s="6">
        <v>5.42</v>
      </c>
      <c r="AD135" s="6" t="s">
        <v>43</v>
      </c>
      <c r="AF135" s="6" t="s">
        <v>1177</v>
      </c>
    </row>
    <row r="136" spans="1:32">
      <c r="A136" s="8" t="s">
        <v>1080</v>
      </c>
      <c r="B136" s="6" t="s">
        <v>629</v>
      </c>
      <c r="C136" s="8" t="s">
        <v>645</v>
      </c>
      <c r="D136" s="6">
        <v>860</v>
      </c>
      <c r="E136" s="8">
        <v>1.5</v>
      </c>
      <c r="F136" s="6">
        <f>172*3600</f>
        <v>619200</v>
      </c>
      <c r="G136" s="9">
        <v>8.3853082985741507E-14</v>
      </c>
      <c r="H136" s="10">
        <f t="shared" si="6"/>
        <v>0.45572723853099301</v>
      </c>
      <c r="I136" s="6" t="s">
        <v>41</v>
      </c>
      <c r="J136" s="6" t="s">
        <v>630</v>
      </c>
      <c r="L136" s="6">
        <v>1</v>
      </c>
      <c r="M136" s="6">
        <v>1</v>
      </c>
      <c r="N136" s="6">
        <v>1</v>
      </c>
      <c r="O136" s="6">
        <v>1</v>
      </c>
      <c r="P136" s="6">
        <v>70.06</v>
      </c>
      <c r="Q136" s="6">
        <v>0.34</v>
      </c>
      <c r="R136" s="6">
        <v>16.21</v>
      </c>
      <c r="T136" s="6">
        <v>2.14</v>
      </c>
      <c r="U136" s="6">
        <v>0.08</v>
      </c>
      <c r="V136" s="6">
        <v>0.39</v>
      </c>
      <c r="W136" s="6">
        <v>1.65</v>
      </c>
      <c r="X136" s="6">
        <v>5.26</v>
      </c>
      <c r="Y136" s="6">
        <v>3.73</v>
      </c>
      <c r="Z136" s="6">
        <v>6.0999999999999999E-2</v>
      </c>
      <c r="AA136" s="6">
        <v>1.9E-2</v>
      </c>
      <c r="AB136" s="6">
        <f t="shared" si="7"/>
        <v>99.94000000000004</v>
      </c>
      <c r="AC136" s="6">
        <v>5.38</v>
      </c>
      <c r="AD136" s="6" t="s">
        <v>43</v>
      </c>
      <c r="AF136" s="6" t="s">
        <v>1177</v>
      </c>
    </row>
    <row r="137" spans="1:32">
      <c r="A137" s="8" t="s">
        <v>1080</v>
      </c>
      <c r="B137" s="6" t="s">
        <v>631</v>
      </c>
      <c r="C137" s="8" t="s">
        <v>645</v>
      </c>
      <c r="D137" s="6">
        <v>875</v>
      </c>
      <c r="E137" s="8">
        <v>1.5</v>
      </c>
      <c r="F137" s="6">
        <f>171*3600</f>
        <v>615600</v>
      </c>
      <c r="G137" s="9">
        <v>1.028135457036711E-13</v>
      </c>
      <c r="H137" s="10">
        <f t="shared" si="6"/>
        <v>0.50315810133666705</v>
      </c>
      <c r="I137" s="6" t="s">
        <v>41</v>
      </c>
      <c r="J137" s="6" t="s">
        <v>630</v>
      </c>
      <c r="L137" s="6">
        <v>1</v>
      </c>
      <c r="M137" s="6">
        <v>1</v>
      </c>
      <c r="N137" s="6">
        <v>1</v>
      </c>
      <c r="O137" s="6">
        <v>1</v>
      </c>
      <c r="P137" s="6">
        <v>69.94</v>
      </c>
      <c r="Q137" s="6">
        <v>0.33</v>
      </c>
      <c r="R137" s="6">
        <v>15.99</v>
      </c>
      <c r="T137" s="6">
        <v>2.08</v>
      </c>
      <c r="U137" s="6">
        <v>7.0000000000000007E-2</v>
      </c>
      <c r="V137" s="6">
        <v>0.41</v>
      </c>
      <c r="W137" s="6">
        <v>1.64</v>
      </c>
      <c r="X137" s="6">
        <v>5.64</v>
      </c>
      <c r="Y137" s="6">
        <v>3.78</v>
      </c>
      <c r="Z137" s="6">
        <v>4.7E-2</v>
      </c>
      <c r="AA137" s="6">
        <v>2.1000000000000001E-2</v>
      </c>
      <c r="AB137" s="6">
        <f t="shared" si="7"/>
        <v>99.947999999999979</v>
      </c>
      <c r="AC137" s="6">
        <v>5.44</v>
      </c>
      <c r="AD137" s="6" t="s">
        <v>43</v>
      </c>
      <c r="AF137" s="6" t="s">
        <v>1177</v>
      </c>
    </row>
    <row r="138" spans="1:32">
      <c r="A138" s="8" t="s">
        <v>1080</v>
      </c>
      <c r="B138" s="6" t="s">
        <v>632</v>
      </c>
      <c r="C138" s="8" t="s">
        <v>645</v>
      </c>
      <c r="D138" s="6">
        <v>860</v>
      </c>
      <c r="E138" s="8">
        <v>1.25</v>
      </c>
      <c r="F138" s="6">
        <f>172*3600</f>
        <v>619200</v>
      </c>
      <c r="G138" s="9">
        <v>8.3853082985741507E-14</v>
      </c>
      <c r="H138" s="10">
        <f t="shared" si="6"/>
        <v>0.45572723853099301</v>
      </c>
      <c r="I138" s="6" t="s">
        <v>41</v>
      </c>
      <c r="J138" s="6" t="s">
        <v>630</v>
      </c>
      <c r="L138" s="6">
        <v>1</v>
      </c>
      <c r="M138" s="6">
        <v>1</v>
      </c>
      <c r="N138" s="6">
        <v>1</v>
      </c>
      <c r="O138" s="6">
        <v>1</v>
      </c>
      <c r="P138" s="6">
        <v>71.45</v>
      </c>
      <c r="Q138" s="6">
        <v>0.3</v>
      </c>
      <c r="R138" s="6">
        <v>15.15</v>
      </c>
      <c r="T138" s="6">
        <v>1.94</v>
      </c>
      <c r="U138" s="6">
        <v>0.06</v>
      </c>
      <c r="V138" s="6">
        <v>0.27</v>
      </c>
      <c r="W138" s="6">
        <v>1.18</v>
      </c>
      <c r="X138" s="6">
        <v>5.44</v>
      </c>
      <c r="Y138" s="6">
        <v>4.09</v>
      </c>
      <c r="Z138" s="6">
        <v>5.2999999999999999E-2</v>
      </c>
      <c r="AA138" s="6">
        <v>1.7000000000000001E-2</v>
      </c>
      <c r="AB138" s="6">
        <f t="shared" si="7"/>
        <v>99.95</v>
      </c>
      <c r="AC138" s="6">
        <v>4.8600000000000003</v>
      </c>
      <c r="AD138" s="6" t="s">
        <v>43</v>
      </c>
    </row>
    <row r="139" spans="1:32">
      <c r="A139" s="8" t="s">
        <v>1080</v>
      </c>
      <c r="B139" s="6" t="s">
        <v>633</v>
      </c>
      <c r="C139" s="8" t="s">
        <v>645</v>
      </c>
      <c r="D139" s="6">
        <v>850</v>
      </c>
      <c r="E139" s="8">
        <v>1.25</v>
      </c>
      <c r="F139" s="6">
        <f>193*3600</f>
        <v>694800</v>
      </c>
      <c r="G139" s="9">
        <v>7.2976735414337512E-14</v>
      </c>
      <c r="H139" s="10">
        <f t="shared" si="6"/>
        <v>0.45035202127172341</v>
      </c>
      <c r="I139" s="6" t="s">
        <v>41</v>
      </c>
      <c r="J139" s="6" t="s">
        <v>630</v>
      </c>
      <c r="L139" s="6">
        <v>1</v>
      </c>
      <c r="M139" s="6">
        <v>1</v>
      </c>
      <c r="N139" s="6">
        <v>1</v>
      </c>
      <c r="O139" s="6">
        <v>1</v>
      </c>
      <c r="P139" s="6">
        <v>71.52</v>
      </c>
      <c r="Q139" s="6">
        <v>0.25</v>
      </c>
      <c r="R139" s="6">
        <v>15.49</v>
      </c>
      <c r="T139" s="6">
        <v>1.87</v>
      </c>
      <c r="U139" s="6">
        <v>7.0000000000000007E-2</v>
      </c>
      <c r="V139" s="6">
        <v>0.24</v>
      </c>
      <c r="W139" s="6">
        <v>1.17</v>
      </c>
      <c r="X139" s="6">
        <v>5.12</v>
      </c>
      <c r="Y139" s="6">
        <v>4.12</v>
      </c>
      <c r="Z139" s="6">
        <v>5.2999999999999999E-2</v>
      </c>
      <c r="AA139" s="6">
        <v>2.5999999999999999E-2</v>
      </c>
      <c r="AB139" s="6">
        <f t="shared" si="7"/>
        <v>99.928999999999988</v>
      </c>
      <c r="AC139" s="6">
        <v>4.82</v>
      </c>
      <c r="AD139" s="6" t="s">
        <v>43</v>
      </c>
      <c r="AF139" s="6" t="s">
        <v>1177</v>
      </c>
    </row>
    <row r="140" spans="1:32">
      <c r="A140" s="8" t="s">
        <v>1080</v>
      </c>
      <c r="B140" s="6" t="s">
        <v>634</v>
      </c>
      <c r="C140" s="8" t="s">
        <v>645</v>
      </c>
      <c r="D140" s="6">
        <v>835</v>
      </c>
      <c r="E140" s="8">
        <v>1.25</v>
      </c>
      <c r="F140" s="6">
        <f>193*3600</f>
        <v>694800</v>
      </c>
      <c r="G140" s="9">
        <v>5.8971312323405523E-14</v>
      </c>
      <c r="H140" s="10">
        <f t="shared" si="6"/>
        <v>0.40483709218549702</v>
      </c>
      <c r="I140" s="6" t="s">
        <v>41</v>
      </c>
      <c r="J140" s="6" t="s">
        <v>626</v>
      </c>
      <c r="L140" s="6">
        <v>1</v>
      </c>
      <c r="M140" s="6">
        <v>1</v>
      </c>
      <c r="N140" s="6">
        <v>1</v>
      </c>
      <c r="O140" s="6">
        <v>1</v>
      </c>
      <c r="P140" s="6">
        <v>72.19</v>
      </c>
      <c r="Q140" s="6">
        <v>0.23</v>
      </c>
      <c r="R140" s="6">
        <v>15.2</v>
      </c>
      <c r="T140" s="6">
        <v>1.75</v>
      </c>
      <c r="U140" s="6">
        <v>0.06</v>
      </c>
      <c r="V140" s="6">
        <v>0.19</v>
      </c>
      <c r="W140" s="6">
        <v>0.97</v>
      </c>
      <c r="X140" s="6">
        <v>4.9800000000000004</v>
      </c>
      <c r="Y140" s="6">
        <v>4.29</v>
      </c>
      <c r="Z140" s="6">
        <v>0.05</v>
      </c>
      <c r="AA140" s="6">
        <v>2.9000000000000001E-2</v>
      </c>
      <c r="AB140" s="6">
        <f t="shared" si="7"/>
        <v>99.939000000000007</v>
      </c>
      <c r="AC140" s="6">
        <v>4.82</v>
      </c>
      <c r="AD140" s="6" t="s">
        <v>43</v>
      </c>
      <c r="AF140" s="6" t="s">
        <v>1177</v>
      </c>
    </row>
    <row r="141" spans="1:32">
      <c r="A141" s="8" t="s">
        <v>1080</v>
      </c>
      <c r="B141" s="6" t="s">
        <v>635</v>
      </c>
      <c r="C141" s="8" t="s">
        <v>645</v>
      </c>
      <c r="D141" s="6">
        <v>850</v>
      </c>
      <c r="E141" s="8">
        <v>1.5</v>
      </c>
      <c r="F141" s="6">
        <f>341*3600</f>
        <v>1227600</v>
      </c>
      <c r="G141" s="9">
        <v>7.2976735414337512E-14</v>
      </c>
      <c r="H141" s="10">
        <f t="shared" si="6"/>
        <v>0.59861921250371075</v>
      </c>
      <c r="I141" s="6" t="s">
        <v>41</v>
      </c>
      <c r="J141" s="6" t="s">
        <v>626</v>
      </c>
      <c r="L141" s="6">
        <v>1</v>
      </c>
      <c r="M141" s="6">
        <v>1</v>
      </c>
      <c r="N141" s="6">
        <v>1</v>
      </c>
      <c r="O141" s="6">
        <v>1</v>
      </c>
      <c r="P141" s="6">
        <v>71.459999999999994</v>
      </c>
      <c r="Q141" s="6">
        <v>0.23</v>
      </c>
      <c r="R141" s="6">
        <v>15.28</v>
      </c>
      <c r="T141" s="6">
        <v>1.91</v>
      </c>
      <c r="U141" s="6">
        <v>7.0000000000000007E-2</v>
      </c>
      <c r="V141" s="6">
        <v>0.26</v>
      </c>
      <c r="W141" s="6">
        <v>1.21</v>
      </c>
      <c r="X141" s="6">
        <v>5.46</v>
      </c>
      <c r="Y141" s="6">
        <v>4.01</v>
      </c>
      <c r="Z141" s="6">
        <v>0.04</v>
      </c>
      <c r="AA141" s="6">
        <v>2.1999999999999999E-2</v>
      </c>
      <c r="AB141" s="6">
        <f t="shared" si="7"/>
        <v>99.951999999999998</v>
      </c>
      <c r="AC141" s="6">
        <v>5.47</v>
      </c>
      <c r="AD141" s="6" t="s">
        <v>43</v>
      </c>
      <c r="AF141" s="6" t="s">
        <v>1177</v>
      </c>
    </row>
    <row r="142" spans="1:32">
      <c r="A142" s="8" t="s">
        <v>1080</v>
      </c>
      <c r="B142" s="6" t="s">
        <v>636</v>
      </c>
      <c r="C142" s="8" t="s">
        <v>645</v>
      </c>
      <c r="D142" s="6">
        <v>835</v>
      </c>
      <c r="E142" s="8">
        <v>1.75</v>
      </c>
      <c r="F142" s="6">
        <f>336*3600</f>
        <v>1209600</v>
      </c>
      <c r="G142" s="9">
        <v>5.8971312323405523E-14</v>
      </c>
      <c r="H142" s="10">
        <f t="shared" si="6"/>
        <v>0.53415989885573145</v>
      </c>
      <c r="I142" s="6" t="s">
        <v>41</v>
      </c>
      <c r="J142" s="6" t="s">
        <v>637</v>
      </c>
      <c r="L142" s="6">
        <v>1</v>
      </c>
      <c r="M142" s="6">
        <v>1</v>
      </c>
      <c r="N142" s="6">
        <v>1</v>
      </c>
      <c r="O142" s="6">
        <v>1</v>
      </c>
      <c r="P142" s="6">
        <v>70.88</v>
      </c>
      <c r="Q142" s="6">
        <v>0.21</v>
      </c>
      <c r="R142" s="6">
        <v>15.64</v>
      </c>
      <c r="T142" s="6">
        <v>2</v>
      </c>
      <c r="U142" s="6">
        <v>7.0000000000000007E-2</v>
      </c>
      <c r="V142" s="6">
        <v>0.28000000000000003</v>
      </c>
      <c r="W142" s="6">
        <v>1.44</v>
      </c>
      <c r="X142" s="6">
        <v>5.55</v>
      </c>
      <c r="Y142" s="6">
        <v>3.79</v>
      </c>
      <c r="Z142" s="6">
        <v>4.9000000000000002E-2</v>
      </c>
      <c r="AA142" s="6">
        <v>2.5000000000000001E-2</v>
      </c>
      <c r="AB142" s="6">
        <f t="shared" si="7"/>
        <v>99.933999999999997</v>
      </c>
      <c r="AC142" s="6">
        <v>6.03</v>
      </c>
      <c r="AD142" s="6" t="s">
        <v>43</v>
      </c>
      <c r="AF142" s="6" t="s">
        <v>1177</v>
      </c>
    </row>
    <row r="143" spans="1:32">
      <c r="A143" s="8" t="s">
        <v>1080</v>
      </c>
      <c r="B143" s="6" t="s">
        <v>638</v>
      </c>
      <c r="C143" s="8" t="s">
        <v>645</v>
      </c>
      <c r="D143" s="6">
        <v>810</v>
      </c>
      <c r="E143" s="8">
        <v>1.75</v>
      </c>
      <c r="F143" s="6">
        <f>337*3600</f>
        <v>1213200</v>
      </c>
      <c r="G143" s="9">
        <v>4.0804253510841329E-14</v>
      </c>
      <c r="H143" s="10">
        <f t="shared" si="6"/>
        <v>0.44498863068331401</v>
      </c>
      <c r="I143" s="6" t="s">
        <v>41</v>
      </c>
      <c r="J143" s="6" t="s">
        <v>637</v>
      </c>
      <c r="L143" s="6">
        <v>1</v>
      </c>
      <c r="M143" s="6">
        <v>1</v>
      </c>
      <c r="N143" s="6">
        <v>1</v>
      </c>
      <c r="O143" s="6">
        <v>1</v>
      </c>
      <c r="P143" s="6">
        <v>72.38</v>
      </c>
      <c r="Q143" s="6">
        <v>0.14000000000000001</v>
      </c>
      <c r="R143" s="6">
        <v>14.95</v>
      </c>
      <c r="T143" s="6">
        <v>1.68</v>
      </c>
      <c r="U143" s="6">
        <v>0.06</v>
      </c>
      <c r="V143" s="6">
        <v>0.14000000000000001</v>
      </c>
      <c r="W143" s="6">
        <v>0.99</v>
      </c>
      <c r="X143" s="6">
        <v>5.44</v>
      </c>
      <c r="Y143" s="6">
        <v>4.09</v>
      </c>
      <c r="Z143" s="6">
        <v>2.4E-2</v>
      </c>
      <c r="AA143" s="6">
        <v>1.4E-2</v>
      </c>
      <c r="AB143" s="6">
        <f t="shared" si="7"/>
        <v>99.908000000000001</v>
      </c>
      <c r="AC143" s="6">
        <v>6.04</v>
      </c>
      <c r="AD143" s="6" t="s">
        <v>43</v>
      </c>
      <c r="AF143" s="6" t="s">
        <v>1177</v>
      </c>
    </row>
    <row r="144" spans="1:32">
      <c r="A144" s="8" t="s">
        <v>1080</v>
      </c>
      <c r="B144" s="6" t="s">
        <v>639</v>
      </c>
      <c r="C144" s="8" t="s">
        <v>645</v>
      </c>
      <c r="D144" s="6">
        <v>810</v>
      </c>
      <c r="E144" s="8">
        <v>1.25</v>
      </c>
      <c r="F144" s="6">
        <f>336*3600</f>
        <v>1209600</v>
      </c>
      <c r="G144" s="9">
        <v>4.0804253510841329E-14</v>
      </c>
      <c r="H144" s="10">
        <f t="shared" si="6"/>
        <v>0.4443279196571544</v>
      </c>
      <c r="I144" s="6" t="s">
        <v>41</v>
      </c>
      <c r="J144" s="6" t="s">
        <v>637</v>
      </c>
      <c r="L144" s="6">
        <v>1</v>
      </c>
      <c r="M144" s="6">
        <v>1</v>
      </c>
      <c r="N144" s="6">
        <v>1</v>
      </c>
      <c r="O144" s="6">
        <v>1</v>
      </c>
      <c r="P144" s="6">
        <v>73.73</v>
      </c>
      <c r="Q144" s="6">
        <v>0.16</v>
      </c>
      <c r="R144" s="6">
        <v>14.31</v>
      </c>
      <c r="T144" s="6">
        <v>1.32</v>
      </c>
      <c r="U144" s="6">
        <v>0.06</v>
      </c>
      <c r="V144" s="6">
        <v>0.13</v>
      </c>
      <c r="W144" s="6">
        <v>0.76</v>
      </c>
      <c r="X144" s="6">
        <v>4.9800000000000004</v>
      </c>
      <c r="Y144" s="6">
        <v>4.43</v>
      </c>
      <c r="Z144" s="6">
        <v>3.3000000000000002E-2</v>
      </c>
      <c r="AA144" s="6">
        <v>2.1999999999999999E-2</v>
      </c>
      <c r="AB144" s="6">
        <f t="shared" si="7"/>
        <v>99.935000000000002</v>
      </c>
      <c r="AC144" s="6">
        <v>4.88</v>
      </c>
      <c r="AD144" s="6" t="s">
        <v>43</v>
      </c>
      <c r="AF144" s="6" t="s">
        <v>1177</v>
      </c>
    </row>
    <row r="145" spans="1:32">
      <c r="A145" s="8" t="s">
        <v>1080</v>
      </c>
      <c r="B145" s="6" t="s">
        <v>640</v>
      </c>
      <c r="C145" s="8" t="s">
        <v>645</v>
      </c>
      <c r="D145" s="6">
        <v>810</v>
      </c>
      <c r="E145" s="8">
        <v>1.5</v>
      </c>
      <c r="F145" s="6">
        <f>337*3600</f>
        <v>1213200</v>
      </c>
      <c r="G145" s="9">
        <v>4.0804253510841329E-14</v>
      </c>
      <c r="H145" s="10">
        <f t="shared" si="6"/>
        <v>0.44498863068331401</v>
      </c>
      <c r="I145" s="6" t="s">
        <v>41</v>
      </c>
      <c r="J145" s="6" t="s">
        <v>637</v>
      </c>
      <c r="L145" s="6">
        <v>1</v>
      </c>
      <c r="M145" s="6">
        <v>1</v>
      </c>
      <c r="N145" s="6">
        <v>1</v>
      </c>
      <c r="O145" s="6">
        <v>1</v>
      </c>
      <c r="P145" s="6">
        <v>72.47</v>
      </c>
      <c r="Q145" s="6">
        <v>0.15</v>
      </c>
      <c r="R145" s="6">
        <v>14.8</v>
      </c>
      <c r="T145" s="6">
        <v>1.65</v>
      </c>
      <c r="U145" s="6">
        <v>0.06</v>
      </c>
      <c r="V145" s="6">
        <v>0.14000000000000001</v>
      </c>
      <c r="W145" s="6">
        <v>0.97</v>
      </c>
      <c r="X145" s="6">
        <v>5.43</v>
      </c>
      <c r="Y145" s="6">
        <v>4.2</v>
      </c>
      <c r="Z145" s="6">
        <v>3.3000000000000002E-2</v>
      </c>
      <c r="AA145" s="6">
        <v>0.02</v>
      </c>
      <c r="AB145" s="6">
        <f t="shared" si="7"/>
        <v>99.923000000000016</v>
      </c>
      <c r="AC145" s="6">
        <v>5.49</v>
      </c>
      <c r="AD145" s="6" t="s">
        <v>43</v>
      </c>
      <c r="AF145" s="6" t="s">
        <v>1177</v>
      </c>
    </row>
    <row r="146" spans="1:32">
      <c r="A146" s="8" t="s">
        <v>1080</v>
      </c>
      <c r="B146" s="6" t="s">
        <v>641</v>
      </c>
      <c r="C146" s="8" t="s">
        <v>645</v>
      </c>
      <c r="D146" s="6">
        <v>890</v>
      </c>
      <c r="E146" s="8">
        <v>1.75</v>
      </c>
      <c r="F146" s="6">
        <f>168*3600</f>
        <v>604800</v>
      </c>
      <c r="G146" s="9">
        <v>1.2540020222693022E-13</v>
      </c>
      <c r="H146" s="10">
        <f t="shared" si="6"/>
        <v>0.55078867928397879</v>
      </c>
      <c r="I146" s="6" t="s">
        <v>41</v>
      </c>
      <c r="J146" s="6" t="s">
        <v>630</v>
      </c>
      <c r="L146" s="6">
        <v>1</v>
      </c>
      <c r="M146" s="6">
        <v>1</v>
      </c>
      <c r="N146" s="6">
        <v>1</v>
      </c>
      <c r="O146" s="6">
        <v>1</v>
      </c>
      <c r="P146" s="6">
        <v>68.989999999999995</v>
      </c>
      <c r="Q146" s="6">
        <v>0.35</v>
      </c>
      <c r="R146" s="6">
        <v>16.09</v>
      </c>
      <c r="T146" s="6">
        <v>2.67</v>
      </c>
      <c r="U146" s="6">
        <v>7.0000000000000007E-2</v>
      </c>
      <c r="V146" s="6">
        <v>0.5</v>
      </c>
      <c r="W146" s="6">
        <v>1.91</v>
      </c>
      <c r="X146" s="6">
        <v>5.62</v>
      </c>
      <c r="Y146" s="6">
        <v>3.64</v>
      </c>
      <c r="Z146" s="6">
        <v>8.3000000000000004E-2</v>
      </c>
      <c r="AA146" s="6">
        <v>1.9E-2</v>
      </c>
      <c r="AB146" s="6">
        <f t="shared" si="7"/>
        <v>99.941999999999993</v>
      </c>
      <c r="AC146" s="6">
        <v>6</v>
      </c>
      <c r="AD146" s="6" t="s">
        <v>43</v>
      </c>
    </row>
    <row r="147" spans="1:32">
      <c r="A147" s="8" t="s">
        <v>1080</v>
      </c>
      <c r="B147" s="6" t="s">
        <v>642</v>
      </c>
      <c r="C147" s="8" t="s">
        <v>645</v>
      </c>
      <c r="D147" s="6">
        <v>810</v>
      </c>
      <c r="E147" s="8">
        <v>2</v>
      </c>
      <c r="F147" s="6">
        <f>336*3600</f>
        <v>1209600</v>
      </c>
      <c r="G147" s="9">
        <v>4.0804253510841329E-14</v>
      </c>
      <c r="H147" s="10">
        <f t="shared" si="6"/>
        <v>0.4443279196571544</v>
      </c>
      <c r="I147" s="6" t="s">
        <v>41</v>
      </c>
      <c r="J147" s="6" t="s">
        <v>637</v>
      </c>
      <c r="L147" s="6">
        <v>1</v>
      </c>
      <c r="M147" s="6">
        <v>1</v>
      </c>
      <c r="N147" s="6">
        <v>1</v>
      </c>
      <c r="O147" s="6">
        <v>1</v>
      </c>
      <c r="P147" s="6">
        <v>71.569999999999993</v>
      </c>
      <c r="Q147" s="6">
        <v>0.17</v>
      </c>
      <c r="R147" s="6">
        <v>15.44</v>
      </c>
      <c r="T147" s="6">
        <v>1.74</v>
      </c>
      <c r="U147" s="6">
        <v>0.08</v>
      </c>
      <c r="V147" s="6">
        <v>0.18</v>
      </c>
      <c r="W147" s="6">
        <v>1.27</v>
      </c>
      <c r="X147" s="6">
        <v>5.56</v>
      </c>
      <c r="Y147" s="6">
        <v>3.88</v>
      </c>
      <c r="Z147" s="6">
        <v>2.8000000000000001E-2</v>
      </c>
      <c r="AA147" s="6">
        <v>1.7999999999999999E-2</v>
      </c>
      <c r="AB147" s="6">
        <f t="shared" si="7"/>
        <v>99.935999999999993</v>
      </c>
      <c r="AC147" s="6">
        <v>6.57</v>
      </c>
      <c r="AD147" s="6" t="s">
        <v>43</v>
      </c>
      <c r="AF147" s="6" t="s">
        <v>1177</v>
      </c>
    </row>
    <row r="148" spans="1:32">
      <c r="A148" s="8" t="s">
        <v>1080</v>
      </c>
      <c r="B148" s="6" t="s">
        <v>643</v>
      </c>
      <c r="C148" s="8" t="s">
        <v>645</v>
      </c>
      <c r="D148" s="6">
        <v>835</v>
      </c>
      <c r="E148" s="8">
        <v>2</v>
      </c>
      <c r="F148" s="6">
        <f>336*3600</f>
        <v>1209600</v>
      </c>
      <c r="G148" s="9">
        <v>5.8971312323405523E-14</v>
      </c>
      <c r="H148" s="10">
        <f t="shared" si="6"/>
        <v>0.53415989885573145</v>
      </c>
      <c r="I148" s="6" t="s">
        <v>41</v>
      </c>
      <c r="J148" s="6" t="s">
        <v>626</v>
      </c>
      <c r="L148" s="6">
        <v>1</v>
      </c>
      <c r="M148" s="6">
        <v>1</v>
      </c>
      <c r="N148" s="6">
        <v>1</v>
      </c>
      <c r="O148" s="6">
        <v>1</v>
      </c>
      <c r="P148" s="6">
        <v>70.45</v>
      </c>
      <c r="Q148" s="6">
        <v>0.23</v>
      </c>
      <c r="R148" s="6">
        <v>15.89</v>
      </c>
      <c r="T148" s="6">
        <v>2.0099999999999998</v>
      </c>
      <c r="U148" s="6">
        <v>7.0000000000000007E-2</v>
      </c>
      <c r="V148" s="6">
        <v>0.26</v>
      </c>
      <c r="W148" s="6">
        <v>1.6</v>
      </c>
      <c r="X148" s="6">
        <v>5.61</v>
      </c>
      <c r="Y148" s="6">
        <v>3.74</v>
      </c>
      <c r="Z148" s="6">
        <v>4.1000000000000002E-2</v>
      </c>
      <c r="AA148" s="6">
        <v>2.1000000000000001E-2</v>
      </c>
      <c r="AB148" s="6">
        <f t="shared" si="7"/>
        <v>99.921999999999997</v>
      </c>
      <c r="AC148" s="6">
        <v>6.58</v>
      </c>
      <c r="AD148" s="6" t="s">
        <v>43</v>
      </c>
      <c r="AF148" s="6" t="s">
        <v>1177</v>
      </c>
    </row>
    <row r="149" spans="1:32">
      <c r="A149" s="8" t="s">
        <v>1091</v>
      </c>
      <c r="B149" s="6" t="s">
        <v>829</v>
      </c>
      <c r="C149" s="8" t="s">
        <v>645</v>
      </c>
      <c r="D149" s="12">
        <v>1040</v>
      </c>
      <c r="E149" s="6">
        <v>2</v>
      </c>
      <c r="F149" s="11">
        <f>360*60</f>
        <v>21600</v>
      </c>
      <c r="G149" s="9">
        <v>7.1187702362643256E-13</v>
      </c>
      <c r="H149" s="10">
        <f t="shared" si="6"/>
        <v>0.24800438472197175</v>
      </c>
      <c r="I149" s="13">
        <v>5</v>
      </c>
      <c r="J149" s="6" t="s">
        <v>830</v>
      </c>
      <c r="L149" s="6">
        <v>1</v>
      </c>
      <c r="M149" s="6">
        <v>1</v>
      </c>
      <c r="N149" s="6">
        <v>1</v>
      </c>
      <c r="O149" s="6">
        <v>1</v>
      </c>
      <c r="P149" s="14">
        <v>56.03</v>
      </c>
      <c r="Q149" s="14">
        <v>1.52</v>
      </c>
      <c r="R149" s="14">
        <v>20.190000000000001</v>
      </c>
      <c r="S149" s="14"/>
      <c r="T149" s="14">
        <v>3.74</v>
      </c>
      <c r="U149" s="14">
        <v>0.2</v>
      </c>
      <c r="V149" s="14">
        <v>1.68</v>
      </c>
      <c r="W149" s="14">
        <v>6.69</v>
      </c>
      <c r="X149" s="14">
        <v>4.9800000000000004</v>
      </c>
      <c r="Y149" s="14">
        <v>2.76</v>
      </c>
      <c r="Z149" s="14">
        <v>1.38</v>
      </c>
      <c r="AA149" s="14">
        <v>0.13</v>
      </c>
      <c r="AB149" s="14">
        <v>89.5</v>
      </c>
      <c r="AC149" s="15">
        <v>6.4</v>
      </c>
      <c r="AD149" s="6" t="s">
        <v>831</v>
      </c>
    </row>
    <row r="150" spans="1:32">
      <c r="A150" s="8" t="s">
        <v>1050</v>
      </c>
      <c r="B150" s="6" t="s">
        <v>234</v>
      </c>
      <c r="C150" s="6" t="s">
        <v>222</v>
      </c>
      <c r="D150" s="6">
        <v>1000</v>
      </c>
      <c r="E150" s="8">
        <v>5</v>
      </c>
      <c r="F150" s="8">
        <f>24*3600</f>
        <v>86400</v>
      </c>
      <c r="G150" s="9">
        <v>4.6632042652511761E-13</v>
      </c>
      <c r="H150" s="10">
        <f t="shared" si="6"/>
        <v>0.40144780408800429</v>
      </c>
      <c r="I150" s="6">
        <v>5</v>
      </c>
      <c r="L150" s="6">
        <v>1</v>
      </c>
      <c r="M150" s="6">
        <v>0</v>
      </c>
      <c r="N150" s="6">
        <v>0</v>
      </c>
      <c r="O150" s="8">
        <v>0</v>
      </c>
      <c r="P150" s="6">
        <v>65.3</v>
      </c>
      <c r="Q150" s="6">
        <v>0.23</v>
      </c>
      <c r="R150" s="6">
        <v>16.100000000000001</v>
      </c>
      <c r="T150" s="6">
        <v>2.1800000000000002</v>
      </c>
      <c r="V150" s="6">
        <v>0.82</v>
      </c>
      <c r="W150" s="6">
        <v>3.02</v>
      </c>
      <c r="X150" s="6">
        <v>3.66</v>
      </c>
      <c r="Y150" s="6">
        <v>5.15</v>
      </c>
      <c r="Z150" s="6">
        <v>0.34</v>
      </c>
      <c r="AA150" s="6">
        <v>0.03</v>
      </c>
      <c r="AB150" s="6">
        <v>96.79</v>
      </c>
      <c r="AC150" s="6" t="s">
        <v>92</v>
      </c>
    </row>
    <row r="151" spans="1:32">
      <c r="A151" s="8" t="s">
        <v>1050</v>
      </c>
      <c r="B151" s="6" t="s">
        <v>235</v>
      </c>
      <c r="C151" s="6" t="s">
        <v>222</v>
      </c>
      <c r="D151" s="6">
        <v>1000</v>
      </c>
      <c r="E151" s="8">
        <v>15</v>
      </c>
      <c r="F151" s="8">
        <f>24*3600</f>
        <v>86400</v>
      </c>
      <c r="G151" s="9">
        <v>4.6632042652511761E-13</v>
      </c>
      <c r="H151" s="10">
        <f t="shared" si="6"/>
        <v>0.40144780408800429</v>
      </c>
      <c r="I151" s="6">
        <v>10</v>
      </c>
      <c r="L151" s="6">
        <v>1</v>
      </c>
      <c r="M151" s="6">
        <v>0</v>
      </c>
      <c r="N151" s="6">
        <v>0</v>
      </c>
      <c r="O151" s="8">
        <v>0</v>
      </c>
      <c r="P151" s="6">
        <v>64.89</v>
      </c>
      <c r="Q151" s="6">
        <v>0.3</v>
      </c>
      <c r="R151" s="6">
        <v>16.190000000000001</v>
      </c>
      <c r="T151" s="6">
        <v>2.81</v>
      </c>
      <c r="V151" s="6">
        <v>1.02</v>
      </c>
      <c r="W151" s="6">
        <v>4.41</v>
      </c>
      <c r="X151" s="6">
        <v>2.74</v>
      </c>
      <c r="Y151" s="6">
        <v>1.1499999999999999</v>
      </c>
      <c r="Z151" s="6">
        <v>0.47</v>
      </c>
      <c r="AA151" s="6">
        <v>0.04</v>
      </c>
      <c r="AB151" s="6">
        <v>93.98</v>
      </c>
      <c r="AC151" s="6" t="s">
        <v>92</v>
      </c>
    </row>
    <row r="152" spans="1:32">
      <c r="A152" s="8" t="s">
        <v>1050</v>
      </c>
      <c r="B152" s="6" t="s">
        <v>236</v>
      </c>
      <c r="C152" s="6" t="s">
        <v>222</v>
      </c>
      <c r="D152" s="6">
        <v>1000</v>
      </c>
      <c r="E152" s="8">
        <v>15</v>
      </c>
      <c r="F152" s="8">
        <f>24*3600</f>
        <v>86400</v>
      </c>
      <c r="G152" s="9">
        <v>4.6632042652511761E-13</v>
      </c>
      <c r="H152" s="10">
        <f t="shared" si="6"/>
        <v>0.40144780408800429</v>
      </c>
      <c r="I152" s="6">
        <v>10</v>
      </c>
      <c r="L152" s="6">
        <v>1</v>
      </c>
      <c r="M152" s="6">
        <v>0</v>
      </c>
      <c r="N152" s="6">
        <v>0</v>
      </c>
      <c r="O152" s="8">
        <v>0</v>
      </c>
      <c r="P152" s="6">
        <v>60.47</v>
      </c>
      <c r="Q152" s="6">
        <v>0.22</v>
      </c>
      <c r="R152" s="6">
        <v>15.37</v>
      </c>
      <c r="T152" s="6">
        <v>2.02</v>
      </c>
      <c r="V152" s="6">
        <v>0.73</v>
      </c>
      <c r="W152" s="6">
        <v>3.31</v>
      </c>
      <c r="X152" s="6">
        <v>3.23</v>
      </c>
      <c r="Y152" s="6">
        <v>4.49</v>
      </c>
      <c r="Z152" s="6">
        <v>0.45</v>
      </c>
      <c r="AA152" s="6">
        <v>0.05</v>
      </c>
      <c r="AB152" s="6">
        <v>90.28</v>
      </c>
      <c r="AC152" s="6" t="s">
        <v>92</v>
      </c>
    </row>
    <row r="153" spans="1:32">
      <c r="A153" s="8" t="s">
        <v>1050</v>
      </c>
      <c r="B153" s="6" t="s">
        <v>237</v>
      </c>
      <c r="C153" s="6" t="s">
        <v>222</v>
      </c>
      <c r="D153" s="6">
        <v>1000</v>
      </c>
      <c r="E153" s="8">
        <v>15</v>
      </c>
      <c r="F153" s="8">
        <f>24*3600</f>
        <v>86400</v>
      </c>
      <c r="G153" s="9">
        <v>4.6632042652511761E-13</v>
      </c>
      <c r="H153" s="10">
        <f t="shared" si="6"/>
        <v>0.40144780408800429</v>
      </c>
      <c r="I153" s="6">
        <v>10</v>
      </c>
      <c r="L153" s="6">
        <v>1</v>
      </c>
      <c r="M153" s="6">
        <v>0</v>
      </c>
      <c r="N153" s="6">
        <v>0</v>
      </c>
      <c r="O153" s="8">
        <v>0</v>
      </c>
      <c r="P153" s="6">
        <v>59.81</v>
      </c>
      <c r="Q153" s="6">
        <v>0.16</v>
      </c>
      <c r="R153" s="6">
        <v>15.69</v>
      </c>
      <c r="T153" s="6">
        <v>1.38</v>
      </c>
      <c r="V153" s="6">
        <v>0.5</v>
      </c>
      <c r="W153" s="6">
        <v>2.33</v>
      </c>
      <c r="X153" s="6">
        <v>2.31</v>
      </c>
      <c r="Y153" s="6">
        <v>7.64</v>
      </c>
      <c r="Z153" s="6">
        <v>0.32</v>
      </c>
      <c r="AA153" s="6">
        <v>0.05</v>
      </c>
      <c r="AB153" s="6">
        <v>90.12</v>
      </c>
      <c r="AC153" s="6" t="s">
        <v>92</v>
      </c>
    </row>
    <row r="154" spans="1:32">
      <c r="A154" s="8" t="s">
        <v>1047</v>
      </c>
      <c r="B154" s="6" t="s">
        <v>178</v>
      </c>
      <c r="C154" s="8" t="s">
        <v>645</v>
      </c>
      <c r="D154" s="6">
        <v>895</v>
      </c>
      <c r="E154" s="8">
        <v>1</v>
      </c>
      <c r="F154" s="8">
        <f>39*3600</f>
        <v>140400</v>
      </c>
      <c r="G154" s="9">
        <v>1.3383056688201178E-13</v>
      </c>
      <c r="H154" s="10">
        <f t="shared" si="6"/>
        <v>0.2741518673307512</v>
      </c>
      <c r="I154" s="6" t="s">
        <v>41</v>
      </c>
      <c r="L154" s="6">
        <v>1</v>
      </c>
      <c r="M154" s="6">
        <v>1</v>
      </c>
      <c r="N154" s="6">
        <v>1</v>
      </c>
      <c r="O154" s="8">
        <v>1</v>
      </c>
      <c r="P154" s="6">
        <v>68</v>
      </c>
      <c r="Q154" s="6">
        <v>0.61</v>
      </c>
      <c r="R154" s="6">
        <v>15.9</v>
      </c>
      <c r="T154" s="6">
        <v>3.7</v>
      </c>
      <c r="U154" s="6">
        <v>0.11</v>
      </c>
      <c r="V154" s="6">
        <v>0.91</v>
      </c>
      <c r="W154" s="6">
        <v>2.5299999999999998</v>
      </c>
      <c r="X154" s="6">
        <v>5.31</v>
      </c>
      <c r="Y154" s="6">
        <v>2.77</v>
      </c>
      <c r="Z154" s="6">
        <v>0.15</v>
      </c>
      <c r="AA154" s="6">
        <v>0.03</v>
      </c>
      <c r="AB154" s="6">
        <v>94.8</v>
      </c>
      <c r="AC154" s="6">
        <v>4.09</v>
      </c>
      <c r="AD154" s="6" t="s">
        <v>43</v>
      </c>
      <c r="AF154" s="6" t="s">
        <v>1163</v>
      </c>
    </row>
    <row r="155" spans="1:32">
      <c r="A155" s="8" t="s">
        <v>1047</v>
      </c>
      <c r="B155" s="6" t="s">
        <v>179</v>
      </c>
      <c r="C155" s="8" t="s">
        <v>645</v>
      </c>
      <c r="D155" s="6">
        <v>880</v>
      </c>
      <c r="E155" s="8">
        <v>1</v>
      </c>
      <c r="F155" s="8">
        <f>29*3600</f>
        <v>104400</v>
      </c>
      <c r="G155" s="9">
        <v>1.0991297115956369E-13</v>
      </c>
      <c r="H155" s="10">
        <f t="shared" si="6"/>
        <v>0.21424205179243827</v>
      </c>
      <c r="I155" s="6" t="s">
        <v>41</v>
      </c>
      <c r="J155" s="6" t="s">
        <v>180</v>
      </c>
      <c r="K155" s="6">
        <v>79</v>
      </c>
      <c r="L155" s="6">
        <v>1</v>
      </c>
      <c r="M155" s="6">
        <v>1</v>
      </c>
      <c r="N155" s="6">
        <v>1</v>
      </c>
      <c r="O155" s="8">
        <v>1</v>
      </c>
      <c r="P155" s="6">
        <v>71.3</v>
      </c>
      <c r="Q155" s="6">
        <v>0.4</v>
      </c>
      <c r="R155" s="6">
        <v>15.1</v>
      </c>
      <c r="T155" s="6">
        <v>2.44</v>
      </c>
      <c r="U155" s="6">
        <v>0.12</v>
      </c>
      <c r="V155" s="6">
        <v>0.44</v>
      </c>
      <c r="W155" s="6">
        <v>1.65</v>
      </c>
      <c r="X155" s="6">
        <v>5.05</v>
      </c>
      <c r="Y155" s="6">
        <v>3.3</v>
      </c>
      <c r="Z155" s="6">
        <v>0.09</v>
      </c>
      <c r="AA155" s="6">
        <v>0.04</v>
      </c>
      <c r="AB155" s="6">
        <v>95.6</v>
      </c>
      <c r="AC155" s="6">
        <v>4.16</v>
      </c>
      <c r="AD155" s="6" t="s">
        <v>43</v>
      </c>
      <c r="AF155" s="6" t="s">
        <v>1163</v>
      </c>
    </row>
    <row r="156" spans="1:32">
      <c r="A156" s="8" t="s">
        <v>1047</v>
      </c>
      <c r="B156" s="6" t="s">
        <v>181</v>
      </c>
      <c r="C156" s="8" t="s">
        <v>645</v>
      </c>
      <c r="D156" s="6">
        <v>865</v>
      </c>
      <c r="E156" s="8">
        <v>1</v>
      </c>
      <c r="F156" s="8">
        <f>21*3600</f>
        <v>75600</v>
      </c>
      <c r="G156" s="9">
        <v>8.9802567384446949E-14</v>
      </c>
      <c r="H156" s="10">
        <f t="shared" si="6"/>
        <v>0.16479167569102743</v>
      </c>
      <c r="I156" s="6" t="s">
        <v>41</v>
      </c>
      <c r="L156" s="6">
        <v>1</v>
      </c>
      <c r="M156" s="6">
        <v>1</v>
      </c>
      <c r="N156" s="6">
        <v>1</v>
      </c>
      <c r="O156" s="8">
        <v>1</v>
      </c>
      <c r="P156" s="6">
        <v>71.900000000000006</v>
      </c>
      <c r="Q156" s="6">
        <v>0.36</v>
      </c>
      <c r="R156" s="6">
        <v>15</v>
      </c>
      <c r="T156" s="6">
        <v>2.2999999999999998</v>
      </c>
      <c r="U156" s="6">
        <v>0.08</v>
      </c>
      <c r="V156" s="6">
        <v>0.34</v>
      </c>
      <c r="W156" s="6">
        <v>1.51</v>
      </c>
      <c r="X156" s="6">
        <v>5.0599999999999996</v>
      </c>
      <c r="Y156" s="6">
        <v>3.38</v>
      </c>
      <c r="Z156" s="6">
        <v>0.11</v>
      </c>
      <c r="AA156" s="6">
        <v>0.03</v>
      </c>
      <c r="AB156" s="6">
        <v>94.8</v>
      </c>
      <c r="AC156" s="6">
        <v>4.17</v>
      </c>
      <c r="AD156" s="6" t="s">
        <v>43</v>
      </c>
      <c r="AF156" s="6" t="s">
        <v>1163</v>
      </c>
    </row>
    <row r="157" spans="1:32">
      <c r="A157" s="8" t="s">
        <v>1074</v>
      </c>
      <c r="B157" s="6" t="s">
        <v>578</v>
      </c>
      <c r="C157" s="8" t="s">
        <v>574</v>
      </c>
      <c r="D157" s="6">
        <v>825</v>
      </c>
      <c r="E157" s="8">
        <v>5</v>
      </c>
      <c r="F157" s="6">
        <f>4*24*3600</f>
        <v>345600</v>
      </c>
      <c r="G157" s="9">
        <v>5.0996514572634554E-14</v>
      </c>
      <c r="H157" s="10">
        <f t="shared" si="6"/>
        <v>0.26551380707076239</v>
      </c>
      <c r="I157" s="6" t="s">
        <v>41</v>
      </c>
      <c r="J157" s="6" t="s">
        <v>579</v>
      </c>
      <c r="K157" s="6">
        <v>39.200000000000003</v>
      </c>
      <c r="L157" s="6">
        <v>1</v>
      </c>
      <c r="M157" s="6">
        <v>1</v>
      </c>
      <c r="N157" s="6">
        <v>1</v>
      </c>
      <c r="O157" s="6">
        <v>1</v>
      </c>
      <c r="P157" s="6">
        <v>70.099999999999994</v>
      </c>
      <c r="Q157" s="6">
        <v>0.1</v>
      </c>
      <c r="R157" s="6">
        <v>18.399999999999999</v>
      </c>
      <c r="T157" s="6">
        <v>1.56</v>
      </c>
      <c r="V157" s="6">
        <v>0.02</v>
      </c>
      <c r="W157" s="6">
        <v>4.2699999999999996</v>
      </c>
      <c r="X157" s="6">
        <v>4.2</v>
      </c>
      <c r="Y157" s="6">
        <v>1.3</v>
      </c>
      <c r="Z157" s="6">
        <v>0.03</v>
      </c>
      <c r="AB157" s="6">
        <f t="shared" ref="AB157:AB175" si="8">SUM(P157:Z157)</f>
        <v>99.97999999999999</v>
      </c>
      <c r="AC157" s="6">
        <v>10.829000000000001</v>
      </c>
      <c r="AD157" s="6" t="s">
        <v>43</v>
      </c>
    </row>
    <row r="158" spans="1:32">
      <c r="A158" s="8" t="s">
        <v>1074</v>
      </c>
      <c r="B158" s="6" t="s">
        <v>580</v>
      </c>
      <c r="C158" s="8" t="s">
        <v>574</v>
      </c>
      <c r="D158" s="6">
        <v>875</v>
      </c>
      <c r="E158" s="8">
        <v>5</v>
      </c>
      <c r="F158" s="6">
        <f>2*24*3600</f>
        <v>172800</v>
      </c>
      <c r="G158" s="9">
        <v>1.028135457036711E-13</v>
      </c>
      <c r="H158" s="10">
        <f t="shared" si="6"/>
        <v>0.26657967437593111</v>
      </c>
      <c r="I158" s="6" t="s">
        <v>41</v>
      </c>
      <c r="J158" s="6" t="s">
        <v>581</v>
      </c>
      <c r="K158" s="6">
        <v>46.7</v>
      </c>
      <c r="L158" s="6">
        <v>1</v>
      </c>
      <c r="M158" s="6">
        <v>1</v>
      </c>
      <c r="N158" s="6">
        <v>1</v>
      </c>
      <c r="O158" s="6">
        <v>1</v>
      </c>
      <c r="P158" s="6">
        <v>67.3</v>
      </c>
      <c r="Q158" s="6">
        <v>0.2</v>
      </c>
      <c r="R158" s="6">
        <v>19.5</v>
      </c>
      <c r="T158" s="6">
        <v>2.1800000000000002</v>
      </c>
      <c r="V158" s="6">
        <v>0.46</v>
      </c>
      <c r="W158" s="6">
        <v>4.95</v>
      </c>
      <c r="X158" s="6">
        <v>4.2</v>
      </c>
      <c r="Y158" s="6">
        <v>1.1000000000000001</v>
      </c>
      <c r="Z158" s="6">
        <v>0.12</v>
      </c>
      <c r="AB158" s="6">
        <f t="shared" si="8"/>
        <v>100.01</v>
      </c>
      <c r="AC158" s="6">
        <v>10.7127</v>
      </c>
      <c r="AD158" s="6" t="s">
        <v>43</v>
      </c>
    </row>
    <row r="159" spans="1:32">
      <c r="A159" s="8" t="s">
        <v>1074</v>
      </c>
      <c r="B159" s="6" t="s">
        <v>582</v>
      </c>
      <c r="C159" s="8" t="s">
        <v>574</v>
      </c>
      <c r="D159" s="6">
        <v>930</v>
      </c>
      <c r="E159" s="8">
        <v>5</v>
      </c>
      <c r="F159" s="6">
        <f>24*3600</f>
        <v>86400</v>
      </c>
      <c r="G159" s="9">
        <v>2.0786378243721135E-13</v>
      </c>
      <c r="H159" s="10">
        <f t="shared" si="6"/>
        <v>0.26802560178143475</v>
      </c>
      <c r="I159" s="6" t="s">
        <v>41</v>
      </c>
      <c r="J159" s="6" t="s">
        <v>583</v>
      </c>
      <c r="K159" s="6">
        <v>55.9</v>
      </c>
      <c r="L159" s="6">
        <v>1</v>
      </c>
      <c r="M159" s="6">
        <v>1</v>
      </c>
      <c r="N159" s="6">
        <v>1</v>
      </c>
      <c r="O159" s="6">
        <v>1</v>
      </c>
      <c r="P159" s="6">
        <v>63.5</v>
      </c>
      <c r="Q159" s="6">
        <v>0.66</v>
      </c>
      <c r="R159" s="6">
        <v>20.100000000000001</v>
      </c>
      <c r="T159" s="6">
        <v>3.18</v>
      </c>
      <c r="U159" s="6">
        <v>0.13</v>
      </c>
      <c r="V159" s="6">
        <v>0.54</v>
      </c>
      <c r="W159" s="6">
        <v>6.15</v>
      </c>
      <c r="X159" s="6">
        <v>4.3</v>
      </c>
      <c r="Y159" s="6">
        <v>1.1000000000000001</v>
      </c>
      <c r="Z159" s="6">
        <v>0.39</v>
      </c>
      <c r="AB159" s="6">
        <f t="shared" si="8"/>
        <v>100.05</v>
      </c>
      <c r="AC159" s="6">
        <v>10.5055</v>
      </c>
      <c r="AD159" s="6" t="s">
        <v>43</v>
      </c>
    </row>
    <row r="160" spans="1:32">
      <c r="A160" s="8" t="s">
        <v>1074</v>
      </c>
      <c r="B160" s="6" t="s">
        <v>584</v>
      </c>
      <c r="C160" s="8" t="s">
        <v>574</v>
      </c>
      <c r="D160" s="6">
        <v>1000</v>
      </c>
      <c r="E160" s="8">
        <v>5</v>
      </c>
      <c r="F160" s="6">
        <f>75*60</f>
        <v>4500</v>
      </c>
      <c r="G160" s="9">
        <v>4.6632042652511761E-13</v>
      </c>
      <c r="H160" s="10">
        <f t="shared" si="6"/>
        <v>9.1617507483297736E-2</v>
      </c>
      <c r="I160" s="6" t="s">
        <v>41</v>
      </c>
      <c r="J160" s="6" t="s">
        <v>581</v>
      </c>
      <c r="K160" s="6">
        <v>63.3</v>
      </c>
      <c r="L160" s="6">
        <v>1</v>
      </c>
      <c r="M160" s="6">
        <v>1</v>
      </c>
      <c r="N160" s="6">
        <v>1</v>
      </c>
      <c r="O160" s="6">
        <v>1</v>
      </c>
      <c r="P160" s="6">
        <v>62.9</v>
      </c>
      <c r="Q160" s="6">
        <v>0.95</v>
      </c>
      <c r="R160" s="6">
        <v>20.3</v>
      </c>
      <c r="T160" s="6">
        <v>2.5</v>
      </c>
      <c r="U160" s="6">
        <v>0.13</v>
      </c>
      <c r="V160" s="6">
        <v>0.38</v>
      </c>
      <c r="W160" s="6">
        <v>6.74</v>
      </c>
      <c r="X160" s="6">
        <v>4.4000000000000004</v>
      </c>
      <c r="Y160" s="6">
        <v>1.1000000000000001</v>
      </c>
      <c r="Z160" s="6">
        <v>0.57999999999999996</v>
      </c>
      <c r="AB160" s="6">
        <f t="shared" si="8"/>
        <v>99.97999999999999</v>
      </c>
      <c r="AC160" s="6">
        <v>10.3177</v>
      </c>
      <c r="AD160" s="6" t="s">
        <v>43</v>
      </c>
    </row>
    <row r="161" spans="1:32">
      <c r="A161" s="8" t="s">
        <v>1074</v>
      </c>
      <c r="B161" s="6" t="s">
        <v>586</v>
      </c>
      <c r="C161" s="8" t="s">
        <v>574</v>
      </c>
      <c r="D161" s="6">
        <v>825</v>
      </c>
      <c r="E161" s="8">
        <v>5</v>
      </c>
      <c r="F161" s="6">
        <f>4*24*3600</f>
        <v>345600</v>
      </c>
      <c r="G161" s="9">
        <v>5.0996514572634554E-14</v>
      </c>
      <c r="H161" s="10">
        <f t="shared" si="6"/>
        <v>0.26551380707076239</v>
      </c>
      <c r="I161" s="6" t="s">
        <v>41</v>
      </c>
      <c r="J161" s="6" t="s">
        <v>587</v>
      </c>
      <c r="K161" s="6">
        <v>18.3</v>
      </c>
      <c r="L161" s="6">
        <v>1</v>
      </c>
      <c r="M161" s="6">
        <v>1</v>
      </c>
      <c r="N161" s="6">
        <v>1</v>
      </c>
      <c r="O161" s="6">
        <v>1</v>
      </c>
      <c r="P161" s="6">
        <v>72.099999999999994</v>
      </c>
      <c r="Q161" s="6">
        <v>0.2</v>
      </c>
      <c r="R161" s="6">
        <v>17.600000000000001</v>
      </c>
      <c r="T161" s="6">
        <v>1.5</v>
      </c>
      <c r="U161" s="6">
        <v>0.03</v>
      </c>
      <c r="V161" s="6">
        <v>0.2</v>
      </c>
      <c r="W161" s="6">
        <v>4.63</v>
      </c>
      <c r="X161" s="6">
        <v>2.5</v>
      </c>
      <c r="Y161" s="6">
        <v>1.2</v>
      </c>
      <c r="Z161" s="6">
        <v>0.03</v>
      </c>
      <c r="AB161" s="6">
        <f t="shared" si="8"/>
        <v>99.990000000000009</v>
      </c>
      <c r="AC161" s="6">
        <v>10.543799999999999</v>
      </c>
      <c r="AD161" s="6" t="s">
        <v>43</v>
      </c>
    </row>
    <row r="162" spans="1:32">
      <c r="A162" s="8" t="s">
        <v>1074</v>
      </c>
      <c r="B162" s="6" t="s">
        <v>588</v>
      </c>
      <c r="C162" s="8" t="s">
        <v>574</v>
      </c>
      <c r="D162" s="6">
        <v>875</v>
      </c>
      <c r="E162" s="8">
        <v>5</v>
      </c>
      <c r="F162" s="6">
        <f>48*3600</f>
        <v>172800</v>
      </c>
      <c r="G162" s="9">
        <v>1.028135457036711E-13</v>
      </c>
      <c r="H162" s="10">
        <f t="shared" si="6"/>
        <v>0.26657967437593111</v>
      </c>
      <c r="I162" s="6" t="s">
        <v>41</v>
      </c>
      <c r="J162" s="6" t="s">
        <v>589</v>
      </c>
      <c r="K162" s="6">
        <v>24.3</v>
      </c>
      <c r="L162" s="6">
        <v>1</v>
      </c>
      <c r="M162" s="6">
        <v>1</v>
      </c>
      <c r="N162" s="6">
        <v>1</v>
      </c>
      <c r="O162" s="6">
        <v>1</v>
      </c>
      <c r="P162" s="6">
        <v>68.599999999999994</v>
      </c>
      <c r="Q162" s="6">
        <v>0.38</v>
      </c>
      <c r="R162" s="6">
        <v>19</v>
      </c>
      <c r="T162" s="6">
        <v>1.78</v>
      </c>
      <c r="V162" s="6">
        <v>0.4</v>
      </c>
      <c r="W162" s="6">
        <v>6.02</v>
      </c>
      <c r="X162" s="6">
        <v>2.6</v>
      </c>
      <c r="Y162" s="6">
        <v>1</v>
      </c>
      <c r="Z162" s="6">
        <v>0.18</v>
      </c>
      <c r="AB162" s="6">
        <f t="shared" si="8"/>
        <v>99.96</v>
      </c>
      <c r="AC162" s="6">
        <v>10.502700000000001</v>
      </c>
      <c r="AD162" s="6" t="s">
        <v>43</v>
      </c>
    </row>
    <row r="163" spans="1:32">
      <c r="A163" s="8" t="s">
        <v>1074</v>
      </c>
      <c r="B163" s="6" t="s">
        <v>590</v>
      </c>
      <c r="C163" s="8" t="s">
        <v>574</v>
      </c>
      <c r="D163" s="6">
        <v>930</v>
      </c>
      <c r="E163" s="8">
        <v>5</v>
      </c>
      <c r="F163" s="6">
        <f>24*3600</f>
        <v>86400</v>
      </c>
      <c r="G163" s="9">
        <v>2.0786378243721135E-13</v>
      </c>
      <c r="H163" s="10">
        <f t="shared" si="6"/>
        <v>0.26802560178143475</v>
      </c>
      <c r="I163" s="6" t="s">
        <v>41</v>
      </c>
      <c r="J163" s="6" t="s">
        <v>581</v>
      </c>
      <c r="K163" s="6">
        <v>30.5</v>
      </c>
      <c r="L163" s="6">
        <v>1</v>
      </c>
      <c r="M163" s="6">
        <v>1</v>
      </c>
      <c r="N163" s="6">
        <v>1</v>
      </c>
      <c r="O163" s="6">
        <v>1</v>
      </c>
      <c r="P163" s="6">
        <v>65.900000000000006</v>
      </c>
      <c r="Q163" s="6">
        <v>0.54</v>
      </c>
      <c r="R163" s="6">
        <v>19.100000000000001</v>
      </c>
      <c r="T163" s="6">
        <v>2.74</v>
      </c>
      <c r="U163" s="6">
        <v>0.08</v>
      </c>
      <c r="V163" s="6">
        <v>0.61</v>
      </c>
      <c r="W163" s="6">
        <v>6.86</v>
      </c>
      <c r="X163" s="6">
        <v>2.7</v>
      </c>
      <c r="Y163" s="6">
        <v>0.96</v>
      </c>
      <c r="Z163" s="6">
        <v>0.45</v>
      </c>
      <c r="AB163" s="6">
        <f t="shared" si="8"/>
        <v>99.940000000000012</v>
      </c>
      <c r="AC163" s="6">
        <v>10.4102</v>
      </c>
      <c r="AD163" s="6" t="s">
        <v>43</v>
      </c>
    </row>
    <row r="164" spans="1:32">
      <c r="A164" s="8" t="s">
        <v>1074</v>
      </c>
      <c r="B164" s="6" t="s">
        <v>591</v>
      </c>
      <c r="C164" s="8" t="s">
        <v>574</v>
      </c>
      <c r="D164" s="6">
        <v>970</v>
      </c>
      <c r="E164" s="8">
        <v>5</v>
      </c>
      <c r="F164" s="6">
        <f>18.5*3600</f>
        <v>66600</v>
      </c>
      <c r="G164" s="9">
        <v>3.3353027117791065E-13</v>
      </c>
      <c r="H164" s="10">
        <f t="shared" si="6"/>
        <v>0.29808130475055861</v>
      </c>
      <c r="I164" s="6" t="s">
        <v>41</v>
      </c>
      <c r="J164" s="6" t="s">
        <v>592</v>
      </c>
      <c r="K164" s="6">
        <v>34.299999999999997</v>
      </c>
      <c r="L164" s="6">
        <v>1</v>
      </c>
      <c r="M164" s="6">
        <v>1</v>
      </c>
      <c r="N164" s="6">
        <v>1</v>
      </c>
      <c r="O164" s="6">
        <v>1</v>
      </c>
      <c r="P164" s="6">
        <v>64.3</v>
      </c>
      <c r="Q164" s="6">
        <v>0.71</v>
      </c>
      <c r="R164" s="6">
        <v>19.399999999999999</v>
      </c>
      <c r="T164" s="6">
        <v>3.3</v>
      </c>
      <c r="V164" s="6">
        <v>0.93</v>
      </c>
      <c r="W164" s="6">
        <v>7.14</v>
      </c>
      <c r="X164" s="6">
        <v>2.8</v>
      </c>
      <c r="Y164" s="6">
        <v>0.92</v>
      </c>
      <c r="Z164" s="6">
        <v>0.5</v>
      </c>
      <c r="AB164" s="6">
        <f t="shared" si="8"/>
        <v>100</v>
      </c>
      <c r="AC164" s="6">
        <v>10.212999999999999</v>
      </c>
      <c r="AD164" s="6" t="s">
        <v>43</v>
      </c>
    </row>
    <row r="165" spans="1:32">
      <c r="A165" s="8" t="s">
        <v>1074</v>
      </c>
      <c r="B165" s="6" t="s">
        <v>593</v>
      </c>
      <c r="C165" s="8" t="s">
        <v>574</v>
      </c>
      <c r="D165" s="6">
        <v>1000</v>
      </c>
      <c r="E165" s="8">
        <v>5</v>
      </c>
      <c r="F165" s="6">
        <f>75*60</f>
        <v>4500</v>
      </c>
      <c r="G165" s="9">
        <v>4.6632042652511761E-13</v>
      </c>
      <c r="H165" s="10">
        <f t="shared" si="6"/>
        <v>9.1617507483297736E-2</v>
      </c>
      <c r="I165" s="6" t="s">
        <v>41</v>
      </c>
      <c r="J165" s="6" t="s">
        <v>581</v>
      </c>
      <c r="K165" s="6">
        <v>36</v>
      </c>
      <c r="L165" s="6">
        <v>1</v>
      </c>
      <c r="M165" s="6">
        <v>1</v>
      </c>
      <c r="N165" s="6">
        <v>1</v>
      </c>
      <c r="O165" s="6">
        <v>1</v>
      </c>
      <c r="P165" s="6">
        <v>61.5</v>
      </c>
      <c r="Q165" s="6">
        <v>1.1499999999999999</v>
      </c>
      <c r="R165" s="6">
        <v>20.2</v>
      </c>
      <c r="T165" s="6">
        <v>3.68</v>
      </c>
      <c r="U165" s="6">
        <v>0.11</v>
      </c>
      <c r="V165" s="6">
        <v>1.04</v>
      </c>
      <c r="W165" s="6">
        <v>8.08</v>
      </c>
      <c r="X165" s="6">
        <v>3</v>
      </c>
      <c r="Y165" s="6">
        <v>0.89</v>
      </c>
      <c r="Z165" s="6">
        <v>0.4</v>
      </c>
      <c r="AB165" s="6">
        <f t="shared" si="8"/>
        <v>100.05000000000001</v>
      </c>
      <c r="AC165" s="6">
        <v>9.9775600000000004</v>
      </c>
      <c r="AD165" s="6" t="s">
        <v>43</v>
      </c>
    </row>
    <row r="166" spans="1:32">
      <c r="A166" s="8" t="s">
        <v>1074</v>
      </c>
      <c r="B166" s="6" t="s">
        <v>594</v>
      </c>
      <c r="C166" s="8" t="s">
        <v>574</v>
      </c>
      <c r="D166" s="6">
        <v>1015</v>
      </c>
      <c r="E166" s="8">
        <v>5</v>
      </c>
      <c r="F166" s="6">
        <f>75*60</f>
        <v>4500</v>
      </c>
      <c r="G166" s="9">
        <v>5.4817185870866193E-13</v>
      </c>
      <c r="H166" s="10">
        <f t="shared" si="6"/>
        <v>9.9333244469089574E-2</v>
      </c>
      <c r="I166" s="6" t="s">
        <v>41</v>
      </c>
      <c r="J166" s="6" t="s">
        <v>595</v>
      </c>
      <c r="K166" s="6">
        <v>39.799999999999997</v>
      </c>
      <c r="L166" s="6">
        <v>1</v>
      </c>
      <c r="M166" s="6">
        <v>1</v>
      </c>
      <c r="N166" s="6">
        <v>1</v>
      </c>
      <c r="O166" s="6">
        <v>1</v>
      </c>
      <c r="P166" s="6">
        <v>60.5</v>
      </c>
      <c r="Q166" s="6">
        <v>1.26</v>
      </c>
      <c r="R166" s="6">
        <v>20</v>
      </c>
      <c r="T166" s="6">
        <v>4.1500000000000004</v>
      </c>
      <c r="U166" s="6">
        <v>0.12</v>
      </c>
      <c r="V166" s="6">
        <v>1.1000000000000001</v>
      </c>
      <c r="W166" s="6">
        <v>8.41</v>
      </c>
      <c r="X166" s="6">
        <v>3.2</v>
      </c>
      <c r="Y166" s="6">
        <v>0.84</v>
      </c>
      <c r="Z166" s="6">
        <v>0.44</v>
      </c>
      <c r="AB166" s="6">
        <f t="shared" si="8"/>
        <v>100.02</v>
      </c>
      <c r="AC166" s="6">
        <v>10.0724</v>
      </c>
      <c r="AD166" s="6" t="s">
        <v>43</v>
      </c>
    </row>
    <row r="167" spans="1:32">
      <c r="A167" s="8" t="s">
        <v>1074</v>
      </c>
      <c r="B167" s="6" t="s">
        <v>596</v>
      </c>
      <c r="C167" s="8" t="s">
        <v>574</v>
      </c>
      <c r="D167" s="6">
        <v>1045</v>
      </c>
      <c r="E167" s="8">
        <v>5</v>
      </c>
      <c r="F167" s="6">
        <f>75*60</f>
        <v>4500</v>
      </c>
      <c r="G167" s="9">
        <v>7.4917977442685594E-13</v>
      </c>
      <c r="H167" s="10">
        <f t="shared" si="6"/>
        <v>0.11612594860617245</v>
      </c>
      <c r="I167" s="6" t="s">
        <v>41</v>
      </c>
      <c r="J167" s="6" t="s">
        <v>597</v>
      </c>
      <c r="K167" s="6">
        <v>55.3</v>
      </c>
      <c r="L167" s="6">
        <v>1</v>
      </c>
      <c r="M167" s="6">
        <v>1</v>
      </c>
      <c r="N167" s="6">
        <v>1</v>
      </c>
      <c r="O167" s="6">
        <v>1</v>
      </c>
      <c r="P167" s="6">
        <v>55.5</v>
      </c>
      <c r="Q167" s="6">
        <v>2.21</v>
      </c>
      <c r="R167" s="6">
        <v>17.3</v>
      </c>
      <c r="T167" s="6">
        <v>8.4600000000000009</v>
      </c>
      <c r="U167" s="6">
        <v>0.14000000000000001</v>
      </c>
      <c r="V167" s="6">
        <v>3.36</v>
      </c>
      <c r="W167" s="6">
        <v>9.25</v>
      </c>
      <c r="X167" s="6">
        <v>2.8</v>
      </c>
      <c r="Y167" s="6">
        <v>0.71</v>
      </c>
      <c r="Z167" s="6">
        <v>0.28000000000000003</v>
      </c>
      <c r="AB167" s="6">
        <f t="shared" si="8"/>
        <v>100.00999999999999</v>
      </c>
      <c r="AC167" s="6">
        <v>10.055199999999999</v>
      </c>
      <c r="AD167" s="6" t="s">
        <v>43</v>
      </c>
    </row>
    <row r="168" spans="1:32">
      <c r="A168" s="8" t="s">
        <v>1074</v>
      </c>
      <c r="B168" s="6" t="s">
        <v>600</v>
      </c>
      <c r="C168" s="8" t="s">
        <v>574</v>
      </c>
      <c r="D168" s="6">
        <v>825</v>
      </c>
      <c r="E168" s="8">
        <v>5</v>
      </c>
      <c r="F168" s="8">
        <f>4*3600*24</f>
        <v>345600</v>
      </c>
      <c r="G168" s="9">
        <v>5.0996514572634554E-14</v>
      </c>
      <c r="H168" s="10">
        <f t="shared" si="6"/>
        <v>0.26551380707076239</v>
      </c>
      <c r="I168" s="6" t="s">
        <v>41</v>
      </c>
      <c r="J168" s="6" t="s">
        <v>599</v>
      </c>
      <c r="K168" s="6">
        <v>15.2</v>
      </c>
      <c r="L168" s="6">
        <v>1</v>
      </c>
      <c r="M168" s="6">
        <v>1</v>
      </c>
      <c r="N168" s="6">
        <v>1</v>
      </c>
      <c r="O168" s="6">
        <v>1</v>
      </c>
      <c r="P168" s="6">
        <v>72.5</v>
      </c>
      <c r="Q168" s="6">
        <v>0.08</v>
      </c>
      <c r="R168" s="6">
        <v>17.3</v>
      </c>
      <c r="T168" s="6">
        <v>1.19</v>
      </c>
      <c r="V168" s="6">
        <v>0.12</v>
      </c>
      <c r="W168" s="6">
        <v>4.46</v>
      </c>
      <c r="X168" s="6">
        <v>3</v>
      </c>
      <c r="Y168" s="6">
        <v>1.4</v>
      </c>
      <c r="Z168" s="6">
        <v>0.03</v>
      </c>
      <c r="AB168" s="6">
        <f t="shared" si="8"/>
        <v>100.08</v>
      </c>
      <c r="AC168" s="6">
        <v>10.762</v>
      </c>
      <c r="AD168" s="6" t="s">
        <v>43</v>
      </c>
    </row>
    <row r="169" spans="1:32">
      <c r="A169" s="8" t="s">
        <v>1074</v>
      </c>
      <c r="B169" s="6" t="s">
        <v>601</v>
      </c>
      <c r="C169" s="8" t="s">
        <v>574</v>
      </c>
      <c r="D169" s="6">
        <v>925</v>
      </c>
      <c r="E169" s="8">
        <v>5</v>
      </c>
      <c r="F169" s="6">
        <f>24*3600</f>
        <v>86400</v>
      </c>
      <c r="G169" s="9">
        <v>1.9549928676947054E-13</v>
      </c>
      <c r="H169" s="10">
        <f t="shared" si="6"/>
        <v>0.25993182473011844</v>
      </c>
      <c r="I169" s="6" t="s">
        <v>41</v>
      </c>
      <c r="J169" s="6" t="s">
        <v>602</v>
      </c>
      <c r="K169" s="6">
        <v>29.7</v>
      </c>
      <c r="L169" s="6">
        <v>1</v>
      </c>
      <c r="M169" s="6">
        <v>1</v>
      </c>
      <c r="N169" s="6">
        <v>1</v>
      </c>
      <c r="O169" s="6">
        <v>1</v>
      </c>
      <c r="P169" s="6">
        <v>66</v>
      </c>
      <c r="Q169" s="6">
        <v>0.44</v>
      </c>
      <c r="R169" s="6">
        <v>19.899999999999999</v>
      </c>
      <c r="T169" s="6">
        <v>1.37</v>
      </c>
      <c r="U169" s="6">
        <v>0.09</v>
      </c>
      <c r="V169" s="6">
        <v>0.99</v>
      </c>
      <c r="W169" s="6">
        <v>6.6</v>
      </c>
      <c r="X169" s="6">
        <v>3.4</v>
      </c>
      <c r="Y169" s="6">
        <v>1.08</v>
      </c>
      <c r="Z169" s="6">
        <v>0.38</v>
      </c>
      <c r="AB169" s="6">
        <f t="shared" si="8"/>
        <v>100.25</v>
      </c>
      <c r="AC169" s="6">
        <v>10.56</v>
      </c>
      <c r="AD169" s="6" t="s">
        <v>43</v>
      </c>
    </row>
    <row r="170" spans="1:32">
      <c r="A170" s="8" t="s">
        <v>1074</v>
      </c>
      <c r="B170" s="6" t="s">
        <v>603</v>
      </c>
      <c r="C170" s="8" t="s">
        <v>574</v>
      </c>
      <c r="D170" s="6">
        <v>1000</v>
      </c>
      <c r="E170" s="8">
        <v>5</v>
      </c>
      <c r="F170" s="6">
        <f>75*60</f>
        <v>4500</v>
      </c>
      <c r="G170" s="9">
        <v>4.6632042652511761E-13</v>
      </c>
      <c r="H170" s="10">
        <f t="shared" si="6"/>
        <v>9.1617507483297736E-2</v>
      </c>
      <c r="I170" s="6" t="s">
        <v>41</v>
      </c>
      <c r="J170" s="6" t="s">
        <v>604</v>
      </c>
      <c r="K170" s="6">
        <v>48.8</v>
      </c>
      <c r="L170" s="6">
        <v>1</v>
      </c>
      <c r="M170" s="6">
        <v>1</v>
      </c>
      <c r="N170" s="6">
        <v>1</v>
      </c>
      <c r="O170" s="6">
        <v>1</v>
      </c>
      <c r="P170" s="6">
        <v>57.3</v>
      </c>
      <c r="Q170" s="6">
        <v>0.46</v>
      </c>
      <c r="R170" s="6">
        <v>21.8</v>
      </c>
      <c r="T170" s="6">
        <v>3.7</v>
      </c>
      <c r="U170" s="6">
        <v>0.13</v>
      </c>
      <c r="V170" s="6">
        <v>4.5999999999999996</v>
      </c>
      <c r="W170" s="6">
        <v>7</v>
      </c>
      <c r="X170" s="6">
        <v>3.7</v>
      </c>
      <c r="Y170" s="6">
        <v>0.98</v>
      </c>
      <c r="Z170" s="6">
        <v>0.3</v>
      </c>
      <c r="AB170" s="6">
        <f t="shared" si="8"/>
        <v>99.97</v>
      </c>
      <c r="AC170" s="6">
        <v>10.532500000000001</v>
      </c>
      <c r="AD170" s="6" t="s">
        <v>43</v>
      </c>
    </row>
    <row r="171" spans="1:32">
      <c r="A171" s="8" t="s">
        <v>1074</v>
      </c>
      <c r="B171" s="6" t="s">
        <v>605</v>
      </c>
      <c r="C171" s="8" t="s">
        <v>574</v>
      </c>
      <c r="D171" s="6">
        <v>825</v>
      </c>
      <c r="E171" s="8">
        <v>5</v>
      </c>
      <c r="F171" s="6">
        <f>5*24*3600</f>
        <v>432000</v>
      </c>
      <c r="G171" s="9">
        <v>5.0996514572634554E-14</v>
      </c>
      <c r="H171" s="10">
        <f t="shared" si="6"/>
        <v>0.29685346078749447</v>
      </c>
      <c r="I171" s="6" t="s">
        <v>41</v>
      </c>
      <c r="J171" s="6" t="s">
        <v>606</v>
      </c>
      <c r="K171" s="6">
        <v>20.6</v>
      </c>
      <c r="L171" s="6">
        <v>1</v>
      </c>
      <c r="M171" s="6">
        <v>1</v>
      </c>
      <c r="N171" s="6">
        <v>1</v>
      </c>
      <c r="O171" s="6">
        <v>1</v>
      </c>
      <c r="P171" s="6">
        <v>69.2</v>
      </c>
      <c r="Q171" s="6">
        <v>0.2</v>
      </c>
      <c r="R171" s="6">
        <v>17.8</v>
      </c>
      <c r="T171" s="6">
        <v>1.06</v>
      </c>
      <c r="V171" s="6">
        <v>0.1</v>
      </c>
      <c r="W171" s="6">
        <v>4.3499999999999996</v>
      </c>
      <c r="X171" s="6">
        <v>5.2</v>
      </c>
      <c r="Y171" s="6">
        <v>2.1</v>
      </c>
      <c r="Z171" s="6">
        <v>0.03</v>
      </c>
      <c r="AB171" s="6">
        <f t="shared" si="8"/>
        <v>100.03999999999999</v>
      </c>
      <c r="AC171" s="6">
        <v>11.3484</v>
      </c>
      <c r="AD171" s="6" t="s">
        <v>43</v>
      </c>
    </row>
    <row r="172" spans="1:32">
      <c r="A172" s="8" t="s">
        <v>1074</v>
      </c>
      <c r="B172" s="6" t="s">
        <v>607</v>
      </c>
      <c r="C172" s="8" t="s">
        <v>574</v>
      </c>
      <c r="D172" s="6">
        <v>875</v>
      </c>
      <c r="E172" s="8">
        <v>5</v>
      </c>
      <c r="F172" s="6">
        <f>48*3600</f>
        <v>172800</v>
      </c>
      <c r="G172" s="9">
        <v>1.028135457036711E-13</v>
      </c>
      <c r="H172" s="10">
        <f t="shared" si="6"/>
        <v>0.26657967437593111</v>
      </c>
      <c r="I172" s="6" t="s">
        <v>41</v>
      </c>
      <c r="J172" s="6" t="s">
        <v>608</v>
      </c>
      <c r="K172" s="6">
        <v>25.1</v>
      </c>
      <c r="L172" s="6">
        <v>1</v>
      </c>
      <c r="M172" s="6">
        <v>1</v>
      </c>
      <c r="N172" s="6">
        <v>1</v>
      </c>
      <c r="O172" s="6">
        <v>1</v>
      </c>
      <c r="P172" s="6">
        <v>66.099999999999994</v>
      </c>
      <c r="Q172" s="6">
        <v>0.37</v>
      </c>
      <c r="R172" s="6">
        <v>19.3</v>
      </c>
      <c r="T172" s="6">
        <v>1.45</v>
      </c>
      <c r="U172" s="6">
        <v>0.06</v>
      </c>
      <c r="V172" s="6">
        <v>0.32</v>
      </c>
      <c r="W172" s="6">
        <v>5.08</v>
      </c>
      <c r="X172" s="6">
        <v>5.2</v>
      </c>
      <c r="Y172" s="6">
        <v>2</v>
      </c>
      <c r="Z172" s="6">
        <v>0.16</v>
      </c>
      <c r="AB172" s="6">
        <f t="shared" si="8"/>
        <v>100.03999999999999</v>
      </c>
      <c r="AC172" s="6">
        <v>11.1235</v>
      </c>
      <c r="AD172" s="6" t="s">
        <v>43</v>
      </c>
    </row>
    <row r="173" spans="1:32">
      <c r="A173" s="8" t="s">
        <v>1074</v>
      </c>
      <c r="B173" s="6" t="s">
        <v>609</v>
      </c>
      <c r="C173" s="8" t="s">
        <v>574</v>
      </c>
      <c r="D173" s="6">
        <v>930</v>
      </c>
      <c r="E173" s="8">
        <v>5</v>
      </c>
      <c r="F173" s="6">
        <f>24*3600</f>
        <v>86400</v>
      </c>
      <c r="G173" s="9">
        <v>2.0786378243721135E-13</v>
      </c>
      <c r="H173" s="10">
        <f t="shared" si="6"/>
        <v>0.26802560178143475</v>
      </c>
      <c r="I173" s="6" t="s">
        <v>41</v>
      </c>
      <c r="J173" s="6" t="s">
        <v>608</v>
      </c>
      <c r="K173" s="6">
        <v>29.6</v>
      </c>
      <c r="L173" s="6">
        <v>1</v>
      </c>
      <c r="M173" s="6">
        <v>1</v>
      </c>
      <c r="N173" s="6">
        <v>1</v>
      </c>
      <c r="O173" s="6">
        <v>1</v>
      </c>
      <c r="P173" s="6">
        <v>64.5</v>
      </c>
      <c r="Q173" s="6">
        <v>0.42</v>
      </c>
      <c r="R173" s="6">
        <v>20.7</v>
      </c>
      <c r="T173" s="6">
        <v>1.86</v>
      </c>
      <c r="U173" s="6">
        <v>0.08</v>
      </c>
      <c r="V173" s="6">
        <v>0.46</v>
      </c>
      <c r="W173" s="6">
        <v>5.09</v>
      </c>
      <c r="X173" s="6">
        <v>4.7</v>
      </c>
      <c r="Y173" s="6">
        <v>1.9</v>
      </c>
      <c r="Z173" s="6">
        <v>0.34</v>
      </c>
      <c r="AB173" s="6">
        <f t="shared" si="8"/>
        <v>100.05000000000001</v>
      </c>
      <c r="AC173" s="6">
        <v>10.632199999999999</v>
      </c>
      <c r="AD173" s="6" t="s">
        <v>43</v>
      </c>
    </row>
    <row r="174" spans="1:32">
      <c r="A174" s="8" t="s">
        <v>1074</v>
      </c>
      <c r="B174" s="6" t="s">
        <v>610</v>
      </c>
      <c r="C174" s="8" t="s">
        <v>574</v>
      </c>
      <c r="D174" s="6">
        <v>970</v>
      </c>
      <c r="E174" s="8">
        <v>5</v>
      </c>
      <c r="F174" s="6">
        <f>18.5*3600</f>
        <v>66600</v>
      </c>
      <c r="G174" s="9">
        <v>3.3353027117791065E-13</v>
      </c>
      <c r="H174" s="10">
        <f t="shared" si="6"/>
        <v>0.29808130475055861</v>
      </c>
      <c r="I174" s="6" t="s">
        <v>41</v>
      </c>
      <c r="J174" s="6" t="s">
        <v>592</v>
      </c>
      <c r="K174" s="6">
        <v>31.1</v>
      </c>
      <c r="L174" s="6">
        <v>1</v>
      </c>
      <c r="M174" s="6">
        <v>1</v>
      </c>
      <c r="N174" s="6">
        <v>1</v>
      </c>
      <c r="O174" s="6">
        <v>1</v>
      </c>
      <c r="P174" s="6">
        <v>62</v>
      </c>
      <c r="Q174" s="6">
        <v>0.66</v>
      </c>
      <c r="R174" s="6">
        <v>21</v>
      </c>
      <c r="T174" s="6">
        <v>2.69</v>
      </c>
      <c r="V174" s="6">
        <v>0.69</v>
      </c>
      <c r="W174" s="6">
        <v>5.45</v>
      </c>
      <c r="X174" s="6">
        <v>4.8</v>
      </c>
      <c r="Y174" s="6">
        <v>1.9</v>
      </c>
      <c r="Z174" s="6">
        <v>0.74</v>
      </c>
      <c r="AB174" s="6">
        <f t="shared" si="8"/>
        <v>99.929999999999993</v>
      </c>
      <c r="AC174" s="6">
        <v>10.379300000000001</v>
      </c>
      <c r="AD174" s="6" t="s">
        <v>43</v>
      </c>
    </row>
    <row r="175" spans="1:32">
      <c r="A175" s="8" t="s">
        <v>1074</v>
      </c>
      <c r="B175" s="6" t="s">
        <v>611</v>
      </c>
      <c r="C175" s="8" t="s">
        <v>574</v>
      </c>
      <c r="D175" s="6">
        <v>1000</v>
      </c>
      <c r="E175" s="8">
        <v>5</v>
      </c>
      <c r="F175" s="6">
        <f>75*60</f>
        <v>4500</v>
      </c>
      <c r="G175" s="9">
        <v>4.6632042652511761E-13</v>
      </c>
      <c r="H175" s="10">
        <f t="shared" si="6"/>
        <v>9.1617507483297736E-2</v>
      </c>
      <c r="I175" s="6" t="s">
        <v>41</v>
      </c>
      <c r="J175" s="6" t="s">
        <v>581</v>
      </c>
      <c r="K175" s="6">
        <v>31.4</v>
      </c>
      <c r="L175" s="6">
        <v>1</v>
      </c>
      <c r="M175" s="6">
        <v>1</v>
      </c>
      <c r="N175" s="6">
        <v>1</v>
      </c>
      <c r="O175" s="6">
        <v>1</v>
      </c>
      <c r="P175" s="6">
        <v>60.2</v>
      </c>
      <c r="Q175" s="6">
        <v>0.72</v>
      </c>
      <c r="R175" s="6">
        <v>20.7</v>
      </c>
      <c r="T175" s="6">
        <v>3.23</v>
      </c>
      <c r="U175" s="6">
        <v>0.12</v>
      </c>
      <c r="V175" s="6">
        <v>0.78</v>
      </c>
      <c r="W175" s="6">
        <v>6.33</v>
      </c>
      <c r="X175" s="6">
        <v>5.6</v>
      </c>
      <c r="Y175" s="6">
        <v>1.8</v>
      </c>
      <c r="Z175" s="6">
        <v>0.47</v>
      </c>
      <c r="AB175" s="6">
        <f t="shared" si="8"/>
        <v>99.95</v>
      </c>
      <c r="AC175" s="6">
        <v>10.5783</v>
      </c>
      <c r="AD175" s="6" t="s">
        <v>43</v>
      </c>
    </row>
    <row r="176" spans="1:32">
      <c r="A176" s="8" t="s">
        <v>1100</v>
      </c>
      <c r="B176" s="6" t="s">
        <v>938</v>
      </c>
      <c r="C176" s="8" t="s">
        <v>574</v>
      </c>
      <c r="D176" s="6">
        <v>800</v>
      </c>
      <c r="E176" s="6">
        <v>5</v>
      </c>
      <c r="F176" s="11">
        <f>20*24*3600</f>
        <v>1728000</v>
      </c>
      <c r="G176" s="9">
        <v>3.5046513928104248E-14</v>
      </c>
      <c r="H176" s="10">
        <f t="shared" si="6"/>
        <v>0.49218035746162869</v>
      </c>
      <c r="I176" s="13">
        <v>1</v>
      </c>
      <c r="J176" s="6" t="s">
        <v>939</v>
      </c>
      <c r="K176" s="6">
        <v>15</v>
      </c>
      <c r="L176" s="6">
        <v>1</v>
      </c>
      <c r="M176" s="6">
        <v>1</v>
      </c>
      <c r="N176" s="6">
        <v>1</v>
      </c>
      <c r="O176" s="6">
        <v>1</v>
      </c>
      <c r="P176" s="6">
        <v>75.260000000000005</v>
      </c>
      <c r="Q176" s="6">
        <v>0.14000000000000001</v>
      </c>
      <c r="R176" s="6">
        <v>14.05</v>
      </c>
      <c r="S176" s="14"/>
      <c r="T176" s="6">
        <v>1.27</v>
      </c>
      <c r="V176" s="6">
        <v>0.23</v>
      </c>
      <c r="W176" s="6">
        <v>0.63</v>
      </c>
      <c r="X176" s="6">
        <v>2.69</v>
      </c>
      <c r="Y176" s="6">
        <v>5.36</v>
      </c>
      <c r="Z176" s="6">
        <v>0.27</v>
      </c>
      <c r="AC176" s="15">
        <v>4.8</v>
      </c>
      <c r="AD176" s="14" t="s">
        <v>1119</v>
      </c>
      <c r="AF176" s="6" t="s">
        <v>1180</v>
      </c>
    </row>
    <row r="177" spans="1:32">
      <c r="A177" s="8" t="s">
        <v>1100</v>
      </c>
      <c r="B177" s="6" t="s">
        <v>940</v>
      </c>
      <c r="C177" s="8" t="s">
        <v>574</v>
      </c>
      <c r="D177" s="6">
        <v>800</v>
      </c>
      <c r="E177" s="6">
        <v>5</v>
      </c>
      <c r="F177" s="11">
        <f>20*24*3600</f>
        <v>1728000</v>
      </c>
      <c r="G177" s="9">
        <v>3.5046513928104248E-14</v>
      </c>
      <c r="H177" s="10">
        <f t="shared" si="6"/>
        <v>0.49218035746162869</v>
      </c>
      <c r="I177" s="13">
        <v>2.0099999999999998</v>
      </c>
      <c r="J177" s="6" t="s">
        <v>939</v>
      </c>
      <c r="K177" s="6">
        <v>25</v>
      </c>
      <c r="L177" s="6">
        <v>1</v>
      </c>
      <c r="M177" s="6">
        <v>1</v>
      </c>
      <c r="N177" s="6">
        <v>1</v>
      </c>
      <c r="O177" s="6">
        <v>1</v>
      </c>
      <c r="P177" s="6">
        <v>75.569999999999993</v>
      </c>
      <c r="Q177" s="6">
        <v>0.16</v>
      </c>
      <c r="R177" s="6">
        <v>13.86</v>
      </c>
      <c r="S177" s="14"/>
      <c r="T177" s="6">
        <v>1.4</v>
      </c>
      <c r="V177" s="6">
        <v>0.22</v>
      </c>
      <c r="W177" s="6">
        <v>0.71</v>
      </c>
      <c r="X177" s="6">
        <v>2.92</v>
      </c>
      <c r="Y177" s="6">
        <v>4.97</v>
      </c>
      <c r="Z177" s="6">
        <v>0.19</v>
      </c>
      <c r="AC177" s="15">
        <v>5.2</v>
      </c>
      <c r="AD177" s="14" t="s">
        <v>1119</v>
      </c>
      <c r="AF177" s="6" t="s">
        <v>1180</v>
      </c>
    </row>
    <row r="178" spans="1:32">
      <c r="A178" s="8" t="s">
        <v>1100</v>
      </c>
      <c r="B178" s="6" t="s">
        <v>941</v>
      </c>
      <c r="C178" s="8" t="s">
        <v>574</v>
      </c>
      <c r="D178" s="6">
        <v>800</v>
      </c>
      <c r="E178" s="6">
        <v>5</v>
      </c>
      <c r="F178" s="11">
        <f>10*24*3600</f>
        <v>864000</v>
      </c>
      <c r="G178" s="9">
        <v>3.5046513928104248E-14</v>
      </c>
      <c r="H178" s="10">
        <f t="shared" si="6"/>
        <v>0.34802406832793659</v>
      </c>
      <c r="I178" s="13">
        <v>2.86</v>
      </c>
      <c r="J178" s="6" t="s">
        <v>942</v>
      </c>
      <c r="K178" s="6">
        <v>50</v>
      </c>
      <c r="L178" s="6">
        <v>1</v>
      </c>
      <c r="M178" s="6">
        <v>1</v>
      </c>
      <c r="N178" s="6">
        <v>1</v>
      </c>
      <c r="O178" s="6">
        <v>1</v>
      </c>
      <c r="P178" s="6">
        <v>75.680000000000007</v>
      </c>
      <c r="Q178" s="6">
        <v>0.14000000000000001</v>
      </c>
      <c r="R178" s="6">
        <v>13.82</v>
      </c>
      <c r="S178" s="14"/>
      <c r="T178" s="6">
        <v>1.66</v>
      </c>
      <c r="V178" s="6">
        <v>0.23</v>
      </c>
      <c r="W178" s="6">
        <v>0.96</v>
      </c>
      <c r="X178" s="6">
        <v>2.85</v>
      </c>
      <c r="Y178" s="6">
        <v>4.45</v>
      </c>
      <c r="Z178" s="6">
        <v>0.21</v>
      </c>
      <c r="AC178" s="15">
        <v>6.4</v>
      </c>
      <c r="AD178" s="14" t="s">
        <v>1119</v>
      </c>
      <c r="AF178" s="6" t="s">
        <v>1180</v>
      </c>
    </row>
    <row r="179" spans="1:32">
      <c r="A179" s="8" t="s">
        <v>1100</v>
      </c>
      <c r="B179" s="6" t="s">
        <v>943</v>
      </c>
      <c r="C179" s="8" t="s">
        <v>574</v>
      </c>
      <c r="D179" s="6">
        <v>800</v>
      </c>
      <c r="E179" s="6">
        <v>5</v>
      </c>
      <c r="F179" s="11">
        <f>20*24*3600</f>
        <v>1728000</v>
      </c>
      <c r="G179" s="9">
        <v>3.5046513928104248E-14</v>
      </c>
      <c r="H179" s="10">
        <f t="shared" si="6"/>
        <v>0.49218035746162869</v>
      </c>
      <c r="I179" s="13">
        <v>5.03</v>
      </c>
      <c r="J179" s="6" t="s">
        <v>944</v>
      </c>
      <c r="K179" s="6">
        <v>60</v>
      </c>
      <c r="L179" s="6">
        <v>1</v>
      </c>
      <c r="M179" s="6">
        <v>1</v>
      </c>
      <c r="N179" s="6">
        <v>1</v>
      </c>
      <c r="O179" s="6">
        <v>1</v>
      </c>
      <c r="P179" s="6">
        <v>74.75</v>
      </c>
      <c r="Q179" s="6">
        <v>0.16</v>
      </c>
      <c r="R179" s="6">
        <v>14.59</v>
      </c>
      <c r="S179" s="14"/>
      <c r="T179" s="6">
        <v>1.96</v>
      </c>
      <c r="V179" s="6">
        <v>0.36</v>
      </c>
      <c r="W179" s="6">
        <v>1.59</v>
      </c>
      <c r="X179" s="6">
        <v>2.8</v>
      </c>
      <c r="Y179" s="6">
        <v>3.52</v>
      </c>
      <c r="Z179" s="6">
        <v>0.27</v>
      </c>
      <c r="AC179" s="15">
        <v>7.7</v>
      </c>
      <c r="AD179" s="14" t="s">
        <v>1119</v>
      </c>
      <c r="AF179" s="6" t="s">
        <v>1180</v>
      </c>
    </row>
    <row r="180" spans="1:32">
      <c r="A180" s="8" t="s">
        <v>1100</v>
      </c>
      <c r="B180" s="6" t="s">
        <v>945</v>
      </c>
      <c r="C180" s="8" t="s">
        <v>574</v>
      </c>
      <c r="D180" s="6">
        <v>750</v>
      </c>
      <c r="E180" s="6">
        <v>5</v>
      </c>
      <c r="F180" s="11">
        <f>10*24*3600</f>
        <v>864000</v>
      </c>
      <c r="G180" s="9">
        <v>1.5666500344126923E-14</v>
      </c>
      <c r="H180" s="10">
        <f t="shared" si="6"/>
        <v>0.23268739800277677</v>
      </c>
      <c r="I180" s="13">
        <v>2</v>
      </c>
      <c r="J180" s="6" t="s">
        <v>939</v>
      </c>
      <c r="K180" s="6">
        <v>20</v>
      </c>
      <c r="L180" s="6">
        <v>1</v>
      </c>
      <c r="M180" s="6">
        <v>1</v>
      </c>
      <c r="N180" s="6">
        <v>1</v>
      </c>
      <c r="O180" s="6">
        <v>1</v>
      </c>
      <c r="P180" s="6">
        <v>76.150000000000006</v>
      </c>
      <c r="Q180" s="6">
        <v>0.11</v>
      </c>
      <c r="R180" s="6">
        <v>13.84</v>
      </c>
      <c r="S180" s="14"/>
      <c r="T180" s="6">
        <v>1.1200000000000001</v>
      </c>
      <c r="V180" s="6">
        <v>0.21</v>
      </c>
      <c r="W180" s="6">
        <v>0.72</v>
      </c>
      <c r="X180" s="6">
        <v>2.6</v>
      </c>
      <c r="Y180" s="6">
        <v>5.0599999999999996</v>
      </c>
      <c r="Z180" s="6">
        <v>0.19</v>
      </c>
      <c r="AC180" s="15">
        <v>5.8</v>
      </c>
      <c r="AD180" s="14" t="s">
        <v>1119</v>
      </c>
      <c r="AF180" s="6" t="s">
        <v>1180</v>
      </c>
    </row>
    <row r="181" spans="1:32">
      <c r="A181" s="8" t="s">
        <v>1100</v>
      </c>
      <c r="B181" s="6" t="s">
        <v>946</v>
      </c>
      <c r="C181" s="8" t="s">
        <v>574</v>
      </c>
      <c r="D181" s="6">
        <v>750</v>
      </c>
      <c r="E181" s="6">
        <v>5</v>
      </c>
      <c r="F181" s="11">
        <f>20*24*3600</f>
        <v>1728000</v>
      </c>
      <c r="G181" s="9">
        <v>1.5666500344126923E-14</v>
      </c>
      <c r="H181" s="10">
        <f t="shared" si="6"/>
        <v>0.32906967404883314</v>
      </c>
      <c r="I181" s="13">
        <v>2.93</v>
      </c>
      <c r="J181" s="6" t="s">
        <v>939</v>
      </c>
      <c r="K181" s="6">
        <v>30</v>
      </c>
      <c r="L181" s="6">
        <v>1</v>
      </c>
      <c r="M181" s="6">
        <v>1</v>
      </c>
      <c r="N181" s="6">
        <v>1</v>
      </c>
      <c r="O181" s="6">
        <v>1</v>
      </c>
      <c r="P181" s="6">
        <v>75.88</v>
      </c>
      <c r="Q181" s="6">
        <v>0.18</v>
      </c>
      <c r="R181" s="6">
        <v>13.97</v>
      </c>
      <c r="S181" s="14"/>
      <c r="T181" s="6">
        <v>1.31</v>
      </c>
      <c r="V181" s="6">
        <v>0.27</v>
      </c>
      <c r="W181" s="6">
        <v>0.94</v>
      </c>
      <c r="X181" s="6">
        <v>2.81</v>
      </c>
      <c r="Y181" s="6">
        <v>4.51</v>
      </c>
      <c r="Z181" s="6">
        <v>0.18</v>
      </c>
      <c r="AC181" s="15">
        <v>6.1</v>
      </c>
      <c r="AD181" s="14" t="s">
        <v>1119</v>
      </c>
      <c r="AF181" s="6" t="s">
        <v>1180</v>
      </c>
    </row>
    <row r="182" spans="1:32">
      <c r="A182" s="8" t="s">
        <v>1100</v>
      </c>
      <c r="B182" s="6" t="s">
        <v>947</v>
      </c>
      <c r="C182" s="8" t="s">
        <v>574</v>
      </c>
      <c r="D182" s="6">
        <v>750</v>
      </c>
      <c r="E182" s="6">
        <v>5</v>
      </c>
      <c r="F182" s="11">
        <f>10*24*3600</f>
        <v>864000</v>
      </c>
      <c r="G182" s="9">
        <v>1.5666500344126923E-14</v>
      </c>
      <c r="H182" s="10">
        <f t="shared" si="6"/>
        <v>0.23268739800277677</v>
      </c>
      <c r="I182" s="13">
        <v>4.21</v>
      </c>
      <c r="J182" s="6" t="s">
        <v>942</v>
      </c>
      <c r="K182" s="6">
        <v>42</v>
      </c>
      <c r="L182" s="6">
        <v>1</v>
      </c>
      <c r="M182" s="6">
        <v>1</v>
      </c>
      <c r="N182" s="6">
        <v>1</v>
      </c>
      <c r="O182" s="6">
        <v>1</v>
      </c>
      <c r="P182" s="6">
        <v>76.52</v>
      </c>
      <c r="Q182" s="6">
        <v>0.18</v>
      </c>
      <c r="R182" s="6">
        <v>14.04</v>
      </c>
      <c r="S182" s="14"/>
      <c r="T182" s="6">
        <v>1.31</v>
      </c>
      <c r="V182" s="6">
        <v>0.21</v>
      </c>
      <c r="W182" s="6">
        <v>1.1200000000000001</v>
      </c>
      <c r="X182" s="6">
        <v>2.73</v>
      </c>
      <c r="Y182" s="6">
        <v>3.79</v>
      </c>
      <c r="Z182" s="6">
        <v>0.18</v>
      </c>
      <c r="AC182" s="15">
        <v>6.6</v>
      </c>
      <c r="AD182" s="14" t="s">
        <v>1119</v>
      </c>
      <c r="AF182" s="6" t="s">
        <v>1180</v>
      </c>
    </row>
    <row r="183" spans="1:32">
      <c r="A183" s="8" t="s">
        <v>1100</v>
      </c>
      <c r="B183" s="6" t="s">
        <v>948</v>
      </c>
      <c r="C183" s="8" t="s">
        <v>574</v>
      </c>
      <c r="D183" s="6">
        <v>750</v>
      </c>
      <c r="E183" s="6">
        <v>5</v>
      </c>
      <c r="F183" s="11">
        <f>10*24*3600</f>
        <v>864000</v>
      </c>
      <c r="G183" s="9">
        <v>1.5666500344126923E-14</v>
      </c>
      <c r="H183" s="10">
        <f t="shared" si="6"/>
        <v>0.23268739800277677</v>
      </c>
      <c r="I183" s="13">
        <v>6.94</v>
      </c>
      <c r="J183" s="6" t="s">
        <v>944</v>
      </c>
      <c r="K183" s="6">
        <v>70</v>
      </c>
      <c r="L183" s="6">
        <v>1</v>
      </c>
      <c r="M183" s="6">
        <v>1</v>
      </c>
      <c r="N183" s="6">
        <v>1</v>
      </c>
      <c r="O183" s="6">
        <v>1</v>
      </c>
      <c r="P183" s="6">
        <v>75.09</v>
      </c>
      <c r="Q183" s="6">
        <v>0.25</v>
      </c>
      <c r="R183" s="6">
        <v>16.02</v>
      </c>
      <c r="S183" s="14"/>
      <c r="T183" s="6">
        <v>1.7</v>
      </c>
      <c r="V183" s="6">
        <v>0.32</v>
      </c>
      <c r="W183" s="6">
        <v>1.67</v>
      </c>
      <c r="X183" s="6">
        <v>2.6</v>
      </c>
      <c r="Y183" s="6">
        <v>3.25</v>
      </c>
      <c r="Z183" s="6">
        <v>0.25</v>
      </c>
      <c r="AC183" s="15">
        <v>9</v>
      </c>
      <c r="AD183" s="14" t="s">
        <v>1119</v>
      </c>
      <c r="AF183" s="6" t="s">
        <v>1180</v>
      </c>
    </row>
    <row r="184" spans="1:32">
      <c r="A184" s="8" t="s">
        <v>1092</v>
      </c>
      <c r="B184" s="6" t="s">
        <v>832</v>
      </c>
      <c r="C184" s="8" t="s">
        <v>645</v>
      </c>
      <c r="D184" s="12">
        <v>1050</v>
      </c>
      <c r="E184" s="6">
        <v>2</v>
      </c>
      <c r="F184" s="11">
        <f>24*3600</f>
        <v>86400</v>
      </c>
      <c r="G184" s="9">
        <v>7.8813293078769567E-13</v>
      </c>
      <c r="H184" s="10">
        <f t="shared" si="6"/>
        <v>0.52189916734962094</v>
      </c>
      <c r="I184" s="13" t="s">
        <v>41</v>
      </c>
      <c r="J184" s="6" t="s">
        <v>833</v>
      </c>
      <c r="K184" s="6">
        <v>99</v>
      </c>
      <c r="L184" s="6">
        <v>1</v>
      </c>
      <c r="M184" s="6">
        <v>1</v>
      </c>
      <c r="N184" s="6">
        <v>1</v>
      </c>
      <c r="O184" s="6">
        <v>1</v>
      </c>
      <c r="P184" s="14">
        <v>49.45</v>
      </c>
      <c r="Q184" s="14">
        <v>2.64</v>
      </c>
      <c r="R184" s="14">
        <v>18.739999999999998</v>
      </c>
      <c r="S184" s="14"/>
      <c r="T184" s="14">
        <v>8.26</v>
      </c>
      <c r="U184" s="14">
        <v>0.25</v>
      </c>
      <c r="V184" s="14">
        <v>2.73</v>
      </c>
      <c r="W184" s="14">
        <v>7.62</v>
      </c>
      <c r="X184" s="14">
        <v>5.98</v>
      </c>
      <c r="Y184" s="14">
        <v>3.08</v>
      </c>
      <c r="Z184" s="14">
        <v>1.26</v>
      </c>
      <c r="AA184" s="14">
        <v>0.03</v>
      </c>
      <c r="AB184" s="14">
        <v>95</v>
      </c>
      <c r="AC184" s="15">
        <v>0.49</v>
      </c>
      <c r="AD184" s="6" t="s">
        <v>213</v>
      </c>
      <c r="AF184" s="6" t="s">
        <v>1164</v>
      </c>
    </row>
    <row r="185" spans="1:32">
      <c r="A185" s="8" t="s">
        <v>1092</v>
      </c>
      <c r="B185" s="6" t="s">
        <v>834</v>
      </c>
      <c r="C185" s="8" t="s">
        <v>645</v>
      </c>
      <c r="D185" s="12">
        <v>1000</v>
      </c>
      <c r="E185" s="6">
        <v>3</v>
      </c>
      <c r="F185" s="11">
        <f>24*3600</f>
        <v>86400</v>
      </c>
      <c r="G185" s="9">
        <v>4.6632042652511761E-13</v>
      </c>
      <c r="H185" s="10">
        <f t="shared" si="6"/>
        <v>0.40144780408800429</v>
      </c>
      <c r="I185" s="13" t="s">
        <v>835</v>
      </c>
      <c r="J185" s="6" t="s">
        <v>833</v>
      </c>
      <c r="K185" s="6">
        <v>91</v>
      </c>
      <c r="L185" s="6">
        <v>1</v>
      </c>
      <c r="M185" s="6">
        <v>1</v>
      </c>
      <c r="N185" s="6">
        <v>1</v>
      </c>
      <c r="O185" s="6">
        <v>1</v>
      </c>
      <c r="P185" s="14">
        <v>51.3</v>
      </c>
      <c r="Q185" s="14">
        <v>2.4</v>
      </c>
      <c r="R185" s="14">
        <v>19.95</v>
      </c>
      <c r="S185" s="14"/>
      <c r="T185" s="14">
        <v>6.49</v>
      </c>
      <c r="U185" s="14">
        <v>0.19</v>
      </c>
      <c r="V185" s="14">
        <v>2.7</v>
      </c>
      <c r="W185" s="14">
        <v>7.47</v>
      </c>
      <c r="X185" s="14">
        <v>5.65</v>
      </c>
      <c r="Y185" s="14">
        <v>3.12</v>
      </c>
      <c r="Z185" s="14">
        <v>0.71</v>
      </c>
      <c r="AA185" s="14">
        <v>0.04</v>
      </c>
      <c r="AB185" s="14">
        <v>94.25</v>
      </c>
      <c r="AC185" s="15">
        <v>4.3</v>
      </c>
      <c r="AD185" s="6" t="s">
        <v>213</v>
      </c>
      <c r="AF185" s="6" t="s">
        <v>1164</v>
      </c>
    </row>
    <row r="186" spans="1:32">
      <c r="A186" s="8" t="s">
        <v>1076</v>
      </c>
      <c r="B186" s="23" t="s">
        <v>614</v>
      </c>
      <c r="C186" s="8" t="s">
        <v>645</v>
      </c>
      <c r="D186" s="6">
        <v>850</v>
      </c>
      <c r="E186" s="8">
        <v>2.2000000000000002</v>
      </c>
      <c r="F186" s="6">
        <f>360*3600</f>
        <v>1296000</v>
      </c>
      <c r="G186" s="9">
        <v>7.2976735414337512E-14</v>
      </c>
      <c r="H186" s="10">
        <f t="shared" si="6"/>
        <v>0.61507023695503726</v>
      </c>
      <c r="I186" s="6">
        <v>6</v>
      </c>
      <c r="J186" s="6" t="s">
        <v>615</v>
      </c>
      <c r="K186" s="6">
        <v>80</v>
      </c>
      <c r="L186" s="6">
        <v>1</v>
      </c>
      <c r="M186" s="6">
        <v>1</v>
      </c>
      <c r="N186" s="6">
        <v>1</v>
      </c>
      <c r="O186" s="6">
        <v>1</v>
      </c>
      <c r="P186" s="6">
        <v>73.260000000000005</v>
      </c>
      <c r="Q186" s="6">
        <v>0.26</v>
      </c>
      <c r="R186" s="6">
        <v>12.19</v>
      </c>
      <c r="T186" s="6">
        <v>1.05</v>
      </c>
      <c r="U186" s="6">
        <v>0.13</v>
      </c>
      <c r="V186" s="6">
        <v>0.52</v>
      </c>
      <c r="W186" s="6">
        <v>1.95</v>
      </c>
      <c r="X186" s="6">
        <v>4.25</v>
      </c>
      <c r="Y186" s="6">
        <v>1.1399999999999999</v>
      </c>
      <c r="Z186" s="6">
        <v>0.1</v>
      </c>
      <c r="AA186" s="6">
        <v>0.02</v>
      </c>
      <c r="AB186" s="6">
        <f>SUM(P186:AA186)</f>
        <v>94.86999999999999</v>
      </c>
      <c r="AC186" s="6">
        <v>5.08</v>
      </c>
      <c r="AD186" s="6" t="s">
        <v>89</v>
      </c>
    </row>
    <row r="187" spans="1:32">
      <c r="A187" s="6" t="s">
        <v>1061</v>
      </c>
      <c r="B187" s="6" t="s">
        <v>419</v>
      </c>
      <c r="C187" s="6" t="s">
        <v>1127</v>
      </c>
      <c r="D187" s="6">
        <v>1050</v>
      </c>
      <c r="E187" s="6">
        <v>10</v>
      </c>
      <c r="F187" s="6">
        <f>71*3600</f>
        <v>255600</v>
      </c>
      <c r="G187" s="9">
        <v>7.8813293078769567E-13</v>
      </c>
      <c r="H187" s="10">
        <f t="shared" si="6"/>
        <v>0.8976564534594178</v>
      </c>
      <c r="I187" s="6">
        <v>0</v>
      </c>
      <c r="J187" s="6" t="s">
        <v>420</v>
      </c>
      <c r="L187" s="6">
        <v>0</v>
      </c>
      <c r="M187" s="6">
        <v>1</v>
      </c>
      <c r="N187" s="6">
        <v>0</v>
      </c>
      <c r="O187" s="6">
        <v>0</v>
      </c>
      <c r="P187" s="6">
        <v>47.69</v>
      </c>
      <c r="Q187" s="6">
        <v>2.85</v>
      </c>
      <c r="R187" s="6">
        <v>10.8</v>
      </c>
      <c r="T187" s="6">
        <v>22.43</v>
      </c>
      <c r="U187" s="6">
        <v>0.97</v>
      </c>
      <c r="V187" s="6">
        <v>0.55000000000000004</v>
      </c>
      <c r="W187" s="6">
        <v>8</v>
      </c>
      <c r="X187" s="6">
        <v>1.48</v>
      </c>
      <c r="Y187" s="6">
        <v>0.62</v>
      </c>
      <c r="Z187" s="6">
        <v>1.33</v>
      </c>
      <c r="AA187" s="6">
        <v>0.05</v>
      </c>
      <c r="AB187" s="6">
        <v>96.79</v>
      </c>
      <c r="AC187" s="6">
        <v>0</v>
      </c>
      <c r="AD187" s="24" t="s">
        <v>33</v>
      </c>
    </row>
    <row r="188" spans="1:32">
      <c r="A188" s="6" t="s">
        <v>1061</v>
      </c>
      <c r="B188" s="6" t="s">
        <v>427</v>
      </c>
      <c r="C188" s="6" t="s">
        <v>1127</v>
      </c>
      <c r="D188" s="6">
        <v>1100</v>
      </c>
      <c r="E188" s="6">
        <v>10</v>
      </c>
      <c r="F188" s="6">
        <f>76*3600</f>
        <v>273600</v>
      </c>
      <c r="G188" s="9">
        <v>1.2820841702583668E-12</v>
      </c>
      <c r="H188" s="10">
        <f t="shared" si="6"/>
        <v>1.1845306732756045</v>
      </c>
      <c r="I188" s="6">
        <v>0</v>
      </c>
      <c r="J188" s="6" t="s">
        <v>428</v>
      </c>
      <c r="L188" s="6">
        <v>0</v>
      </c>
      <c r="M188" s="6">
        <v>1</v>
      </c>
      <c r="N188" s="6">
        <v>0</v>
      </c>
      <c r="O188" s="6">
        <v>0</v>
      </c>
      <c r="P188" s="6">
        <v>48.57</v>
      </c>
      <c r="Q188" s="6">
        <v>4.9400000000000004</v>
      </c>
      <c r="R188" s="6">
        <v>9.49</v>
      </c>
      <c r="T188" s="6">
        <v>16.72</v>
      </c>
      <c r="U188" s="6">
        <v>1.31</v>
      </c>
      <c r="V188" s="6">
        <v>1.69</v>
      </c>
      <c r="W188" s="6">
        <v>10.95</v>
      </c>
      <c r="X188" s="6">
        <v>1.31</v>
      </c>
      <c r="Y188" s="6">
        <v>0.44</v>
      </c>
      <c r="Z188" s="6">
        <v>1.3</v>
      </c>
      <c r="AA188" s="6">
        <v>0.03</v>
      </c>
      <c r="AB188" s="6">
        <v>97.02</v>
      </c>
      <c r="AC188" s="6">
        <v>0</v>
      </c>
      <c r="AD188" s="24" t="s">
        <v>33</v>
      </c>
    </row>
    <row r="189" spans="1:32">
      <c r="A189" s="6" t="s">
        <v>1061</v>
      </c>
      <c r="B189" s="6" t="s">
        <v>429</v>
      </c>
      <c r="C189" s="6" t="s">
        <v>1127</v>
      </c>
      <c r="D189" s="6">
        <v>1100</v>
      </c>
      <c r="E189" s="6">
        <v>10</v>
      </c>
      <c r="F189" s="6">
        <f>76*3600</f>
        <v>273600</v>
      </c>
      <c r="G189" s="9">
        <v>1.2820841702583668E-12</v>
      </c>
      <c r="H189" s="10">
        <f t="shared" si="6"/>
        <v>1.1845306732756045</v>
      </c>
      <c r="I189" s="6">
        <v>0.3</v>
      </c>
      <c r="J189" s="6" t="s">
        <v>424</v>
      </c>
      <c r="L189" s="6">
        <v>1</v>
      </c>
      <c r="M189" s="6">
        <v>0</v>
      </c>
      <c r="N189" s="6">
        <v>0</v>
      </c>
      <c r="O189" s="6">
        <v>0</v>
      </c>
      <c r="P189" s="6">
        <v>43.65</v>
      </c>
      <c r="Q189" s="6">
        <v>4.55</v>
      </c>
      <c r="R189" s="6">
        <v>7.35</v>
      </c>
      <c r="T189" s="6">
        <v>18.03</v>
      </c>
      <c r="U189" s="6">
        <v>1.05</v>
      </c>
      <c r="V189" s="6">
        <v>1.2</v>
      </c>
      <c r="W189" s="6">
        <v>15.02</v>
      </c>
      <c r="X189" s="6">
        <v>0.97</v>
      </c>
      <c r="Y189" s="6">
        <v>0.25</v>
      </c>
      <c r="Z189" s="6">
        <v>4.3499999999999996</v>
      </c>
      <c r="AA189" s="6">
        <v>0.06</v>
      </c>
      <c r="AB189" s="6">
        <v>96.45</v>
      </c>
    </row>
    <row r="190" spans="1:32">
      <c r="A190" s="6" t="s">
        <v>1061</v>
      </c>
      <c r="B190" s="6" t="s">
        <v>432</v>
      </c>
      <c r="C190" s="6" t="s">
        <v>1127</v>
      </c>
      <c r="D190" s="6">
        <v>1100</v>
      </c>
      <c r="E190" s="6">
        <v>10</v>
      </c>
      <c r="F190" s="6">
        <f>54*3600</f>
        <v>194400</v>
      </c>
      <c r="G190" s="9">
        <v>1.2820841702583668E-12</v>
      </c>
      <c r="H190" s="10">
        <f t="shared" si="6"/>
        <v>0.99847315977591811</v>
      </c>
      <c r="I190" s="6">
        <v>0</v>
      </c>
      <c r="J190" s="6" t="s">
        <v>433</v>
      </c>
      <c r="L190" s="6">
        <v>0</v>
      </c>
      <c r="M190" s="6">
        <v>1</v>
      </c>
      <c r="N190" s="6">
        <v>0</v>
      </c>
      <c r="O190" s="6">
        <v>0</v>
      </c>
      <c r="P190" s="6">
        <v>45.14</v>
      </c>
      <c r="Q190" s="6">
        <v>2.21</v>
      </c>
      <c r="R190" s="6">
        <v>11.24</v>
      </c>
      <c r="T190" s="6">
        <v>18.47</v>
      </c>
      <c r="U190" s="6">
        <v>1.06</v>
      </c>
      <c r="V190" s="6">
        <v>1.66</v>
      </c>
      <c r="W190" s="6">
        <v>10.44</v>
      </c>
      <c r="X190" s="6">
        <v>0.49</v>
      </c>
      <c r="Y190" s="6">
        <v>0.08</v>
      </c>
      <c r="Z190" s="6">
        <v>2</v>
      </c>
      <c r="AA190" s="6">
        <v>0.05</v>
      </c>
      <c r="AB190" s="6">
        <v>95.21</v>
      </c>
      <c r="AC190" s="6">
        <v>0</v>
      </c>
      <c r="AD190" s="24" t="s">
        <v>33</v>
      </c>
    </row>
    <row r="191" spans="1:32">
      <c r="A191" s="6" t="s">
        <v>1061</v>
      </c>
      <c r="B191" s="6" t="s">
        <v>435</v>
      </c>
      <c r="C191" s="6" t="s">
        <v>1127</v>
      </c>
      <c r="D191" s="6">
        <v>1100</v>
      </c>
      <c r="E191" s="6">
        <v>10</v>
      </c>
      <c r="F191" s="6">
        <f>75*3600</f>
        <v>270000</v>
      </c>
      <c r="G191" s="9">
        <v>1.2820841702583668E-12</v>
      </c>
      <c r="H191" s="10">
        <f t="shared" si="6"/>
        <v>1.1767119035171847</v>
      </c>
      <c r="I191" s="6">
        <v>0</v>
      </c>
      <c r="J191" s="6" t="s">
        <v>433</v>
      </c>
      <c r="L191" s="6">
        <v>0</v>
      </c>
      <c r="M191" s="6">
        <v>0</v>
      </c>
      <c r="N191" s="6">
        <v>1</v>
      </c>
      <c r="O191" s="6">
        <v>0</v>
      </c>
      <c r="P191" s="6">
        <v>45.26</v>
      </c>
      <c r="Q191" s="6">
        <v>2.72</v>
      </c>
      <c r="R191" s="6">
        <v>10.43</v>
      </c>
      <c r="T191" s="6">
        <v>17.25</v>
      </c>
      <c r="U191" s="6">
        <v>1.04</v>
      </c>
      <c r="V191" s="6">
        <v>1.53</v>
      </c>
      <c r="W191" s="6">
        <v>11.81</v>
      </c>
      <c r="X191" s="6">
        <v>0.45</v>
      </c>
      <c r="Y191" s="6">
        <v>0.16</v>
      </c>
      <c r="Z191" s="6">
        <v>1.85</v>
      </c>
      <c r="AA191" s="6">
        <v>0.09</v>
      </c>
      <c r="AB191" s="6">
        <v>95.22</v>
      </c>
      <c r="AC191" s="6">
        <v>0</v>
      </c>
      <c r="AD191" s="24" t="s">
        <v>33</v>
      </c>
    </row>
    <row r="192" spans="1:32">
      <c r="A192" s="8" t="s">
        <v>1044</v>
      </c>
      <c r="B192" s="6" t="str">
        <f>_xlfn.CONCAT("1H2O_0.5GPa_",D192)</f>
        <v>1H2O_0.5GPa_1000</v>
      </c>
      <c r="C192" s="8" t="s">
        <v>645</v>
      </c>
      <c r="D192" s="8">
        <v>1000</v>
      </c>
      <c r="E192" s="8">
        <v>5</v>
      </c>
      <c r="F192" s="8">
        <f>72*3600</f>
        <v>259200</v>
      </c>
      <c r="G192" s="9">
        <v>4.6632042652511761E-13</v>
      </c>
      <c r="H192" s="10">
        <f t="shared" si="6"/>
        <v>0.69532799326738015</v>
      </c>
      <c r="I192" s="6">
        <v>1</v>
      </c>
      <c r="J192" s="6" t="s">
        <v>156</v>
      </c>
      <c r="L192" s="8">
        <v>1</v>
      </c>
      <c r="M192" s="8">
        <v>1</v>
      </c>
      <c r="N192" s="6">
        <v>1</v>
      </c>
      <c r="O192" s="8">
        <v>1</v>
      </c>
      <c r="P192" s="6">
        <v>62.3</v>
      </c>
      <c r="Q192" s="6">
        <v>0.75</v>
      </c>
      <c r="R192" s="6">
        <v>18.2</v>
      </c>
      <c r="T192" s="6">
        <f>4.46*0.899</f>
        <v>4.0095400000000003</v>
      </c>
      <c r="V192" s="6">
        <v>2.87</v>
      </c>
      <c r="W192" s="6">
        <v>5.94</v>
      </c>
      <c r="X192" s="6">
        <v>3.65</v>
      </c>
      <c r="Y192" s="6">
        <v>0.98</v>
      </c>
      <c r="Z192" s="6">
        <v>0.85</v>
      </c>
      <c r="AB192" s="6">
        <v>92.6</v>
      </c>
      <c r="AC192" s="6">
        <v>5.76</v>
      </c>
      <c r="AD192" s="6" t="s">
        <v>157</v>
      </c>
      <c r="AF192" s="6" t="s">
        <v>1165</v>
      </c>
    </row>
    <row r="193" spans="1:32">
      <c r="A193" s="8" t="s">
        <v>1044</v>
      </c>
      <c r="B193" s="6" t="str">
        <f>_xlfn.CONCAT("1H2O_0.5GPa_",D193)</f>
        <v>1H2O_0.5GPa_975</v>
      </c>
      <c r="C193" s="8" t="s">
        <v>645</v>
      </c>
      <c r="D193" s="8">
        <v>975</v>
      </c>
      <c r="E193" s="8">
        <v>5</v>
      </c>
      <c r="F193" s="8">
        <f>73*3600</f>
        <v>262800</v>
      </c>
      <c r="G193" s="9">
        <v>3.530850559550637E-13</v>
      </c>
      <c r="H193" s="10">
        <f t="shared" si="6"/>
        <v>0.60923149197982451</v>
      </c>
      <c r="I193" s="6">
        <v>1</v>
      </c>
      <c r="J193" s="6" t="s">
        <v>156</v>
      </c>
      <c r="L193" s="8">
        <v>1</v>
      </c>
      <c r="M193" s="8">
        <v>1</v>
      </c>
      <c r="N193" s="6">
        <v>1</v>
      </c>
      <c r="O193" s="8">
        <v>1</v>
      </c>
      <c r="P193" s="6">
        <v>63.5</v>
      </c>
      <c r="Q193" s="6">
        <v>0.35</v>
      </c>
      <c r="R193" s="6">
        <v>18.899999999999999</v>
      </c>
      <c r="T193" s="6">
        <f>0.899*3</f>
        <v>2.6970000000000001</v>
      </c>
      <c r="V193" s="6">
        <v>2.96</v>
      </c>
      <c r="W193" s="6">
        <v>5.3</v>
      </c>
      <c r="X193" s="6">
        <v>4.4400000000000004</v>
      </c>
      <c r="Y193" s="6">
        <v>0.74</v>
      </c>
      <c r="Z193" s="6">
        <v>0.86</v>
      </c>
      <c r="AB193" s="6">
        <v>91.7</v>
      </c>
      <c r="AC193" s="6">
        <v>5.66</v>
      </c>
      <c r="AD193" s="6" t="s">
        <v>157</v>
      </c>
      <c r="AF193" s="6" t="s">
        <v>1165</v>
      </c>
    </row>
    <row r="194" spans="1:32">
      <c r="A194" s="8" t="s">
        <v>1044</v>
      </c>
      <c r="B194" s="6" t="str">
        <f>_xlfn.CONCAT("1H2O_0.5GPa_",D194)</f>
        <v>1H2O_0.5GPa_975</v>
      </c>
      <c r="C194" s="8" t="s">
        <v>645</v>
      </c>
      <c r="D194" s="8">
        <v>975</v>
      </c>
      <c r="E194" s="8">
        <v>5</v>
      </c>
      <c r="F194" s="8">
        <f>50*3600</f>
        <v>180000</v>
      </c>
      <c r="G194" s="9">
        <v>3.530850559550637E-13</v>
      </c>
      <c r="H194" s="10">
        <f t="shared" ref="H194:H257" si="9">2*SQRT(G194*F194)*1000</f>
        <v>0.50420357028450913</v>
      </c>
      <c r="I194" s="6">
        <v>1</v>
      </c>
      <c r="J194" s="6" t="s">
        <v>158</v>
      </c>
      <c r="L194" s="8">
        <v>1</v>
      </c>
      <c r="M194" s="8">
        <v>1</v>
      </c>
      <c r="N194" s="6">
        <v>1</v>
      </c>
      <c r="O194" s="8">
        <v>1</v>
      </c>
      <c r="P194" s="6">
        <v>63.41</v>
      </c>
      <c r="Q194" s="6">
        <v>0.59</v>
      </c>
      <c r="R194" s="6">
        <v>18.399999999999999</v>
      </c>
      <c r="T194" s="6">
        <f>3.49*0.899</f>
        <v>3.1375100000000002</v>
      </c>
      <c r="V194" s="6">
        <v>2.5099999999999998</v>
      </c>
      <c r="W194" s="6">
        <v>5.49</v>
      </c>
      <c r="X194" s="6">
        <v>4.3600000000000003</v>
      </c>
      <c r="Y194" s="6">
        <v>1.02</v>
      </c>
      <c r="Z194" s="6">
        <v>0.73</v>
      </c>
      <c r="AB194" s="6">
        <v>91.6</v>
      </c>
      <c r="AC194" s="6">
        <v>5.66</v>
      </c>
      <c r="AD194" s="6" t="s">
        <v>157</v>
      </c>
      <c r="AF194" s="6" t="s">
        <v>1165</v>
      </c>
    </row>
    <row r="195" spans="1:32">
      <c r="A195" s="8" t="s">
        <v>1044</v>
      </c>
      <c r="B195" s="6" t="str">
        <f>_xlfn.CONCAT("1H2O_0.5GPa_",D195)</f>
        <v>1H2O_0.5GPa_925</v>
      </c>
      <c r="C195" s="8" t="s">
        <v>645</v>
      </c>
      <c r="D195" s="8">
        <v>925</v>
      </c>
      <c r="E195" s="8">
        <v>5</v>
      </c>
      <c r="F195" s="8">
        <f>74*3600</f>
        <v>266400</v>
      </c>
      <c r="G195" s="9">
        <v>1.9549928676947054E-13</v>
      </c>
      <c r="H195" s="10">
        <f t="shared" si="9"/>
        <v>0.45642528411728883</v>
      </c>
      <c r="I195" s="6">
        <v>1</v>
      </c>
      <c r="J195" s="6" t="s">
        <v>159</v>
      </c>
      <c r="L195" s="8">
        <v>1</v>
      </c>
      <c r="M195" s="8">
        <v>1</v>
      </c>
      <c r="N195" s="6">
        <v>1</v>
      </c>
      <c r="O195" s="8">
        <v>1</v>
      </c>
      <c r="P195" s="6">
        <v>71.2</v>
      </c>
      <c r="Q195" s="6">
        <v>0.3</v>
      </c>
      <c r="R195" s="6">
        <v>16.899999999999999</v>
      </c>
      <c r="T195" s="6">
        <f>1.93*0.899</f>
        <v>1.7350699999999999</v>
      </c>
      <c r="V195" s="6">
        <v>1.39</v>
      </c>
      <c r="W195" s="6">
        <v>3.54</v>
      </c>
      <c r="X195" s="6">
        <v>2.81</v>
      </c>
      <c r="Y195" s="6">
        <v>1.35</v>
      </c>
      <c r="Z195" s="6">
        <v>0.56999999999999995</v>
      </c>
      <c r="AB195" s="6">
        <v>93.4</v>
      </c>
      <c r="AC195" s="6">
        <v>6.6</v>
      </c>
      <c r="AD195" s="6" t="s">
        <v>89</v>
      </c>
      <c r="AF195" s="6" t="s">
        <v>1165</v>
      </c>
    </row>
    <row r="196" spans="1:32">
      <c r="A196" s="8" t="s">
        <v>1044</v>
      </c>
      <c r="B196" s="6" t="str">
        <f>_xlfn.CONCAT("1H2O_0.5GPa_",D196)</f>
        <v>1H2O_0.5GPa_875</v>
      </c>
      <c r="C196" s="8" t="s">
        <v>645</v>
      </c>
      <c r="D196" s="8">
        <v>875</v>
      </c>
      <c r="E196" s="8">
        <v>5</v>
      </c>
      <c r="F196" s="8">
        <f>117*3600</f>
        <v>421200</v>
      </c>
      <c r="G196" s="9">
        <v>1.028135457036711E-13</v>
      </c>
      <c r="H196" s="10">
        <f t="shared" si="9"/>
        <v>0.41619738322284661</v>
      </c>
      <c r="I196" s="6">
        <v>1</v>
      </c>
      <c r="J196" s="6" t="s">
        <v>160</v>
      </c>
      <c r="L196" s="8">
        <v>1</v>
      </c>
      <c r="M196" s="8">
        <v>1</v>
      </c>
      <c r="N196" s="6">
        <v>1</v>
      </c>
      <c r="O196" s="8">
        <v>1</v>
      </c>
      <c r="P196" s="6">
        <v>77.099999999999994</v>
      </c>
      <c r="Q196" s="6">
        <v>0.15</v>
      </c>
      <c r="R196" s="6">
        <v>13.5</v>
      </c>
      <c r="T196" s="6">
        <f>1.22*0.899</f>
        <v>1.0967800000000001</v>
      </c>
      <c r="V196" s="6">
        <v>0.53</v>
      </c>
      <c r="W196" s="6">
        <v>2.04</v>
      </c>
      <c r="X196" s="6">
        <v>3.24</v>
      </c>
      <c r="Y196" s="6">
        <v>2.02</v>
      </c>
      <c r="Z196" s="6">
        <v>0.22</v>
      </c>
      <c r="AB196" s="6">
        <v>91.9</v>
      </c>
      <c r="AC196" s="6">
        <v>8.1</v>
      </c>
      <c r="AD196" s="6" t="s">
        <v>89</v>
      </c>
      <c r="AF196" s="6" t="s">
        <v>1165</v>
      </c>
    </row>
    <row r="197" spans="1:32">
      <c r="A197" s="8" t="s">
        <v>1044</v>
      </c>
      <c r="B197" s="6" t="str">
        <f t="shared" ref="B197:B203" si="10">_xlfn.CONCAT("2H2O_0.5GPa_",D197)</f>
        <v>2H2O_0.5GPa_1025</v>
      </c>
      <c r="C197" s="8" t="s">
        <v>645</v>
      </c>
      <c r="D197" s="8">
        <v>1025</v>
      </c>
      <c r="E197" s="8">
        <v>5</v>
      </c>
      <c r="F197" s="8">
        <f>45*3600</f>
        <v>162000</v>
      </c>
      <c r="G197" s="9">
        <v>6.093075655892557E-13</v>
      </c>
      <c r="H197" s="10">
        <f t="shared" si="9"/>
        <v>0.62835603164276044</v>
      </c>
      <c r="I197" s="6">
        <v>2</v>
      </c>
      <c r="J197" s="6" t="s">
        <v>156</v>
      </c>
      <c r="L197" s="8">
        <v>1</v>
      </c>
      <c r="M197" s="8">
        <v>1</v>
      </c>
      <c r="N197" s="6">
        <v>1</v>
      </c>
      <c r="O197" s="8">
        <v>1</v>
      </c>
      <c r="P197" s="6">
        <v>62</v>
      </c>
      <c r="Q197" s="6">
        <v>0.74</v>
      </c>
      <c r="R197" s="6">
        <v>18.399999999999999</v>
      </c>
      <c r="T197" s="6">
        <f>0.899*4.32</f>
        <v>3.8836800000000005</v>
      </c>
      <c r="V197" s="6">
        <v>3.18</v>
      </c>
      <c r="W197" s="6">
        <v>6.05</v>
      </c>
      <c r="X197" s="6">
        <v>3.87</v>
      </c>
      <c r="Y197" s="6">
        <v>0.82</v>
      </c>
      <c r="Z197" s="6">
        <v>0.65</v>
      </c>
      <c r="AB197" s="6">
        <v>95.7</v>
      </c>
      <c r="AC197" s="6">
        <v>4.3</v>
      </c>
      <c r="AD197" s="6" t="s">
        <v>89</v>
      </c>
      <c r="AF197" s="6" t="s">
        <v>1165</v>
      </c>
    </row>
    <row r="198" spans="1:32">
      <c r="A198" s="8" t="s">
        <v>1044</v>
      </c>
      <c r="B198" s="6" t="str">
        <f t="shared" si="10"/>
        <v>2H2O_0.5GPa_1000</v>
      </c>
      <c r="C198" s="8" t="s">
        <v>645</v>
      </c>
      <c r="D198" s="8">
        <v>1000</v>
      </c>
      <c r="E198" s="8">
        <v>5</v>
      </c>
      <c r="F198" s="8">
        <f>72*3600</f>
        <v>259200</v>
      </c>
      <c r="G198" s="9">
        <v>4.6632042652511761E-13</v>
      </c>
      <c r="H198" s="10">
        <f t="shared" si="9"/>
        <v>0.69532799326738015</v>
      </c>
      <c r="I198" s="6">
        <v>2</v>
      </c>
      <c r="J198" s="6" t="s">
        <v>159</v>
      </c>
      <c r="L198" s="8">
        <v>1</v>
      </c>
      <c r="M198" s="8">
        <v>1</v>
      </c>
      <c r="N198" s="6">
        <v>1</v>
      </c>
      <c r="O198" s="8">
        <v>1</v>
      </c>
      <c r="P198" s="6">
        <v>60.6</v>
      </c>
      <c r="Q198" s="6">
        <v>0.73</v>
      </c>
      <c r="R198" s="6">
        <v>19.2</v>
      </c>
      <c r="T198" s="6">
        <f>0.899*4.27</f>
        <v>3.8387299999999995</v>
      </c>
      <c r="V198" s="6">
        <v>3.43</v>
      </c>
      <c r="W198" s="6">
        <v>6.55</v>
      </c>
      <c r="X198" s="6">
        <v>4</v>
      </c>
      <c r="Y198" s="6">
        <v>0.59</v>
      </c>
      <c r="Z198" s="6">
        <v>0.56999999999999995</v>
      </c>
      <c r="AB198" s="6">
        <v>92</v>
      </c>
      <c r="AC198" s="6">
        <v>8</v>
      </c>
      <c r="AD198" s="6" t="s">
        <v>89</v>
      </c>
      <c r="AF198" s="6" t="s">
        <v>1165</v>
      </c>
    </row>
    <row r="199" spans="1:32">
      <c r="A199" s="8" t="s">
        <v>1044</v>
      </c>
      <c r="B199" s="6" t="str">
        <f t="shared" si="10"/>
        <v>2H2O_0.5GPa_975</v>
      </c>
      <c r="C199" s="8" t="s">
        <v>645</v>
      </c>
      <c r="D199" s="8">
        <v>975</v>
      </c>
      <c r="E199" s="8">
        <v>5</v>
      </c>
      <c r="F199" s="8">
        <f>76*3600</f>
        <v>273600</v>
      </c>
      <c r="G199" s="9">
        <v>3.530850559550637E-13</v>
      </c>
      <c r="H199" s="10">
        <f t="shared" si="9"/>
        <v>0.62162390980175608</v>
      </c>
      <c r="I199" s="6">
        <v>2</v>
      </c>
      <c r="J199" s="6" t="s">
        <v>159</v>
      </c>
      <c r="L199" s="8">
        <v>1</v>
      </c>
      <c r="M199" s="8">
        <v>1</v>
      </c>
      <c r="N199" s="6">
        <v>1</v>
      </c>
      <c r="O199" s="8">
        <v>1</v>
      </c>
      <c r="P199" s="6">
        <v>65.3</v>
      </c>
      <c r="Q199" s="6">
        <v>0.27</v>
      </c>
      <c r="R199" s="6">
        <v>19</v>
      </c>
      <c r="T199" s="6">
        <f>0.899*2.85</f>
        <v>2.5621499999999999</v>
      </c>
      <c r="V199" s="6">
        <v>2.2000000000000002</v>
      </c>
      <c r="W199" s="6">
        <v>4.01</v>
      </c>
      <c r="X199" s="6">
        <v>4.88</v>
      </c>
      <c r="Y199" s="6">
        <v>0.91</v>
      </c>
      <c r="Z199" s="6">
        <v>0.57999999999999996</v>
      </c>
      <c r="AB199" s="6">
        <v>90</v>
      </c>
      <c r="AC199" s="6">
        <v>9</v>
      </c>
      <c r="AD199" s="6" t="s">
        <v>89</v>
      </c>
      <c r="AF199" s="6" t="s">
        <v>1165</v>
      </c>
    </row>
    <row r="200" spans="1:32">
      <c r="A200" s="8" t="s">
        <v>1044</v>
      </c>
      <c r="B200" s="6" t="str">
        <f t="shared" si="10"/>
        <v>2H2O_0.5GPa_975</v>
      </c>
      <c r="C200" s="8" t="s">
        <v>645</v>
      </c>
      <c r="D200" s="8">
        <v>975</v>
      </c>
      <c r="E200" s="8">
        <v>5</v>
      </c>
      <c r="F200" s="8">
        <f>76*3600</f>
        <v>273600</v>
      </c>
      <c r="G200" s="9">
        <v>3.530850559550637E-13</v>
      </c>
      <c r="H200" s="10">
        <f t="shared" si="9"/>
        <v>0.62162390980175608</v>
      </c>
      <c r="I200" s="6">
        <v>2</v>
      </c>
      <c r="J200" s="6" t="s">
        <v>159</v>
      </c>
      <c r="L200" s="8">
        <v>1</v>
      </c>
      <c r="M200" s="8">
        <v>1</v>
      </c>
      <c r="N200" s="6">
        <v>1</v>
      </c>
      <c r="O200" s="8">
        <v>1</v>
      </c>
      <c r="P200" s="6">
        <v>64.5</v>
      </c>
      <c r="Q200" s="6">
        <v>0.31</v>
      </c>
      <c r="R200" s="6">
        <v>18.7</v>
      </c>
      <c r="T200" s="6">
        <f>0.899*2.74</f>
        <v>2.4632600000000004</v>
      </c>
      <c r="V200" s="6">
        <v>2.63</v>
      </c>
      <c r="W200" s="6">
        <v>5.61</v>
      </c>
      <c r="X200" s="6">
        <v>4.22</v>
      </c>
      <c r="Y200" s="6">
        <v>0.73</v>
      </c>
      <c r="Z200" s="6">
        <v>0.52</v>
      </c>
      <c r="AB200" s="6">
        <v>89.7</v>
      </c>
      <c r="AC200" s="6">
        <v>9</v>
      </c>
      <c r="AD200" s="6" t="s">
        <v>89</v>
      </c>
      <c r="AF200" s="6" t="s">
        <v>1165</v>
      </c>
    </row>
    <row r="201" spans="1:32">
      <c r="A201" s="8" t="s">
        <v>1044</v>
      </c>
      <c r="B201" s="6" t="str">
        <f t="shared" si="10"/>
        <v>2H2O_0.5GPa_950</v>
      </c>
      <c r="C201" s="8" t="s">
        <v>645</v>
      </c>
      <c r="D201" s="8">
        <v>950</v>
      </c>
      <c r="E201" s="8">
        <v>5</v>
      </c>
      <c r="F201" s="8">
        <f>72*3600</f>
        <v>259200</v>
      </c>
      <c r="G201" s="9">
        <v>2.6432360916877484E-13</v>
      </c>
      <c r="H201" s="10">
        <f t="shared" si="9"/>
        <v>0.52349853675648972</v>
      </c>
      <c r="I201" s="6">
        <v>2</v>
      </c>
      <c r="J201" s="6" t="s">
        <v>159</v>
      </c>
      <c r="L201" s="8">
        <v>1</v>
      </c>
      <c r="M201" s="8">
        <v>1</v>
      </c>
      <c r="N201" s="6">
        <v>1</v>
      </c>
      <c r="O201" s="8">
        <v>1</v>
      </c>
      <c r="P201" s="6">
        <v>67.5</v>
      </c>
      <c r="Q201" s="6">
        <v>0.27</v>
      </c>
      <c r="R201" s="6">
        <v>17.600000000000001</v>
      </c>
      <c r="T201" s="6">
        <f>0.899*2.03</f>
        <v>1.8249699999999998</v>
      </c>
      <c r="V201" s="6">
        <v>1.91</v>
      </c>
      <c r="W201" s="6">
        <v>4.55</v>
      </c>
      <c r="X201" s="6">
        <v>4.5999999999999996</v>
      </c>
      <c r="Y201" s="6">
        <v>0.86</v>
      </c>
      <c r="Z201" s="6">
        <v>0.67</v>
      </c>
      <c r="AB201" s="6">
        <v>91.6</v>
      </c>
      <c r="AC201" s="6">
        <v>8.4</v>
      </c>
      <c r="AD201" s="6" t="s">
        <v>89</v>
      </c>
      <c r="AF201" s="6" t="s">
        <v>1165</v>
      </c>
    </row>
    <row r="202" spans="1:32">
      <c r="A202" s="8" t="s">
        <v>1044</v>
      </c>
      <c r="B202" s="6" t="str">
        <f t="shared" si="10"/>
        <v>2H2O_0.5GPa_925</v>
      </c>
      <c r="C202" s="8" t="s">
        <v>645</v>
      </c>
      <c r="D202" s="8">
        <v>925</v>
      </c>
      <c r="E202" s="8">
        <v>5</v>
      </c>
      <c r="F202" s="8">
        <f>77*3600</f>
        <v>277200</v>
      </c>
      <c r="G202" s="9">
        <v>1.9549928676947054E-13</v>
      </c>
      <c r="H202" s="10">
        <f t="shared" si="9"/>
        <v>0.46558523298101812</v>
      </c>
      <c r="I202" s="6">
        <v>2</v>
      </c>
      <c r="J202" s="6" t="s">
        <v>161</v>
      </c>
      <c r="L202" s="8">
        <v>1</v>
      </c>
      <c r="M202" s="8">
        <v>1</v>
      </c>
      <c r="N202" s="6">
        <v>1</v>
      </c>
      <c r="O202" s="8">
        <v>1</v>
      </c>
      <c r="P202" s="6">
        <v>69.2</v>
      </c>
      <c r="Q202" s="6">
        <v>0.19</v>
      </c>
      <c r="R202" s="6">
        <v>17</v>
      </c>
      <c r="T202" s="6">
        <f>0.899*2.16</f>
        <v>1.9418400000000002</v>
      </c>
      <c r="V202" s="6">
        <v>1.76</v>
      </c>
      <c r="W202" s="6">
        <v>4.7699999999999996</v>
      </c>
      <c r="X202" s="6">
        <v>3.79</v>
      </c>
      <c r="Y202" s="6">
        <v>0.68</v>
      </c>
      <c r="Z202" s="6">
        <v>0.43</v>
      </c>
      <c r="AB202" s="6">
        <v>92.2</v>
      </c>
      <c r="AC202" s="6">
        <v>7.8</v>
      </c>
      <c r="AD202" s="6" t="s">
        <v>89</v>
      </c>
      <c r="AF202" s="6" t="s">
        <v>1165</v>
      </c>
    </row>
    <row r="203" spans="1:32">
      <c r="A203" s="8" t="s">
        <v>1044</v>
      </c>
      <c r="B203" s="6" t="str">
        <f t="shared" si="10"/>
        <v>2H2O_0.5GPa_875</v>
      </c>
      <c r="C203" s="8" t="s">
        <v>645</v>
      </c>
      <c r="D203" s="8">
        <v>875</v>
      </c>
      <c r="E203" s="8">
        <v>5</v>
      </c>
      <c r="F203" s="8">
        <f>120*3600</f>
        <v>432000</v>
      </c>
      <c r="G203" s="9">
        <v>1.028135457036711E-13</v>
      </c>
      <c r="H203" s="10">
        <f t="shared" si="9"/>
        <v>0.42149947446698399</v>
      </c>
      <c r="I203" s="6">
        <v>2</v>
      </c>
      <c r="J203" s="6" t="s">
        <v>161</v>
      </c>
      <c r="L203" s="8">
        <v>1</v>
      </c>
      <c r="M203" s="8">
        <v>1</v>
      </c>
      <c r="N203" s="6">
        <v>1</v>
      </c>
      <c r="O203" s="8">
        <v>1</v>
      </c>
      <c r="P203" s="6">
        <v>74.400000000000006</v>
      </c>
      <c r="Q203" s="6">
        <v>0.17</v>
      </c>
      <c r="R203" s="6">
        <v>15.1</v>
      </c>
      <c r="T203" s="6">
        <f>0.899*1.31</f>
        <v>1.1776900000000001</v>
      </c>
      <c r="V203" s="6">
        <v>0.71</v>
      </c>
      <c r="W203" s="6">
        <v>3.26</v>
      </c>
      <c r="X203" s="6">
        <v>3.76</v>
      </c>
      <c r="Y203" s="6">
        <v>0.99</v>
      </c>
      <c r="Z203" s="6">
        <v>0.32</v>
      </c>
      <c r="AB203" s="6">
        <v>89.8</v>
      </c>
      <c r="AC203" s="6">
        <v>10.199999999999999</v>
      </c>
      <c r="AD203" s="6" t="s">
        <v>89</v>
      </c>
      <c r="AF203" s="6" t="s">
        <v>1165</v>
      </c>
    </row>
    <row r="204" spans="1:32">
      <c r="A204" s="6" t="s">
        <v>1056</v>
      </c>
      <c r="B204" s="6" t="s">
        <v>306</v>
      </c>
      <c r="C204" s="8" t="s">
        <v>645</v>
      </c>
      <c r="D204" s="6">
        <v>1000</v>
      </c>
      <c r="E204" s="6">
        <v>2</v>
      </c>
      <c r="F204" s="8">
        <f>100*3600</f>
        <v>360000</v>
      </c>
      <c r="G204" s="9">
        <v>4.6632042652511761E-13</v>
      </c>
      <c r="H204" s="10">
        <f t="shared" si="9"/>
        <v>0.81945189864699763</v>
      </c>
      <c r="I204" s="6" t="s">
        <v>307</v>
      </c>
      <c r="J204" s="6" t="s">
        <v>308</v>
      </c>
      <c r="L204" s="6">
        <v>1</v>
      </c>
      <c r="M204" s="6">
        <v>0</v>
      </c>
      <c r="N204" s="6">
        <v>0</v>
      </c>
      <c r="O204" s="6">
        <v>0</v>
      </c>
      <c r="P204" s="6">
        <v>61.11</v>
      </c>
      <c r="Q204" s="6">
        <v>1.59</v>
      </c>
      <c r="R204" s="6">
        <v>13.9</v>
      </c>
      <c r="T204" s="6">
        <v>6.9</v>
      </c>
      <c r="U204" s="6">
        <v>0.28000000000000003</v>
      </c>
      <c r="V204" s="6">
        <v>1.92</v>
      </c>
      <c r="W204" s="6">
        <v>6.48</v>
      </c>
      <c r="X204" s="6">
        <v>3.94</v>
      </c>
      <c r="Y204" s="6">
        <v>0.42</v>
      </c>
      <c r="Z204" s="6">
        <v>0.77</v>
      </c>
      <c r="AA204" s="6">
        <v>0.11</v>
      </c>
      <c r="AB204" s="6">
        <v>97.32</v>
      </c>
      <c r="AC204" s="6">
        <v>2.7</v>
      </c>
      <c r="AD204" s="6" t="s">
        <v>275</v>
      </c>
    </row>
    <row r="205" spans="1:32">
      <c r="A205" s="6" t="s">
        <v>1056</v>
      </c>
      <c r="B205" s="6" t="s">
        <v>309</v>
      </c>
      <c r="C205" s="8" t="s">
        <v>645</v>
      </c>
      <c r="D205" s="6">
        <v>1000</v>
      </c>
      <c r="E205" s="6">
        <v>2</v>
      </c>
      <c r="F205" s="8">
        <f>100*3600</f>
        <v>360000</v>
      </c>
      <c r="G205" s="9">
        <v>4.6632042652511761E-13</v>
      </c>
      <c r="H205" s="10">
        <f t="shared" si="9"/>
        <v>0.81945189864699763</v>
      </c>
      <c r="I205" s="6" t="s">
        <v>310</v>
      </c>
      <c r="J205" s="6" t="s">
        <v>308</v>
      </c>
      <c r="L205" s="6">
        <v>1</v>
      </c>
      <c r="M205" s="6">
        <v>0</v>
      </c>
      <c r="N205" s="6">
        <v>0</v>
      </c>
      <c r="O205" s="6">
        <v>0</v>
      </c>
      <c r="P205" s="6">
        <v>68.39</v>
      </c>
      <c r="Q205" s="6">
        <v>1.24</v>
      </c>
      <c r="R205" s="6">
        <v>12.6</v>
      </c>
      <c r="T205" s="6">
        <v>6.49</v>
      </c>
      <c r="U205" s="6">
        <v>0.16</v>
      </c>
      <c r="V205" s="6">
        <v>1.0900000000000001</v>
      </c>
      <c r="W205" s="6">
        <v>4.68</v>
      </c>
      <c r="X205" s="6">
        <v>3.82</v>
      </c>
      <c r="Y205" s="6">
        <v>0.76</v>
      </c>
      <c r="Z205" s="6">
        <v>0.56000000000000005</v>
      </c>
      <c r="AA205" s="6">
        <v>0.11</v>
      </c>
      <c r="AB205" s="6">
        <v>99.79</v>
      </c>
      <c r="AC205" s="6">
        <v>0.2</v>
      </c>
      <c r="AD205" s="6" t="s">
        <v>275</v>
      </c>
    </row>
    <row r="206" spans="1:32">
      <c r="A206" s="6" t="s">
        <v>1056</v>
      </c>
      <c r="B206" s="6" t="s">
        <v>311</v>
      </c>
      <c r="C206" s="8" t="s">
        <v>645</v>
      </c>
      <c r="D206" s="6">
        <v>950</v>
      </c>
      <c r="E206" s="6">
        <v>2</v>
      </c>
      <c r="F206" s="6">
        <f t="shared" ref="F206:F215" si="11">120*3600</f>
        <v>432000</v>
      </c>
      <c r="G206" s="9">
        <v>2.6432360916877484E-13</v>
      </c>
      <c r="H206" s="10">
        <f t="shared" si="9"/>
        <v>0.67583370487394523</v>
      </c>
      <c r="I206" s="6" t="s">
        <v>41</v>
      </c>
      <c r="J206" s="6" t="s">
        <v>312</v>
      </c>
      <c r="K206" s="6">
        <v>65.5</v>
      </c>
      <c r="L206" s="6">
        <v>1</v>
      </c>
      <c r="M206" s="6">
        <v>0</v>
      </c>
      <c r="N206" s="6">
        <v>0</v>
      </c>
      <c r="O206" s="6">
        <v>0</v>
      </c>
      <c r="P206" s="6">
        <v>59.54</v>
      </c>
      <c r="Q206" s="6">
        <v>1.07</v>
      </c>
      <c r="R206" s="6">
        <v>15.07</v>
      </c>
      <c r="T206" s="6">
        <v>4.32</v>
      </c>
      <c r="U206" s="6">
        <v>0.22</v>
      </c>
      <c r="V206" s="6">
        <v>1.93</v>
      </c>
      <c r="W206" s="6">
        <v>6.84</v>
      </c>
      <c r="X206" s="6">
        <v>3.6</v>
      </c>
      <c r="Y206" s="6">
        <v>0.38</v>
      </c>
      <c r="Z206" s="6">
        <v>0.44</v>
      </c>
      <c r="AA206" s="6">
        <v>0.04</v>
      </c>
      <c r="AB206" s="6">
        <v>93.42</v>
      </c>
      <c r="AC206" s="6">
        <v>6.6</v>
      </c>
      <c r="AD206" s="6" t="s">
        <v>275</v>
      </c>
    </row>
    <row r="207" spans="1:32">
      <c r="A207" s="6" t="s">
        <v>1056</v>
      </c>
      <c r="B207" s="6" t="s">
        <v>313</v>
      </c>
      <c r="C207" s="8" t="s">
        <v>645</v>
      </c>
      <c r="D207" s="6">
        <v>950</v>
      </c>
      <c r="E207" s="6">
        <v>2</v>
      </c>
      <c r="F207" s="6">
        <f t="shared" si="11"/>
        <v>432000</v>
      </c>
      <c r="G207" s="9">
        <v>2.6432360916877484E-13</v>
      </c>
      <c r="H207" s="10">
        <f t="shared" si="9"/>
        <v>0.67583370487394523</v>
      </c>
      <c r="I207" s="6" t="s">
        <v>314</v>
      </c>
      <c r="J207" s="6" t="s">
        <v>312</v>
      </c>
      <c r="L207" s="6">
        <v>1</v>
      </c>
      <c r="M207" s="6">
        <v>0</v>
      </c>
      <c r="N207" s="6">
        <v>0</v>
      </c>
      <c r="O207" s="6">
        <v>0</v>
      </c>
      <c r="P207" s="6">
        <v>60.56</v>
      </c>
      <c r="Q207" s="6">
        <v>1.04</v>
      </c>
      <c r="R207" s="6">
        <v>15.64</v>
      </c>
      <c r="T207" s="6">
        <v>4.4000000000000004</v>
      </c>
      <c r="U207" s="6">
        <v>0.23</v>
      </c>
      <c r="V207" s="6">
        <v>1.8</v>
      </c>
      <c r="W207" s="6">
        <v>6.63</v>
      </c>
      <c r="X207" s="6">
        <v>3.73</v>
      </c>
      <c r="Y207" s="6">
        <v>0.4</v>
      </c>
      <c r="Z207" s="6">
        <v>0.4</v>
      </c>
      <c r="AA207" s="6">
        <v>0.06</v>
      </c>
      <c r="AB207" s="6">
        <v>94.83</v>
      </c>
      <c r="AC207" s="6">
        <v>5.2</v>
      </c>
      <c r="AD207" s="6" t="s">
        <v>275</v>
      </c>
    </row>
    <row r="208" spans="1:32">
      <c r="A208" s="6" t="s">
        <v>1056</v>
      </c>
      <c r="B208" s="6" t="s">
        <v>315</v>
      </c>
      <c r="C208" s="8" t="s">
        <v>645</v>
      </c>
      <c r="D208" s="6">
        <v>900</v>
      </c>
      <c r="E208" s="6">
        <v>2</v>
      </c>
      <c r="F208" s="6">
        <f t="shared" si="11"/>
        <v>432000</v>
      </c>
      <c r="G208" s="9">
        <v>1.4274849337614078E-13</v>
      </c>
      <c r="H208" s="10">
        <f t="shared" si="9"/>
        <v>0.49665822912136592</v>
      </c>
      <c r="I208" s="6" t="s">
        <v>41</v>
      </c>
      <c r="J208" s="6" t="s">
        <v>308</v>
      </c>
      <c r="K208" s="6">
        <v>50</v>
      </c>
      <c r="L208" s="6">
        <v>1</v>
      </c>
      <c r="M208" s="6">
        <v>0</v>
      </c>
      <c r="N208" s="6">
        <v>0</v>
      </c>
      <c r="O208" s="6">
        <v>0</v>
      </c>
      <c r="P208" s="6">
        <v>65.38</v>
      </c>
      <c r="Q208" s="6">
        <v>0.69</v>
      </c>
      <c r="R208" s="6">
        <v>15.18</v>
      </c>
      <c r="T208" s="6">
        <v>3.39</v>
      </c>
      <c r="U208" s="6">
        <v>0.19</v>
      </c>
      <c r="V208" s="6">
        <v>1.1000000000000001</v>
      </c>
      <c r="W208" s="6">
        <v>4.6399999999999997</v>
      </c>
      <c r="X208" s="6">
        <v>3.52</v>
      </c>
      <c r="Y208" s="6">
        <v>0.48</v>
      </c>
      <c r="Z208" s="6">
        <v>0.21</v>
      </c>
      <c r="AA208" s="6">
        <v>0.02</v>
      </c>
      <c r="AB208" s="6">
        <v>94.79</v>
      </c>
      <c r="AC208" s="6">
        <v>5.5</v>
      </c>
      <c r="AD208" s="6" t="s">
        <v>275</v>
      </c>
    </row>
    <row r="209" spans="1:30">
      <c r="A209" s="6" t="s">
        <v>1056</v>
      </c>
      <c r="B209" s="6" t="s">
        <v>316</v>
      </c>
      <c r="C209" s="8" t="s">
        <v>645</v>
      </c>
      <c r="D209" s="6">
        <v>900</v>
      </c>
      <c r="E209" s="6">
        <v>2</v>
      </c>
      <c r="F209" s="6">
        <f t="shared" si="11"/>
        <v>432000</v>
      </c>
      <c r="G209" s="9">
        <v>1.4274849337614078E-13</v>
      </c>
      <c r="H209" s="10">
        <f t="shared" si="9"/>
        <v>0.49665822912136592</v>
      </c>
      <c r="I209" s="6" t="s">
        <v>317</v>
      </c>
      <c r="J209" s="6" t="s">
        <v>308</v>
      </c>
      <c r="K209" s="6">
        <v>46</v>
      </c>
      <c r="L209" s="6">
        <v>1</v>
      </c>
      <c r="M209" s="6">
        <v>0</v>
      </c>
      <c r="N209" s="6">
        <v>0</v>
      </c>
      <c r="O209" s="6">
        <v>0</v>
      </c>
      <c r="P209" s="6">
        <v>67.58</v>
      </c>
      <c r="Q209" s="6">
        <v>0.63</v>
      </c>
      <c r="R209" s="6">
        <v>14.83</v>
      </c>
      <c r="T209" s="6">
        <v>2.89</v>
      </c>
      <c r="U209" s="6">
        <v>0.18</v>
      </c>
      <c r="V209" s="6">
        <v>1</v>
      </c>
      <c r="W209" s="6">
        <v>3.96</v>
      </c>
      <c r="X209" s="6">
        <v>3.91</v>
      </c>
      <c r="Y209" s="6">
        <v>0.56000000000000005</v>
      </c>
      <c r="Z209" s="6">
        <v>0.19</v>
      </c>
      <c r="AA209" s="6">
        <v>0.03</v>
      </c>
      <c r="AB209" s="6">
        <v>95.73</v>
      </c>
      <c r="AC209" s="6">
        <v>4.5999999999999996</v>
      </c>
      <c r="AD209" s="6" t="s">
        <v>275</v>
      </c>
    </row>
    <row r="210" spans="1:30">
      <c r="A210" s="6" t="s">
        <v>1056</v>
      </c>
      <c r="B210" s="6" t="s">
        <v>318</v>
      </c>
      <c r="C210" s="8" t="s">
        <v>645</v>
      </c>
      <c r="D210" s="6">
        <v>900</v>
      </c>
      <c r="E210" s="6">
        <v>2</v>
      </c>
      <c r="F210" s="6">
        <f t="shared" si="11"/>
        <v>432000</v>
      </c>
      <c r="G210" s="9">
        <v>1.4274849337614078E-13</v>
      </c>
      <c r="H210" s="10">
        <f t="shared" si="9"/>
        <v>0.49665822912136592</v>
      </c>
      <c r="I210" s="6" t="s">
        <v>1118</v>
      </c>
      <c r="J210" s="6" t="s">
        <v>319</v>
      </c>
      <c r="L210" s="6">
        <v>1</v>
      </c>
      <c r="M210" s="6">
        <v>0</v>
      </c>
      <c r="N210" s="6">
        <v>0</v>
      </c>
      <c r="O210" s="6">
        <v>0</v>
      </c>
      <c r="P210" s="6">
        <v>64.989999999999995</v>
      </c>
      <c r="Q210" s="6">
        <v>0.64</v>
      </c>
      <c r="R210" s="6">
        <v>15.62</v>
      </c>
      <c r="T210" s="6">
        <v>3.11</v>
      </c>
      <c r="U210" s="6">
        <v>0.15</v>
      </c>
      <c r="V210" s="6">
        <v>1.44</v>
      </c>
      <c r="W210" s="6">
        <v>4.8600000000000003</v>
      </c>
      <c r="X210" s="6">
        <v>3.62</v>
      </c>
      <c r="Y210" s="6">
        <v>0.47</v>
      </c>
      <c r="Z210" s="6">
        <v>0.27</v>
      </c>
      <c r="AA210" s="6">
        <v>0.01</v>
      </c>
      <c r="AB210" s="6">
        <v>95.23</v>
      </c>
      <c r="AC210" s="6">
        <v>5.0999999999999996</v>
      </c>
      <c r="AD210" s="6" t="s">
        <v>275</v>
      </c>
    </row>
    <row r="211" spans="1:30">
      <c r="A211" s="6" t="s">
        <v>1056</v>
      </c>
      <c r="B211" s="6" t="s">
        <v>320</v>
      </c>
      <c r="C211" s="8" t="s">
        <v>645</v>
      </c>
      <c r="D211" s="6">
        <v>900</v>
      </c>
      <c r="E211" s="6">
        <v>2</v>
      </c>
      <c r="F211" s="6">
        <f t="shared" si="11"/>
        <v>432000</v>
      </c>
      <c r="G211" s="9">
        <v>1.4274849337614078E-13</v>
      </c>
      <c r="H211" s="10">
        <f t="shared" si="9"/>
        <v>0.49665822912136592</v>
      </c>
      <c r="I211" s="6" t="s">
        <v>321</v>
      </c>
      <c r="J211" s="6" t="s">
        <v>319</v>
      </c>
      <c r="L211" s="6">
        <v>1</v>
      </c>
      <c r="M211" s="6">
        <v>0</v>
      </c>
      <c r="N211" s="6">
        <v>0</v>
      </c>
      <c r="O211" s="6">
        <v>0</v>
      </c>
      <c r="P211" s="6">
        <v>67.3</v>
      </c>
      <c r="Q211" s="6">
        <v>0.62</v>
      </c>
      <c r="R211" s="6">
        <v>14.59</v>
      </c>
      <c r="T211" s="6">
        <v>2.96</v>
      </c>
      <c r="U211" s="6">
        <v>0.19</v>
      </c>
      <c r="V211" s="6">
        <v>1.22</v>
      </c>
      <c r="W211" s="6">
        <v>4.07</v>
      </c>
      <c r="X211" s="6">
        <v>3.3</v>
      </c>
      <c r="Y211" s="6">
        <v>0.54</v>
      </c>
      <c r="Z211" s="6">
        <v>0.23</v>
      </c>
      <c r="AA211" s="6">
        <v>0.02</v>
      </c>
      <c r="AB211" s="6">
        <v>95.06</v>
      </c>
      <c r="AC211" s="6">
        <v>5.3</v>
      </c>
      <c r="AD211" s="6" t="s">
        <v>275</v>
      </c>
    </row>
    <row r="212" spans="1:30">
      <c r="A212" s="6" t="s">
        <v>1056</v>
      </c>
      <c r="B212" s="6" t="s">
        <v>322</v>
      </c>
      <c r="C212" s="8" t="s">
        <v>645</v>
      </c>
      <c r="D212" s="6">
        <v>950</v>
      </c>
      <c r="E212" s="6">
        <v>2</v>
      </c>
      <c r="F212" s="6">
        <f t="shared" si="11"/>
        <v>432000</v>
      </c>
      <c r="G212" s="9">
        <v>2.6432360916877484E-13</v>
      </c>
      <c r="H212" s="10">
        <f t="shared" si="9"/>
        <v>0.67583370487394523</v>
      </c>
      <c r="I212" s="6" t="s">
        <v>41</v>
      </c>
      <c r="J212" s="6" t="s">
        <v>323</v>
      </c>
      <c r="K212" s="6">
        <v>67.3</v>
      </c>
      <c r="L212" s="6">
        <v>1</v>
      </c>
      <c r="M212" s="6">
        <v>0</v>
      </c>
      <c r="N212" s="6">
        <v>0</v>
      </c>
      <c r="O212" s="6">
        <v>0</v>
      </c>
      <c r="P212" s="6">
        <v>57.49</v>
      </c>
      <c r="Q212" s="6">
        <v>1.31</v>
      </c>
      <c r="R212" s="6">
        <v>15.16</v>
      </c>
      <c r="T212" s="6">
        <v>7.44</v>
      </c>
      <c r="U212" s="6">
        <v>0.25</v>
      </c>
      <c r="V212" s="6">
        <v>1.92</v>
      </c>
      <c r="W212" s="6">
        <v>6.65</v>
      </c>
      <c r="X212" s="6">
        <v>3.62</v>
      </c>
      <c r="Y212" s="6">
        <v>0.38</v>
      </c>
      <c r="Z212" s="6">
        <v>0.52</v>
      </c>
      <c r="AA212" s="6">
        <v>0.02</v>
      </c>
      <c r="AB212" s="6">
        <v>94.74</v>
      </c>
      <c r="AC212" s="6">
        <v>5.6</v>
      </c>
      <c r="AD212" s="6" t="s">
        <v>275</v>
      </c>
    </row>
    <row r="213" spans="1:30">
      <c r="A213" s="6" t="s">
        <v>1056</v>
      </c>
      <c r="B213" s="6" t="s">
        <v>324</v>
      </c>
      <c r="C213" s="8" t="s">
        <v>645</v>
      </c>
      <c r="D213" s="6">
        <v>950</v>
      </c>
      <c r="E213" s="6">
        <v>2</v>
      </c>
      <c r="F213" s="6">
        <f t="shared" si="11"/>
        <v>432000</v>
      </c>
      <c r="G213" s="9">
        <v>2.6432360916877484E-13</v>
      </c>
      <c r="H213" s="10">
        <f t="shared" si="9"/>
        <v>0.67583370487394523</v>
      </c>
      <c r="I213" s="6" t="s">
        <v>325</v>
      </c>
      <c r="J213" s="6" t="s">
        <v>323</v>
      </c>
      <c r="K213" s="6">
        <v>65.2</v>
      </c>
      <c r="L213" s="6">
        <v>1</v>
      </c>
      <c r="M213" s="6">
        <v>0</v>
      </c>
      <c r="N213" s="6">
        <v>0</v>
      </c>
      <c r="O213" s="6">
        <v>0</v>
      </c>
      <c r="P213" s="6">
        <v>58.17</v>
      </c>
      <c r="Q213" s="6">
        <v>1.2</v>
      </c>
      <c r="R213" s="6">
        <v>15.37</v>
      </c>
      <c r="T213" s="6">
        <v>7.36</v>
      </c>
      <c r="U213" s="6">
        <v>0.23</v>
      </c>
      <c r="V213" s="6">
        <v>1.84</v>
      </c>
      <c r="W213" s="6">
        <v>6.4</v>
      </c>
      <c r="X213" s="6">
        <v>3.72</v>
      </c>
      <c r="Y213" s="6">
        <v>0.37</v>
      </c>
      <c r="Z213" s="6">
        <v>0.52</v>
      </c>
      <c r="AA213" s="6">
        <v>0.01</v>
      </c>
      <c r="AB213" s="6">
        <v>95.19</v>
      </c>
      <c r="AC213" s="6">
        <v>5.0999999999999996</v>
      </c>
      <c r="AD213" s="6" t="s">
        <v>275</v>
      </c>
    </row>
    <row r="214" spans="1:30">
      <c r="A214" s="6" t="s">
        <v>1056</v>
      </c>
      <c r="B214" s="6" t="s">
        <v>326</v>
      </c>
      <c r="C214" s="8" t="s">
        <v>645</v>
      </c>
      <c r="D214" s="6">
        <v>950</v>
      </c>
      <c r="E214" s="6">
        <v>2</v>
      </c>
      <c r="F214" s="6">
        <f t="shared" si="11"/>
        <v>432000</v>
      </c>
      <c r="G214" s="9">
        <v>2.6432360916877484E-13</v>
      </c>
      <c r="H214" s="10">
        <f t="shared" si="9"/>
        <v>0.67583370487394523</v>
      </c>
      <c r="I214" s="6" t="s">
        <v>327</v>
      </c>
      <c r="J214" s="6" t="s">
        <v>328</v>
      </c>
      <c r="K214" s="6">
        <v>39</v>
      </c>
      <c r="L214" s="6">
        <v>1</v>
      </c>
      <c r="M214" s="6">
        <v>0</v>
      </c>
      <c r="N214" s="6">
        <v>0</v>
      </c>
      <c r="O214" s="6">
        <v>0</v>
      </c>
      <c r="P214" s="6">
        <v>64.37</v>
      </c>
      <c r="Q214" s="6">
        <v>0.88</v>
      </c>
      <c r="R214" s="6">
        <v>14.34</v>
      </c>
      <c r="T214" s="6">
        <v>6.36</v>
      </c>
      <c r="U214" s="6">
        <v>0.21</v>
      </c>
      <c r="V214" s="6">
        <v>1.17</v>
      </c>
      <c r="W214" s="6">
        <v>4.6100000000000003</v>
      </c>
      <c r="X214" s="6">
        <v>4.26</v>
      </c>
      <c r="Y214" s="6">
        <v>0.62</v>
      </c>
      <c r="Z214" s="6">
        <v>0.41</v>
      </c>
      <c r="AA214" s="6">
        <v>0.02</v>
      </c>
      <c r="AB214" s="6">
        <v>97.23</v>
      </c>
      <c r="AC214" s="6">
        <v>3.3</v>
      </c>
      <c r="AD214" s="6" t="s">
        <v>275</v>
      </c>
    </row>
    <row r="215" spans="1:30">
      <c r="A215" s="6" t="s">
        <v>1056</v>
      </c>
      <c r="B215" s="6" t="s">
        <v>329</v>
      </c>
      <c r="C215" s="8" t="s">
        <v>645</v>
      </c>
      <c r="D215" s="6">
        <v>950</v>
      </c>
      <c r="E215" s="6">
        <v>2</v>
      </c>
      <c r="F215" s="6">
        <f t="shared" si="11"/>
        <v>432000</v>
      </c>
      <c r="G215" s="9">
        <v>2.6432360916877484E-13</v>
      </c>
      <c r="H215" s="10">
        <f t="shared" si="9"/>
        <v>0.67583370487394523</v>
      </c>
      <c r="I215" s="6" t="s">
        <v>330</v>
      </c>
      <c r="J215" s="6" t="s">
        <v>331</v>
      </c>
      <c r="L215" s="6">
        <v>1</v>
      </c>
      <c r="M215" s="6">
        <v>0</v>
      </c>
      <c r="N215" s="6">
        <v>0</v>
      </c>
      <c r="O215" s="6">
        <v>0</v>
      </c>
      <c r="P215" s="6">
        <v>56.5</v>
      </c>
      <c r="Q215" s="6">
        <v>1.27</v>
      </c>
      <c r="R215" s="6">
        <v>15.11</v>
      </c>
      <c r="T215" s="6">
        <v>7.48</v>
      </c>
      <c r="U215" s="6">
        <v>0.25</v>
      </c>
      <c r="V215" s="6">
        <v>1.96</v>
      </c>
      <c r="W215" s="6">
        <v>6.92</v>
      </c>
      <c r="X215" s="6">
        <v>3.44</v>
      </c>
      <c r="Y215" s="6">
        <v>0.39</v>
      </c>
      <c r="Z215" s="6">
        <v>0.56999999999999995</v>
      </c>
      <c r="AA215" s="6">
        <v>0.03</v>
      </c>
      <c r="AB215" s="6">
        <v>93.95</v>
      </c>
      <c r="AC215" s="6">
        <v>6.4</v>
      </c>
      <c r="AD215" s="6" t="s">
        <v>275</v>
      </c>
    </row>
    <row r="216" spans="1:30">
      <c r="A216" s="6" t="s">
        <v>1056</v>
      </c>
      <c r="B216" s="6" t="s">
        <v>332</v>
      </c>
      <c r="C216" s="8" t="s">
        <v>645</v>
      </c>
      <c r="D216" s="6">
        <v>900</v>
      </c>
      <c r="E216" s="6">
        <v>2</v>
      </c>
      <c r="F216" s="6">
        <f>132*3600</f>
        <v>475200</v>
      </c>
      <c r="G216" s="9">
        <v>1.4274849337614078E-13</v>
      </c>
      <c r="H216" s="10">
        <f t="shared" si="9"/>
        <v>0.52089954521900705</v>
      </c>
      <c r="I216" s="6" t="s">
        <v>41</v>
      </c>
      <c r="J216" s="6" t="s">
        <v>328</v>
      </c>
      <c r="K216" s="6">
        <v>52.9</v>
      </c>
      <c r="L216" s="6">
        <v>1</v>
      </c>
      <c r="M216" s="6">
        <v>0</v>
      </c>
      <c r="N216" s="6">
        <v>0</v>
      </c>
      <c r="O216" s="6">
        <v>0</v>
      </c>
      <c r="P216" s="6">
        <v>63.31</v>
      </c>
      <c r="Q216" s="6">
        <v>0.67</v>
      </c>
      <c r="R216" s="6">
        <v>15.45</v>
      </c>
      <c r="T216" s="6">
        <v>4.71</v>
      </c>
      <c r="U216" s="6">
        <v>0.2</v>
      </c>
      <c r="V216" s="6">
        <v>1.1599999999999999</v>
      </c>
      <c r="W216" s="6">
        <v>4.72</v>
      </c>
      <c r="X216" s="6">
        <v>4.05</v>
      </c>
      <c r="Y216" s="6">
        <v>0.49</v>
      </c>
      <c r="Z216" s="6">
        <v>0.16</v>
      </c>
      <c r="AA216" s="6">
        <v>0.15</v>
      </c>
      <c r="AB216" s="6">
        <v>94.92</v>
      </c>
      <c r="AC216" s="6">
        <v>5.0999999999999996</v>
      </c>
      <c r="AD216" s="6" t="s">
        <v>275</v>
      </c>
    </row>
    <row r="217" spans="1:30">
      <c r="A217" s="6" t="s">
        <v>1056</v>
      </c>
      <c r="B217" s="6" t="s">
        <v>333</v>
      </c>
      <c r="C217" s="8" t="s">
        <v>645</v>
      </c>
      <c r="D217" s="6">
        <v>900</v>
      </c>
      <c r="E217" s="6">
        <v>2</v>
      </c>
      <c r="F217" s="6">
        <f>132*3600</f>
        <v>475200</v>
      </c>
      <c r="G217" s="9">
        <v>1.4274849337614078E-13</v>
      </c>
      <c r="H217" s="10">
        <f t="shared" si="9"/>
        <v>0.52089954521900705</v>
      </c>
      <c r="I217" s="6" t="s">
        <v>334</v>
      </c>
      <c r="J217" s="6" t="s">
        <v>328</v>
      </c>
      <c r="K217" s="6">
        <v>45.2</v>
      </c>
      <c r="L217" s="6">
        <v>1</v>
      </c>
      <c r="M217" s="6">
        <v>0</v>
      </c>
      <c r="N217" s="6">
        <v>0</v>
      </c>
      <c r="O217" s="6">
        <v>0</v>
      </c>
      <c r="P217" s="6">
        <v>64.8</v>
      </c>
      <c r="Q217" s="6">
        <v>0.62</v>
      </c>
      <c r="R217" s="6">
        <v>15.17</v>
      </c>
      <c r="T217" s="6">
        <v>4.46</v>
      </c>
      <c r="U217" s="6">
        <v>0.25</v>
      </c>
      <c r="V217" s="6">
        <v>1.01</v>
      </c>
      <c r="W217" s="6">
        <v>4.18</v>
      </c>
      <c r="X217" s="6">
        <v>4.08</v>
      </c>
      <c r="Y217" s="6">
        <v>0.56999999999999995</v>
      </c>
      <c r="Z217" s="6">
        <v>0.27</v>
      </c>
      <c r="AA217" s="6">
        <v>0.09</v>
      </c>
      <c r="AB217" s="6">
        <v>95.42</v>
      </c>
      <c r="AC217" s="6">
        <v>4.5999999999999996</v>
      </c>
      <c r="AD217" s="6" t="s">
        <v>275</v>
      </c>
    </row>
    <row r="218" spans="1:30">
      <c r="A218" s="6" t="s">
        <v>1056</v>
      </c>
      <c r="B218" s="6" t="s">
        <v>335</v>
      </c>
      <c r="C218" s="8" t="s">
        <v>645</v>
      </c>
      <c r="D218" s="6">
        <v>900</v>
      </c>
      <c r="E218" s="6">
        <v>2</v>
      </c>
      <c r="F218" s="6">
        <f>132*3600</f>
        <v>475200</v>
      </c>
      <c r="G218" s="9">
        <v>1.4274849337614078E-13</v>
      </c>
      <c r="H218" s="10">
        <f t="shared" si="9"/>
        <v>0.52089954521900705</v>
      </c>
      <c r="I218" s="6" t="s">
        <v>1118</v>
      </c>
      <c r="J218" s="6" t="s">
        <v>336</v>
      </c>
      <c r="L218" s="6">
        <v>1</v>
      </c>
      <c r="M218" s="6">
        <v>0</v>
      </c>
      <c r="N218" s="6">
        <v>0</v>
      </c>
      <c r="O218" s="6">
        <v>0</v>
      </c>
      <c r="P218" s="6">
        <v>63.26</v>
      </c>
      <c r="Q218" s="6">
        <v>0.65</v>
      </c>
      <c r="R218" s="6">
        <v>15.46</v>
      </c>
      <c r="T218" s="6">
        <v>4.99</v>
      </c>
      <c r="U218" s="6">
        <v>0.25</v>
      </c>
      <c r="V218" s="6">
        <v>1.1399999999999999</v>
      </c>
      <c r="W218" s="6">
        <v>4.59</v>
      </c>
      <c r="X218" s="6">
        <v>3.92</v>
      </c>
      <c r="Y218" s="6">
        <v>0.44</v>
      </c>
      <c r="Z218" s="6">
        <v>0.28000000000000003</v>
      </c>
      <c r="AA218" s="6">
        <v>0.03</v>
      </c>
      <c r="AB218" s="6">
        <v>95.02</v>
      </c>
      <c r="AC218" s="6">
        <v>5</v>
      </c>
      <c r="AD218" s="6" t="s">
        <v>275</v>
      </c>
    </row>
    <row r="219" spans="1:30">
      <c r="A219" s="6" t="s">
        <v>1056</v>
      </c>
      <c r="B219" s="6" t="s">
        <v>337</v>
      </c>
      <c r="C219" s="8" t="s">
        <v>645</v>
      </c>
      <c r="D219" s="6">
        <v>900</v>
      </c>
      <c r="E219" s="6">
        <v>2</v>
      </c>
      <c r="F219" s="6">
        <f>132*3600</f>
        <v>475200</v>
      </c>
      <c r="G219" s="9">
        <v>1.4274849337614078E-13</v>
      </c>
      <c r="H219" s="10">
        <f t="shared" si="9"/>
        <v>0.52089954521900705</v>
      </c>
      <c r="I219" s="6" t="s">
        <v>338</v>
      </c>
      <c r="J219" s="6" t="s">
        <v>336</v>
      </c>
      <c r="L219" s="6">
        <v>1</v>
      </c>
      <c r="M219" s="6">
        <v>0</v>
      </c>
      <c r="N219" s="6">
        <v>0</v>
      </c>
      <c r="O219" s="6">
        <v>0</v>
      </c>
      <c r="P219" s="6">
        <v>65.209999999999994</v>
      </c>
      <c r="Q219" s="6">
        <v>0.59</v>
      </c>
      <c r="R219" s="6">
        <v>15.01</v>
      </c>
      <c r="T219" s="6">
        <v>4.3600000000000003</v>
      </c>
      <c r="U219" s="6">
        <v>0.21</v>
      </c>
      <c r="V219" s="6">
        <v>0.99</v>
      </c>
      <c r="W219" s="6">
        <v>4.21</v>
      </c>
      <c r="X219" s="6">
        <v>3.71</v>
      </c>
      <c r="Y219" s="6">
        <v>0.5</v>
      </c>
      <c r="Z219" s="6">
        <v>0.24</v>
      </c>
      <c r="AA219" s="6">
        <v>0.02</v>
      </c>
      <c r="AB219" s="6">
        <v>95.07</v>
      </c>
      <c r="AC219" s="6">
        <v>4.9000000000000004</v>
      </c>
      <c r="AD219" s="6" t="s">
        <v>275</v>
      </c>
    </row>
    <row r="220" spans="1:30">
      <c r="A220" s="6" t="s">
        <v>1056</v>
      </c>
      <c r="B220" s="6" t="s">
        <v>339</v>
      </c>
      <c r="C220" s="8" t="s">
        <v>645</v>
      </c>
      <c r="D220" s="6">
        <v>900</v>
      </c>
      <c r="E220" s="6">
        <v>2</v>
      </c>
      <c r="F220" s="6">
        <f>132*3600</f>
        <v>475200</v>
      </c>
      <c r="G220" s="9">
        <v>1.4274849337614078E-13</v>
      </c>
      <c r="H220" s="10">
        <f t="shared" si="9"/>
        <v>0.52089954521900705</v>
      </c>
      <c r="I220" s="6" t="s">
        <v>330</v>
      </c>
      <c r="J220" s="6" t="s">
        <v>336</v>
      </c>
      <c r="L220" s="6">
        <v>1</v>
      </c>
      <c r="M220" s="6">
        <v>0</v>
      </c>
      <c r="N220" s="6">
        <v>0</v>
      </c>
      <c r="O220" s="6">
        <v>0</v>
      </c>
      <c r="P220" s="6">
        <v>63.77</v>
      </c>
      <c r="Q220" s="6">
        <v>0.65</v>
      </c>
      <c r="R220" s="6">
        <v>15.27</v>
      </c>
      <c r="T220" s="6">
        <v>4.7300000000000004</v>
      </c>
      <c r="U220" s="6">
        <v>0.22</v>
      </c>
      <c r="V220" s="6">
        <v>1.0900000000000001</v>
      </c>
      <c r="W220" s="6">
        <v>4.54</v>
      </c>
      <c r="X220" s="6">
        <v>3.8</v>
      </c>
      <c r="Y220" s="6">
        <v>0.5</v>
      </c>
      <c r="Z220" s="6">
        <v>0.28000000000000003</v>
      </c>
      <c r="AA220" s="6">
        <v>0.02</v>
      </c>
      <c r="AB220" s="6">
        <v>94.9</v>
      </c>
      <c r="AC220" s="6">
        <v>5.0999999999999996</v>
      </c>
      <c r="AD220" s="6" t="s">
        <v>275</v>
      </c>
    </row>
    <row r="221" spans="1:30">
      <c r="A221" s="8" t="s">
        <v>1045</v>
      </c>
      <c r="B221" s="6" t="s">
        <v>162</v>
      </c>
      <c r="C221" s="8" t="s">
        <v>645</v>
      </c>
      <c r="D221" s="8">
        <v>970</v>
      </c>
      <c r="E221" s="8">
        <v>1</v>
      </c>
      <c r="F221" s="8">
        <f>48*3600</f>
        <v>172800</v>
      </c>
      <c r="G221" s="9">
        <v>3.3353027117791065E-13</v>
      </c>
      <c r="H221" s="10">
        <f t="shared" si="9"/>
        <v>0.48014177431064242</v>
      </c>
      <c r="I221" s="6" t="s">
        <v>41</v>
      </c>
      <c r="J221" s="6" t="s">
        <v>163</v>
      </c>
      <c r="K221" s="6">
        <v>69</v>
      </c>
      <c r="L221" s="8">
        <v>1</v>
      </c>
      <c r="M221" s="8">
        <v>1</v>
      </c>
      <c r="N221" s="8">
        <v>1</v>
      </c>
      <c r="O221" s="8">
        <v>1</v>
      </c>
      <c r="P221" s="6">
        <v>62.8</v>
      </c>
      <c r="Q221" s="6">
        <v>1.08</v>
      </c>
      <c r="R221" s="6">
        <v>17</v>
      </c>
      <c r="T221" s="6">
        <v>5.6</v>
      </c>
      <c r="U221" s="6">
        <v>0.14000000000000001</v>
      </c>
      <c r="V221" s="6">
        <v>1.73</v>
      </c>
      <c r="W221" s="6">
        <v>4.2</v>
      </c>
      <c r="X221" s="6">
        <v>5.7</v>
      </c>
      <c r="Y221" s="6">
        <v>1.34</v>
      </c>
      <c r="Z221" s="6">
        <v>0.43</v>
      </c>
      <c r="AA221" s="6">
        <v>0.04</v>
      </c>
      <c r="AB221" s="6">
        <v>96.9</v>
      </c>
      <c r="AC221" s="6">
        <v>3.76</v>
      </c>
      <c r="AD221" s="6" t="s">
        <v>43</v>
      </c>
    </row>
    <row r="222" spans="1:30">
      <c r="A222" s="8" t="s">
        <v>1045</v>
      </c>
      <c r="B222" s="6" t="s">
        <v>164</v>
      </c>
      <c r="C222" s="8" t="s">
        <v>645</v>
      </c>
      <c r="D222" s="8">
        <v>950</v>
      </c>
      <c r="E222" s="8">
        <v>1</v>
      </c>
      <c r="F222" s="8">
        <f>51*3600</f>
        <v>183600</v>
      </c>
      <c r="G222" s="9">
        <v>2.6432360916877484E-13</v>
      </c>
      <c r="H222" s="10">
        <f t="shared" si="9"/>
        <v>0.44058967143312405</v>
      </c>
      <c r="I222" s="6" t="s">
        <v>41</v>
      </c>
      <c r="J222" s="6" t="s">
        <v>163</v>
      </c>
      <c r="K222" s="6">
        <v>54</v>
      </c>
      <c r="L222" s="8">
        <v>1</v>
      </c>
      <c r="M222" s="8">
        <v>1</v>
      </c>
      <c r="N222" s="8">
        <v>1</v>
      </c>
      <c r="O222" s="8">
        <v>1</v>
      </c>
      <c r="P222" s="6">
        <v>67.400000000000006</v>
      </c>
      <c r="Q222" s="6">
        <v>0.56999999999999995</v>
      </c>
      <c r="R222" s="6">
        <v>16.399999999999999</v>
      </c>
      <c r="T222" s="6">
        <v>3.74</v>
      </c>
      <c r="U222" s="6">
        <v>0.09</v>
      </c>
      <c r="V222" s="6">
        <v>1.25</v>
      </c>
      <c r="W222" s="6">
        <v>2.59</v>
      </c>
      <c r="X222" s="6">
        <v>6.3</v>
      </c>
      <c r="Y222" s="6">
        <v>1.49</v>
      </c>
      <c r="Z222" s="6">
        <v>0.26</v>
      </c>
      <c r="AA222" s="6">
        <v>0.04</v>
      </c>
      <c r="AB222" s="6">
        <v>96.1</v>
      </c>
      <c r="AC222" s="6">
        <v>3.92</v>
      </c>
      <c r="AD222" s="6" t="s">
        <v>43</v>
      </c>
    </row>
    <row r="223" spans="1:30">
      <c r="A223" s="8" t="s">
        <v>1045</v>
      </c>
      <c r="B223" s="6" t="s">
        <v>165</v>
      </c>
      <c r="C223" s="8" t="s">
        <v>645</v>
      </c>
      <c r="D223" s="8">
        <v>935</v>
      </c>
      <c r="E223" s="8">
        <v>1</v>
      </c>
      <c r="F223" s="8">
        <f>45*3600</f>
        <v>162000</v>
      </c>
      <c r="G223" s="9">
        <v>2.2089812234307055E-13</v>
      </c>
      <c r="H223" s="10">
        <f t="shared" si="9"/>
        <v>0.37834109382713071</v>
      </c>
      <c r="I223" s="6" t="s">
        <v>41</v>
      </c>
      <c r="J223" s="6" t="s">
        <v>163</v>
      </c>
      <c r="K223" s="6">
        <v>54</v>
      </c>
      <c r="L223" s="8">
        <v>1</v>
      </c>
      <c r="M223" s="8">
        <v>1</v>
      </c>
      <c r="N223" s="8">
        <v>1</v>
      </c>
      <c r="O223" s="8">
        <v>1</v>
      </c>
      <c r="P223" s="6">
        <v>67.2</v>
      </c>
      <c r="Q223" s="6">
        <v>0.68</v>
      </c>
      <c r="R223" s="6">
        <v>16.5</v>
      </c>
      <c r="T223" s="6">
        <v>3.9</v>
      </c>
      <c r="U223" s="6">
        <v>0.11</v>
      </c>
      <c r="V223" s="6">
        <v>0.96</v>
      </c>
      <c r="W223" s="6">
        <v>2.68</v>
      </c>
      <c r="X223" s="6">
        <v>5.9</v>
      </c>
      <c r="Y223" s="6">
        <v>1.83</v>
      </c>
      <c r="Z223" s="6">
        <v>0.3</v>
      </c>
      <c r="AA223" s="6">
        <v>7.0000000000000007E-2</v>
      </c>
      <c r="AB223" s="6">
        <v>97.2</v>
      </c>
      <c r="AC223" s="6">
        <v>3.89</v>
      </c>
      <c r="AD223" s="6" t="s">
        <v>43</v>
      </c>
    </row>
    <row r="224" spans="1:30">
      <c r="A224" s="8" t="s">
        <v>1045</v>
      </c>
      <c r="B224" s="6" t="s">
        <v>166</v>
      </c>
      <c r="C224" s="8" t="s">
        <v>645</v>
      </c>
      <c r="D224" s="8">
        <v>920</v>
      </c>
      <c r="E224" s="8">
        <v>1</v>
      </c>
      <c r="F224" s="8">
        <f>47*3600</f>
        <v>169200</v>
      </c>
      <c r="G224" s="9">
        <v>1.8377579391805398E-13</v>
      </c>
      <c r="H224" s="10">
        <f t="shared" si="9"/>
        <v>0.35267471886107588</v>
      </c>
      <c r="I224" s="6" t="s">
        <v>41</v>
      </c>
      <c r="J224" s="6" t="s">
        <v>167</v>
      </c>
      <c r="K224" s="6">
        <v>92</v>
      </c>
      <c r="L224" s="6">
        <v>1</v>
      </c>
      <c r="M224" s="6">
        <v>1</v>
      </c>
      <c r="N224" s="6">
        <v>1</v>
      </c>
      <c r="O224" s="6">
        <v>1</v>
      </c>
      <c r="P224" s="6">
        <v>69.599999999999994</v>
      </c>
      <c r="Q224" s="6">
        <v>0.61</v>
      </c>
      <c r="R224" s="6">
        <v>16</v>
      </c>
      <c r="T224" s="6">
        <v>2.98</v>
      </c>
      <c r="U224" s="6">
        <v>0.13</v>
      </c>
      <c r="V224" s="6">
        <v>0.72</v>
      </c>
      <c r="W224" s="6">
        <v>2.04</v>
      </c>
      <c r="X224" s="6">
        <v>5.7</v>
      </c>
      <c r="Y224" s="6">
        <v>1.98</v>
      </c>
      <c r="Z224" s="6">
        <v>0.16</v>
      </c>
      <c r="AA224" s="6">
        <v>0.03</v>
      </c>
      <c r="AB224" s="6">
        <v>96.8</v>
      </c>
      <c r="AC224" s="6">
        <v>3.94</v>
      </c>
      <c r="AD224" s="6" t="s">
        <v>43</v>
      </c>
    </row>
    <row r="225" spans="1:30">
      <c r="A225" s="8" t="s">
        <v>1045</v>
      </c>
      <c r="B225" s="6" t="s">
        <v>168</v>
      </c>
      <c r="C225" s="8" t="s">
        <v>645</v>
      </c>
      <c r="D225" s="8">
        <v>900</v>
      </c>
      <c r="E225" s="8">
        <v>1</v>
      </c>
      <c r="F225" s="8">
        <f>71*3600</f>
        <v>255600</v>
      </c>
      <c r="G225" s="9">
        <v>1.4274849337614078E-13</v>
      </c>
      <c r="H225" s="10">
        <f t="shared" si="9"/>
        <v>0.38202887276718539</v>
      </c>
      <c r="I225" s="6" t="s">
        <v>41</v>
      </c>
      <c r="J225" s="6" t="s">
        <v>167</v>
      </c>
      <c r="K225" s="6">
        <v>84</v>
      </c>
      <c r="L225" s="6">
        <v>1</v>
      </c>
      <c r="M225" s="6">
        <v>1</v>
      </c>
      <c r="N225" s="6">
        <v>1</v>
      </c>
      <c r="O225" s="6">
        <v>1</v>
      </c>
      <c r="P225" s="6">
        <v>70.400000000000006</v>
      </c>
      <c r="Q225" s="6">
        <v>0.47</v>
      </c>
      <c r="R225" s="6">
        <v>15.7</v>
      </c>
      <c r="T225" s="6">
        <v>2.97</v>
      </c>
      <c r="U225" s="6">
        <v>0.1</v>
      </c>
      <c r="V225" s="6">
        <v>0.56000000000000005</v>
      </c>
      <c r="W225" s="6">
        <v>1.68</v>
      </c>
      <c r="X225" s="6">
        <v>5.9</v>
      </c>
      <c r="Y225" s="6">
        <v>2.13</v>
      </c>
      <c r="Z225" s="6">
        <v>0.12</v>
      </c>
      <c r="AA225" s="6">
        <v>0.03</v>
      </c>
      <c r="AB225" s="6">
        <v>96.2</v>
      </c>
      <c r="AC225" s="6">
        <v>3.98</v>
      </c>
      <c r="AD225" s="6" t="s">
        <v>43</v>
      </c>
    </row>
    <row r="226" spans="1:30">
      <c r="A226" s="8" t="s">
        <v>1045</v>
      </c>
      <c r="B226" s="6" t="s">
        <v>169</v>
      </c>
      <c r="C226" s="8" t="s">
        <v>645</v>
      </c>
      <c r="D226" s="8">
        <v>935</v>
      </c>
      <c r="E226" s="8">
        <v>2</v>
      </c>
      <c r="F226" s="8">
        <f>72*3600</f>
        <v>259200</v>
      </c>
      <c r="G226" s="9">
        <v>2.2089812234307055E-13</v>
      </c>
      <c r="H226" s="10">
        <f t="shared" si="9"/>
        <v>0.4785678355732817</v>
      </c>
      <c r="I226" s="6" t="s">
        <v>41</v>
      </c>
      <c r="J226" s="6" t="s">
        <v>170</v>
      </c>
      <c r="K226" s="6">
        <v>79</v>
      </c>
      <c r="L226" s="6">
        <v>1</v>
      </c>
      <c r="M226" s="6">
        <v>1</v>
      </c>
      <c r="N226" s="8">
        <v>1</v>
      </c>
      <c r="O226" s="8">
        <v>1</v>
      </c>
      <c r="P226" s="6">
        <v>62.6</v>
      </c>
      <c r="Q226" s="6">
        <v>0.91</v>
      </c>
      <c r="R226" s="6">
        <v>17.899999999999999</v>
      </c>
      <c r="T226" s="6">
        <v>5.52</v>
      </c>
      <c r="U226" s="6">
        <v>0.12</v>
      </c>
      <c r="V226" s="6">
        <v>1.39</v>
      </c>
      <c r="W226" s="6">
        <v>5.13</v>
      </c>
      <c r="X226" s="6">
        <v>5.0999999999999996</v>
      </c>
      <c r="Y226" s="6">
        <v>1.01</v>
      </c>
      <c r="Z226" s="6">
        <v>0.28999999999999998</v>
      </c>
      <c r="AA226" s="6">
        <v>0.05</v>
      </c>
      <c r="AB226" s="6">
        <v>94.2</v>
      </c>
      <c r="AC226" s="6">
        <v>5.79</v>
      </c>
      <c r="AD226" s="6" t="s">
        <v>43</v>
      </c>
    </row>
    <row r="227" spans="1:30">
      <c r="A227" s="8" t="s">
        <v>1071</v>
      </c>
      <c r="B227" s="6" t="s">
        <v>557</v>
      </c>
      <c r="C227" s="8" t="s">
        <v>645</v>
      </c>
      <c r="D227" s="6">
        <v>900</v>
      </c>
      <c r="E227" s="8">
        <v>2</v>
      </c>
      <c r="F227" s="6">
        <f>100.5*3600</f>
        <v>361800</v>
      </c>
      <c r="G227" s="9">
        <v>1.4274849337614078E-13</v>
      </c>
      <c r="H227" s="10">
        <f t="shared" si="9"/>
        <v>0.45451690795167449</v>
      </c>
      <c r="I227" s="6" t="s">
        <v>41</v>
      </c>
      <c r="J227" s="6" t="s">
        <v>559</v>
      </c>
      <c r="K227" s="6">
        <v>63.7</v>
      </c>
      <c r="L227" s="6">
        <v>1</v>
      </c>
      <c r="M227" s="6">
        <v>1</v>
      </c>
      <c r="N227" s="6">
        <v>1</v>
      </c>
      <c r="O227" s="6">
        <v>1</v>
      </c>
      <c r="P227" s="6">
        <v>68.08</v>
      </c>
      <c r="Q227" s="6">
        <v>0.56000000000000005</v>
      </c>
      <c r="R227" s="6">
        <v>16.11</v>
      </c>
      <c r="T227" s="6">
        <v>4</v>
      </c>
      <c r="U227" s="6">
        <v>0.1</v>
      </c>
      <c r="V227" s="6">
        <v>1.1399999999999999</v>
      </c>
      <c r="W227" s="6">
        <v>4.07</v>
      </c>
      <c r="X227" s="6">
        <v>3.45</v>
      </c>
      <c r="Y227" s="6">
        <v>2.4700000000000002</v>
      </c>
      <c r="Z227" s="6">
        <v>0.19</v>
      </c>
      <c r="AA227" s="6">
        <v>1.2999999999999999E-2</v>
      </c>
      <c r="AB227" s="6">
        <v>100</v>
      </c>
      <c r="AC227" s="6">
        <v>6.25</v>
      </c>
      <c r="AD227" s="6" t="s">
        <v>43</v>
      </c>
    </row>
    <row r="228" spans="1:30">
      <c r="A228" s="8" t="s">
        <v>1071</v>
      </c>
      <c r="B228" s="6" t="s">
        <v>560</v>
      </c>
      <c r="C228" s="8" t="s">
        <v>645</v>
      </c>
      <c r="D228" s="6">
        <v>875</v>
      </c>
      <c r="E228" s="8">
        <v>2</v>
      </c>
      <c r="F228" s="6">
        <f>97.5*3600</f>
        <v>351000</v>
      </c>
      <c r="G228" s="9">
        <v>1.028135457036711E-13</v>
      </c>
      <c r="H228" s="10">
        <f t="shared" si="9"/>
        <v>0.37993449194295881</v>
      </c>
      <c r="I228" s="6" t="s">
        <v>41</v>
      </c>
      <c r="J228" s="6" t="s">
        <v>561</v>
      </c>
      <c r="K228" s="6">
        <v>52.4</v>
      </c>
      <c r="L228" s="6">
        <v>1</v>
      </c>
      <c r="M228" s="6">
        <v>1</v>
      </c>
      <c r="N228" s="6">
        <v>1</v>
      </c>
      <c r="O228" s="6">
        <v>1</v>
      </c>
      <c r="P228" s="6">
        <v>71.010000000000005</v>
      </c>
      <c r="Q228" s="6">
        <v>0.43</v>
      </c>
      <c r="R228" s="6">
        <v>15.31</v>
      </c>
      <c r="T228" s="6">
        <v>3.09</v>
      </c>
      <c r="U228" s="6">
        <v>0.08</v>
      </c>
      <c r="V228" s="6">
        <v>0.72</v>
      </c>
      <c r="W228" s="6">
        <v>3.27</v>
      </c>
      <c r="X228" s="6">
        <v>3.37</v>
      </c>
      <c r="Y228" s="6">
        <v>2.67</v>
      </c>
      <c r="Z228" s="6">
        <v>0.1089</v>
      </c>
      <c r="AA228" s="6">
        <v>1.7299999999999999E-2</v>
      </c>
      <c r="AB228" s="6">
        <v>100</v>
      </c>
      <c r="AC228" s="6">
        <v>6.34</v>
      </c>
      <c r="AD228" s="6" t="s">
        <v>43</v>
      </c>
    </row>
    <row r="229" spans="1:30">
      <c r="A229" s="8" t="s">
        <v>1071</v>
      </c>
      <c r="B229" s="6" t="s">
        <v>562</v>
      </c>
      <c r="C229" s="8" t="s">
        <v>645</v>
      </c>
      <c r="D229" s="6">
        <v>850</v>
      </c>
      <c r="E229" s="8">
        <v>2</v>
      </c>
      <c r="F229" s="6">
        <f>97*3600</f>
        <v>349200</v>
      </c>
      <c r="G229" s="9">
        <v>7.2976735414337512E-14</v>
      </c>
      <c r="H229" s="10">
        <f t="shared" si="9"/>
        <v>0.31927089442469797</v>
      </c>
      <c r="I229" s="6" t="s">
        <v>41</v>
      </c>
      <c r="J229" s="6" t="s">
        <v>563</v>
      </c>
      <c r="K229" s="6">
        <v>47</v>
      </c>
      <c r="L229" s="6">
        <v>1</v>
      </c>
      <c r="M229" s="6">
        <v>1</v>
      </c>
      <c r="N229" s="6">
        <v>1</v>
      </c>
      <c r="O229" s="6">
        <v>1</v>
      </c>
      <c r="P229" s="6">
        <v>72.83</v>
      </c>
      <c r="Q229" s="6">
        <v>0.33</v>
      </c>
      <c r="R229" s="6">
        <v>14.63</v>
      </c>
      <c r="T229" s="6">
        <v>2.4</v>
      </c>
      <c r="U229" s="6">
        <v>7.0000000000000007E-2</v>
      </c>
      <c r="V229" s="6">
        <v>0.5</v>
      </c>
      <c r="W229" s="6">
        <v>2.76</v>
      </c>
      <c r="X229" s="6">
        <v>3.37</v>
      </c>
      <c r="Y229" s="6">
        <v>3.08</v>
      </c>
      <c r="Z229" s="6">
        <v>7.4700000000000003E-2</v>
      </c>
      <c r="AA229" s="6">
        <v>1.4200000000000001E-2</v>
      </c>
      <c r="AB229" s="6">
        <v>100</v>
      </c>
      <c r="AC229" s="6">
        <v>6.41</v>
      </c>
      <c r="AD229" s="6" t="s">
        <v>43</v>
      </c>
    </row>
    <row r="230" spans="1:30">
      <c r="A230" s="8" t="s">
        <v>1071</v>
      </c>
      <c r="B230" s="6" t="s">
        <v>564</v>
      </c>
      <c r="C230" s="8" t="s">
        <v>645</v>
      </c>
      <c r="D230" s="6">
        <v>825</v>
      </c>
      <c r="E230" s="8">
        <v>2</v>
      </c>
      <c r="F230" s="6">
        <f>98*3600</f>
        <v>352800</v>
      </c>
      <c r="G230" s="9">
        <v>5.0996514572634554E-14</v>
      </c>
      <c r="H230" s="10">
        <f t="shared" si="9"/>
        <v>0.26826531897526729</v>
      </c>
      <c r="I230" s="6" t="s">
        <v>41</v>
      </c>
      <c r="J230" s="6" t="s">
        <v>563</v>
      </c>
      <c r="K230" s="6">
        <v>44.7</v>
      </c>
      <c r="L230" s="6">
        <v>1</v>
      </c>
      <c r="M230" s="6">
        <v>1</v>
      </c>
      <c r="N230" s="6">
        <v>1</v>
      </c>
      <c r="O230" s="6">
        <v>1</v>
      </c>
      <c r="P230" s="6">
        <v>74.099999999999994</v>
      </c>
      <c r="Q230" s="6">
        <v>0.27</v>
      </c>
      <c r="R230" s="6">
        <v>14.25</v>
      </c>
      <c r="T230" s="6">
        <v>2.0099999999999998</v>
      </c>
      <c r="U230" s="6">
        <v>0.04</v>
      </c>
      <c r="V230" s="6">
        <v>0.38</v>
      </c>
      <c r="W230" s="6">
        <v>2.34</v>
      </c>
      <c r="X230" s="6">
        <v>3.22</v>
      </c>
      <c r="Y230" s="6">
        <v>3.35</v>
      </c>
      <c r="Z230" s="6">
        <v>5.4800000000000001E-2</v>
      </c>
      <c r="AA230" s="6">
        <v>1.18E-2</v>
      </c>
      <c r="AB230" s="6">
        <v>100</v>
      </c>
      <c r="AC230" s="6">
        <v>6.36</v>
      </c>
      <c r="AD230" s="6" t="s">
        <v>43</v>
      </c>
    </row>
    <row r="231" spans="1:30">
      <c r="A231" s="8" t="s">
        <v>1071</v>
      </c>
      <c r="B231" s="6" t="s">
        <v>565</v>
      </c>
      <c r="C231" s="8" t="s">
        <v>645</v>
      </c>
      <c r="D231" s="6">
        <v>800</v>
      </c>
      <c r="E231" s="8">
        <v>2</v>
      </c>
      <c r="F231" s="6">
        <f>171*3600</f>
        <v>615600</v>
      </c>
      <c r="G231" s="9">
        <v>3.5046513928104248E-14</v>
      </c>
      <c r="H231" s="10">
        <f t="shared" si="9"/>
        <v>0.29376612448776984</v>
      </c>
      <c r="I231" s="6" t="s">
        <v>41</v>
      </c>
      <c r="J231" s="6" t="s">
        <v>566</v>
      </c>
      <c r="K231" s="6">
        <v>45.9</v>
      </c>
      <c r="L231" s="6">
        <v>1</v>
      </c>
      <c r="M231" s="6">
        <v>1</v>
      </c>
      <c r="N231" s="6">
        <v>1</v>
      </c>
      <c r="O231" s="6">
        <v>1</v>
      </c>
      <c r="P231" s="6">
        <v>75.400000000000006</v>
      </c>
      <c r="Q231" s="6">
        <v>0.23</v>
      </c>
      <c r="R231" s="6">
        <v>13.34</v>
      </c>
      <c r="T231" s="6">
        <v>1.68</v>
      </c>
      <c r="U231" s="6">
        <v>0.04</v>
      </c>
      <c r="V231" s="6">
        <v>0.45</v>
      </c>
      <c r="W231" s="6">
        <v>2.14</v>
      </c>
      <c r="X231" s="6">
        <v>3.04</v>
      </c>
      <c r="Y231" s="6">
        <v>3.66</v>
      </c>
      <c r="Z231" s="6">
        <v>1.7999999999999999E-2</v>
      </c>
      <c r="AA231" s="6">
        <v>2.3900000000000001E-2</v>
      </c>
      <c r="AB231" s="6">
        <v>100</v>
      </c>
      <c r="AC231" s="6">
        <v>6.41</v>
      </c>
      <c r="AD231" s="6" t="s">
        <v>43</v>
      </c>
    </row>
    <row r="232" spans="1:30">
      <c r="A232" s="8" t="s">
        <v>1071</v>
      </c>
      <c r="B232" s="6" t="s">
        <v>567</v>
      </c>
      <c r="C232" s="8" t="s">
        <v>645</v>
      </c>
      <c r="D232" s="6">
        <v>750</v>
      </c>
      <c r="E232" s="8">
        <v>2</v>
      </c>
      <c r="F232" s="6">
        <f>174.5*3600</f>
        <v>628200</v>
      </c>
      <c r="G232" s="9">
        <v>1.5666500344126923E-14</v>
      </c>
      <c r="H232" s="10">
        <f t="shared" si="9"/>
        <v>0.19841063999877159</v>
      </c>
      <c r="I232" s="6" t="s">
        <v>41</v>
      </c>
      <c r="J232" s="6" t="s">
        <v>568</v>
      </c>
      <c r="K232" s="6">
        <v>38.1</v>
      </c>
      <c r="L232" s="6">
        <v>1</v>
      </c>
      <c r="M232" s="6">
        <v>1</v>
      </c>
      <c r="N232" s="6">
        <v>1</v>
      </c>
      <c r="O232" s="6">
        <v>1</v>
      </c>
      <c r="P232" s="6">
        <v>77.48</v>
      </c>
      <c r="Q232" s="6">
        <v>0.13</v>
      </c>
      <c r="R232" s="6">
        <v>12.75</v>
      </c>
      <c r="T232" s="6">
        <v>0.78</v>
      </c>
      <c r="U232" s="6">
        <v>0.1</v>
      </c>
      <c r="V232" s="6">
        <v>0.19</v>
      </c>
      <c r="W232" s="6">
        <v>1.32</v>
      </c>
      <c r="X232" s="6">
        <v>3.17</v>
      </c>
      <c r="Y232" s="6">
        <v>4.03</v>
      </c>
      <c r="Z232" s="6">
        <v>2.29E-2</v>
      </c>
      <c r="AA232" s="6">
        <v>2.47E-2</v>
      </c>
      <c r="AB232" s="6">
        <v>100</v>
      </c>
      <c r="AC232" s="6">
        <v>6.32</v>
      </c>
      <c r="AD232" s="6" t="s">
        <v>43</v>
      </c>
    </row>
    <row r="233" spans="1:30">
      <c r="A233" s="8" t="s">
        <v>1071</v>
      </c>
      <c r="B233" s="6" t="s">
        <v>569</v>
      </c>
      <c r="C233" s="8" t="s">
        <v>645</v>
      </c>
      <c r="D233" s="6">
        <v>725</v>
      </c>
      <c r="E233" s="8">
        <v>2</v>
      </c>
      <c r="F233" s="6">
        <f>247*3600</f>
        <v>889200</v>
      </c>
      <c r="G233" s="9">
        <v>1.0162452800040882E-14</v>
      </c>
      <c r="H233" s="10">
        <f t="shared" si="9"/>
        <v>0.19012051998452301</v>
      </c>
      <c r="I233" s="6" t="s">
        <v>41</v>
      </c>
      <c r="J233" s="6" t="s">
        <v>570</v>
      </c>
      <c r="K233" s="6">
        <v>24.6</v>
      </c>
      <c r="L233" s="6">
        <v>1</v>
      </c>
      <c r="M233" s="6">
        <v>1</v>
      </c>
      <c r="N233" s="6">
        <v>1</v>
      </c>
      <c r="O233" s="6">
        <v>1</v>
      </c>
      <c r="P233" s="6">
        <v>78.569999999999993</v>
      </c>
      <c r="Q233" s="6">
        <v>0.13</v>
      </c>
      <c r="R233" s="6">
        <v>12.08</v>
      </c>
      <c r="T233" s="6">
        <v>0.75</v>
      </c>
      <c r="U233" s="6">
        <v>0.02</v>
      </c>
      <c r="V233" s="6">
        <v>0.08</v>
      </c>
      <c r="W233" s="6">
        <v>1.01</v>
      </c>
      <c r="X233" s="6">
        <v>2.99</v>
      </c>
      <c r="Y233" s="6">
        <v>4.32</v>
      </c>
      <c r="Z233" s="6">
        <v>1.15E-2</v>
      </c>
      <c r="AA233" s="6">
        <v>8.3000000000000001E-3</v>
      </c>
      <c r="AB233" s="6">
        <v>100</v>
      </c>
      <c r="AC233" s="6">
        <v>6.21</v>
      </c>
      <c r="AD233" s="6" t="s">
        <v>43</v>
      </c>
    </row>
    <row r="234" spans="1:30">
      <c r="A234" s="8" t="s">
        <v>1071</v>
      </c>
      <c r="B234" s="6" t="s">
        <v>571</v>
      </c>
      <c r="C234" s="8" t="s">
        <v>645</v>
      </c>
      <c r="D234" s="6">
        <v>700</v>
      </c>
      <c r="E234" s="8">
        <v>2</v>
      </c>
      <c r="F234" s="6">
        <f>246*3600</f>
        <v>885600</v>
      </c>
      <c r="G234" s="9">
        <v>6.4471399973470593E-15</v>
      </c>
      <c r="H234" s="10">
        <f t="shared" si="9"/>
        <v>0.15112362067725291</v>
      </c>
      <c r="I234" s="6" t="s">
        <v>41</v>
      </c>
      <c r="J234" s="6" t="s">
        <v>572</v>
      </c>
      <c r="K234" s="6">
        <v>12.1</v>
      </c>
      <c r="L234" s="6">
        <v>1</v>
      </c>
      <c r="M234" s="6">
        <v>1</v>
      </c>
      <c r="N234" s="6">
        <v>1</v>
      </c>
      <c r="O234" s="6">
        <v>1</v>
      </c>
      <c r="P234" s="6">
        <v>78.81</v>
      </c>
      <c r="Q234" s="6">
        <v>0.12</v>
      </c>
      <c r="R234" s="6">
        <v>12.15</v>
      </c>
      <c r="T234" s="6">
        <v>0.51</v>
      </c>
      <c r="U234" s="6">
        <v>0.02</v>
      </c>
      <c r="V234" s="6">
        <v>0.05</v>
      </c>
      <c r="W234" s="6">
        <v>0.43</v>
      </c>
      <c r="X234" s="6">
        <v>3.47</v>
      </c>
      <c r="Y234" s="6">
        <v>4.41</v>
      </c>
      <c r="Z234" s="6">
        <v>0.02</v>
      </c>
      <c r="AA234" s="6">
        <v>4.0000000000000001E-3</v>
      </c>
      <c r="AB234" s="6">
        <v>100</v>
      </c>
      <c r="AC234" s="6">
        <v>6.08</v>
      </c>
      <c r="AD234" s="6" t="s">
        <v>43</v>
      </c>
    </row>
    <row r="235" spans="1:30">
      <c r="A235" s="8" t="s">
        <v>1038</v>
      </c>
      <c r="B235" s="8" t="s">
        <v>100</v>
      </c>
      <c r="C235" s="6" t="s">
        <v>558</v>
      </c>
      <c r="D235" s="8">
        <v>900</v>
      </c>
      <c r="E235" s="8">
        <v>2</v>
      </c>
      <c r="F235" s="8">
        <f>99*3600</f>
        <v>356400</v>
      </c>
      <c r="G235" s="9">
        <v>1.4274849337614078E-13</v>
      </c>
      <c r="H235" s="10">
        <f t="shared" si="9"/>
        <v>0.45111223897942104</v>
      </c>
      <c r="I235" s="8">
        <v>6</v>
      </c>
      <c r="J235" s="8" t="s">
        <v>101</v>
      </c>
      <c r="K235" s="8">
        <v>61.6</v>
      </c>
      <c r="L235" s="8">
        <v>1</v>
      </c>
      <c r="M235" s="8">
        <v>1</v>
      </c>
      <c r="N235" s="8">
        <v>0</v>
      </c>
      <c r="O235" s="8">
        <v>0</v>
      </c>
      <c r="P235" s="8">
        <v>66.8</v>
      </c>
      <c r="Q235" s="8">
        <v>0.36</v>
      </c>
      <c r="R235" s="8">
        <v>16.8</v>
      </c>
      <c r="S235" s="8"/>
      <c r="T235" s="8">
        <v>3.24</v>
      </c>
      <c r="U235" s="8">
        <v>0.37</v>
      </c>
      <c r="V235" s="8">
        <v>1.31</v>
      </c>
      <c r="W235" s="8">
        <v>3.43</v>
      </c>
      <c r="X235" s="8">
        <v>4.01</v>
      </c>
      <c r="Y235" s="8">
        <v>3.31</v>
      </c>
      <c r="Z235" s="8">
        <v>0.32</v>
      </c>
      <c r="AA235" s="8">
        <v>7.0000000000000007E-2</v>
      </c>
      <c r="AB235" s="8">
        <v>94</v>
      </c>
      <c r="AC235" s="8">
        <v>6</v>
      </c>
      <c r="AD235" s="8" t="s">
        <v>102</v>
      </c>
    </row>
    <row r="236" spans="1:30">
      <c r="A236" s="8" t="s">
        <v>1038</v>
      </c>
      <c r="B236" s="8" t="s">
        <v>103</v>
      </c>
      <c r="C236" s="6" t="s">
        <v>558</v>
      </c>
      <c r="D236" s="8">
        <v>878</v>
      </c>
      <c r="E236" s="8">
        <v>4</v>
      </c>
      <c r="F236" s="8">
        <f>73*3600</f>
        <v>262800</v>
      </c>
      <c r="G236" s="9">
        <v>1.0702364366286503E-13</v>
      </c>
      <c r="H236" s="10">
        <f t="shared" si="9"/>
        <v>0.33541504769226399</v>
      </c>
      <c r="I236" s="8">
        <v>8.83</v>
      </c>
      <c r="J236" s="8" t="s">
        <v>104</v>
      </c>
      <c r="K236" s="8">
        <v>81.900000000000006</v>
      </c>
      <c r="L236" s="8">
        <v>1</v>
      </c>
      <c r="M236" s="8">
        <v>1</v>
      </c>
      <c r="N236" s="8">
        <v>0</v>
      </c>
      <c r="O236" s="8">
        <v>0</v>
      </c>
      <c r="P236" s="8">
        <v>64.599999999999994</v>
      </c>
      <c r="Q236" s="8">
        <v>0.5</v>
      </c>
      <c r="R236" s="8">
        <v>18.899999999999999</v>
      </c>
      <c r="S236" s="8"/>
      <c r="T236" s="8">
        <v>3.55</v>
      </c>
      <c r="U236" s="8">
        <v>0.32</v>
      </c>
      <c r="V236" s="8">
        <v>1.29</v>
      </c>
      <c r="W236" s="8">
        <v>4.01</v>
      </c>
      <c r="X236" s="8">
        <v>3.89</v>
      </c>
      <c r="Y236" s="8">
        <v>2.58</v>
      </c>
      <c r="Z236" s="8">
        <v>0.44</v>
      </c>
      <c r="AA236" s="8">
        <v>0.03</v>
      </c>
      <c r="AB236" s="8">
        <v>91.3</v>
      </c>
      <c r="AC236" s="8">
        <v>9</v>
      </c>
      <c r="AD236" s="8" t="s">
        <v>102</v>
      </c>
    </row>
    <row r="237" spans="1:30">
      <c r="A237" s="8" t="s">
        <v>1037</v>
      </c>
      <c r="B237" s="8" t="s">
        <v>90</v>
      </c>
      <c r="C237" s="6" t="s">
        <v>558</v>
      </c>
      <c r="D237" s="8">
        <v>908</v>
      </c>
      <c r="E237" s="8">
        <v>8</v>
      </c>
      <c r="F237" s="8">
        <f>81.5*3600</f>
        <v>293400</v>
      </c>
      <c r="G237" s="9">
        <v>1.5808989607516085E-13</v>
      </c>
      <c r="H237" s="10">
        <f t="shared" si="9"/>
        <v>0.43073692903419453</v>
      </c>
      <c r="I237" s="8">
        <v>3.5</v>
      </c>
      <c r="J237" s="8" t="s">
        <v>91</v>
      </c>
      <c r="K237" s="8">
        <v>18</v>
      </c>
      <c r="L237" s="8">
        <v>1</v>
      </c>
      <c r="M237" s="8">
        <v>1</v>
      </c>
      <c r="N237" s="8">
        <v>0</v>
      </c>
      <c r="O237" s="8">
        <v>0</v>
      </c>
      <c r="P237" s="8">
        <v>64.400000000000006</v>
      </c>
      <c r="Q237" s="8">
        <v>0.34</v>
      </c>
      <c r="R237" s="8">
        <v>18.2</v>
      </c>
      <c r="S237" s="8"/>
      <c r="T237" s="8">
        <v>4.95</v>
      </c>
      <c r="U237" s="8">
        <v>0.19</v>
      </c>
      <c r="V237" s="8">
        <v>1.5</v>
      </c>
      <c r="W237" s="8">
        <v>5.55</v>
      </c>
      <c r="X237" s="8">
        <v>2.5299999999999998</v>
      </c>
      <c r="Y237" s="8">
        <v>2.0699999999999998</v>
      </c>
      <c r="Z237" s="8">
        <v>0.25</v>
      </c>
      <c r="AA237" s="8">
        <v>0.24</v>
      </c>
      <c r="AB237" s="8">
        <v>88.4</v>
      </c>
      <c r="AC237" s="8">
        <v>10.1</v>
      </c>
      <c r="AD237" s="8" t="s">
        <v>93</v>
      </c>
    </row>
    <row r="238" spans="1:30">
      <c r="A238" s="8" t="s">
        <v>1037</v>
      </c>
      <c r="B238" s="8" t="s">
        <v>94</v>
      </c>
      <c r="C238" s="6" t="s">
        <v>558</v>
      </c>
      <c r="D238" s="8">
        <v>907</v>
      </c>
      <c r="E238" s="8">
        <v>6</v>
      </c>
      <c r="F238" s="8">
        <f>96.5*3600</f>
        <v>347400</v>
      </c>
      <c r="G238" s="9">
        <v>1.5609730709843245E-13</v>
      </c>
      <c r="H238" s="10">
        <f t="shared" si="9"/>
        <v>0.46573900195708512</v>
      </c>
      <c r="I238" s="8">
        <v>3.5</v>
      </c>
      <c r="J238" s="8" t="s">
        <v>95</v>
      </c>
      <c r="K238" s="8">
        <v>14.7</v>
      </c>
      <c r="L238" s="8">
        <v>1</v>
      </c>
      <c r="M238" s="8">
        <v>1</v>
      </c>
      <c r="N238" s="8">
        <v>0</v>
      </c>
      <c r="O238" s="8">
        <v>0</v>
      </c>
      <c r="P238" s="8">
        <v>64</v>
      </c>
      <c r="Q238" s="8">
        <v>0.41</v>
      </c>
      <c r="R238" s="8">
        <v>18.3</v>
      </c>
      <c r="S238" s="8"/>
      <c r="T238" s="8">
        <v>5.0999999999999996</v>
      </c>
      <c r="U238" s="8">
        <v>0.23</v>
      </c>
      <c r="V238" s="8">
        <v>1.1200000000000001</v>
      </c>
      <c r="W238" s="8">
        <v>4.91</v>
      </c>
      <c r="X238" s="8">
        <v>3.08</v>
      </c>
      <c r="Y238" s="8">
        <v>2.63</v>
      </c>
      <c r="Z238" s="8">
        <v>0.25</v>
      </c>
      <c r="AA238" s="20"/>
      <c r="AB238" s="8">
        <v>90.8</v>
      </c>
      <c r="AC238" s="8">
        <v>8.9</v>
      </c>
      <c r="AD238" s="8" t="s">
        <v>93</v>
      </c>
    </row>
    <row r="239" spans="1:30">
      <c r="A239" s="8" t="s">
        <v>1037</v>
      </c>
      <c r="B239" s="8" t="s">
        <v>96</v>
      </c>
      <c r="C239" s="6" t="s">
        <v>558</v>
      </c>
      <c r="D239" s="8">
        <v>909</v>
      </c>
      <c r="E239" s="8">
        <v>4</v>
      </c>
      <c r="F239" s="8">
        <f>114.5*3600</f>
        <v>412200</v>
      </c>
      <c r="G239" s="9">
        <v>1.6010448471595836E-13</v>
      </c>
      <c r="H239" s="10">
        <f t="shared" si="9"/>
        <v>0.51379010733924424</v>
      </c>
      <c r="I239" s="8">
        <v>3.5</v>
      </c>
      <c r="J239" s="8" t="s">
        <v>97</v>
      </c>
      <c r="K239" s="8">
        <v>12.9</v>
      </c>
      <c r="L239" s="8">
        <v>1</v>
      </c>
      <c r="M239" s="8">
        <v>1</v>
      </c>
      <c r="N239" s="8">
        <v>0</v>
      </c>
      <c r="O239" s="8">
        <v>0</v>
      </c>
      <c r="P239" s="8">
        <v>64.2</v>
      </c>
      <c r="Q239" s="8">
        <v>0.17</v>
      </c>
      <c r="R239" s="8">
        <v>19.100000000000001</v>
      </c>
      <c r="S239" s="8"/>
      <c r="T239" s="8">
        <v>4.3</v>
      </c>
      <c r="U239" s="8">
        <v>0.18</v>
      </c>
      <c r="V239" s="8">
        <v>0.83</v>
      </c>
      <c r="W239" s="8">
        <v>5.6</v>
      </c>
      <c r="X239" s="8">
        <v>2.5299999999999998</v>
      </c>
      <c r="Y239" s="8">
        <v>2.67</v>
      </c>
      <c r="Z239" s="8">
        <v>0.44</v>
      </c>
      <c r="AA239" s="8">
        <v>0.05</v>
      </c>
      <c r="AB239" s="8">
        <v>90.3</v>
      </c>
      <c r="AC239" s="8">
        <v>7.3</v>
      </c>
      <c r="AD239" s="8" t="s">
        <v>93</v>
      </c>
    </row>
    <row r="240" spans="1:30" ht="17" customHeight="1">
      <c r="A240" s="8" t="s">
        <v>1037</v>
      </c>
      <c r="B240" s="8" t="s">
        <v>98</v>
      </c>
      <c r="C240" s="6" t="s">
        <v>558</v>
      </c>
      <c r="D240" s="8">
        <v>930</v>
      </c>
      <c r="E240" s="8">
        <v>2</v>
      </c>
      <c r="F240" s="8">
        <f>122*3600</f>
        <v>439200</v>
      </c>
      <c r="G240" s="9">
        <v>2.0786378243721135E-13</v>
      </c>
      <c r="H240" s="10">
        <f t="shared" si="9"/>
        <v>0.60429718929157106</v>
      </c>
      <c r="I240" s="8">
        <v>3.5</v>
      </c>
      <c r="J240" s="8" t="s">
        <v>99</v>
      </c>
      <c r="K240" s="8">
        <v>10.6</v>
      </c>
      <c r="L240" s="8">
        <v>1</v>
      </c>
      <c r="M240" s="8">
        <v>1</v>
      </c>
      <c r="N240" s="8">
        <v>0</v>
      </c>
      <c r="O240" s="8">
        <v>0</v>
      </c>
      <c r="P240" s="8">
        <v>66.400000000000006</v>
      </c>
      <c r="Q240" s="8">
        <v>0.14000000000000001</v>
      </c>
      <c r="R240" s="8">
        <v>17.8</v>
      </c>
      <c r="S240" s="8"/>
      <c r="T240" s="8">
        <v>2.0299999999999998</v>
      </c>
      <c r="U240" s="8">
        <v>0.14000000000000001</v>
      </c>
      <c r="V240" s="8">
        <v>1.22</v>
      </c>
      <c r="W240" s="8">
        <v>3.33</v>
      </c>
      <c r="X240" s="8">
        <v>3.94</v>
      </c>
      <c r="Y240" s="8">
        <v>4.66</v>
      </c>
      <c r="Z240" s="8">
        <v>0.3</v>
      </c>
      <c r="AA240" s="8">
        <v>0.17</v>
      </c>
      <c r="AB240" s="8">
        <v>92</v>
      </c>
      <c r="AC240" s="8">
        <v>5.3</v>
      </c>
      <c r="AD240" s="8" t="s">
        <v>93</v>
      </c>
    </row>
    <row r="241" spans="1:32">
      <c r="A241" s="8" t="s">
        <v>1069</v>
      </c>
      <c r="B241" s="6" t="s">
        <v>527</v>
      </c>
      <c r="C241" s="8" t="s">
        <v>1126</v>
      </c>
      <c r="D241" s="25">
        <v>1100</v>
      </c>
      <c r="E241" s="8">
        <v>2</v>
      </c>
      <c r="F241" s="6">
        <f>138*3600</f>
        <v>496800</v>
      </c>
      <c r="G241" s="9">
        <v>1.2820841702583668E-12</v>
      </c>
      <c r="H241" s="10">
        <f t="shared" si="9"/>
        <v>1.5961696849450018</v>
      </c>
      <c r="I241" s="6" t="s">
        <v>92</v>
      </c>
      <c r="L241" s="6">
        <v>1</v>
      </c>
      <c r="M241" s="6">
        <v>1</v>
      </c>
      <c r="N241" s="6">
        <v>1</v>
      </c>
      <c r="O241" s="6">
        <v>0</v>
      </c>
      <c r="P241" s="6">
        <v>45.22</v>
      </c>
      <c r="Q241" s="6">
        <v>1.1399999999999999</v>
      </c>
      <c r="R241" s="6">
        <v>11.06</v>
      </c>
      <c r="T241" s="6">
        <v>10.6</v>
      </c>
      <c r="U241" s="6">
        <v>0.13</v>
      </c>
      <c r="V241" s="6">
        <v>6</v>
      </c>
      <c r="W241" s="6">
        <v>11.96</v>
      </c>
      <c r="X241" s="6">
        <v>0.75</v>
      </c>
      <c r="Y241" s="6">
        <v>0.5</v>
      </c>
      <c r="Z241" s="6">
        <v>1.19</v>
      </c>
      <c r="AA241" s="6">
        <v>0.08</v>
      </c>
      <c r="AB241" s="6">
        <v>92.79</v>
      </c>
      <c r="AC241" s="6" t="s">
        <v>92</v>
      </c>
    </row>
    <row r="242" spans="1:32">
      <c r="A242" s="8" t="s">
        <v>1069</v>
      </c>
      <c r="B242" s="6" t="s">
        <v>528</v>
      </c>
      <c r="C242" s="8" t="s">
        <v>1126</v>
      </c>
      <c r="D242" s="25">
        <v>1097</v>
      </c>
      <c r="E242" s="8">
        <v>2</v>
      </c>
      <c r="F242" s="6">
        <f>96*3600</f>
        <v>345600</v>
      </c>
      <c r="G242" s="9">
        <v>1.246443050061008E-12</v>
      </c>
      <c r="H242" s="10">
        <f t="shared" si="9"/>
        <v>1.3126625127595963</v>
      </c>
      <c r="I242" s="6" t="s">
        <v>92</v>
      </c>
      <c r="L242" s="6">
        <v>1</v>
      </c>
      <c r="M242" s="6">
        <v>1</v>
      </c>
      <c r="N242" s="6">
        <v>1</v>
      </c>
      <c r="O242" s="6">
        <v>0</v>
      </c>
      <c r="P242" s="6">
        <v>43.73</v>
      </c>
      <c r="Q242" s="6">
        <v>0.56999999999999995</v>
      </c>
      <c r="R242" s="6">
        <v>14.22</v>
      </c>
      <c r="T242" s="6">
        <v>7.69</v>
      </c>
      <c r="U242" s="6">
        <v>0.08</v>
      </c>
      <c r="V242" s="6">
        <v>6.46</v>
      </c>
      <c r="W242" s="6">
        <v>12.78</v>
      </c>
      <c r="X242" s="6">
        <v>1.05</v>
      </c>
      <c r="Y242" s="6">
        <v>0.63</v>
      </c>
      <c r="Z242" s="6">
        <v>2.31</v>
      </c>
      <c r="AA242" s="6">
        <v>0.14000000000000001</v>
      </c>
      <c r="AB242" s="6">
        <v>93.67</v>
      </c>
      <c r="AC242" s="6" t="s">
        <v>92</v>
      </c>
    </row>
    <row r="243" spans="1:32">
      <c r="A243" s="8" t="s">
        <v>1069</v>
      </c>
      <c r="B243" s="6" t="s">
        <v>531</v>
      </c>
      <c r="C243" s="8" t="s">
        <v>1126</v>
      </c>
      <c r="D243" s="25">
        <v>1075</v>
      </c>
      <c r="E243" s="8">
        <v>2</v>
      </c>
      <c r="F243" s="6">
        <f>142*3600</f>
        <v>511200</v>
      </c>
      <c r="G243" s="9">
        <v>1.00975806494244E-12</v>
      </c>
      <c r="H243" s="10">
        <f t="shared" si="9"/>
        <v>1.436924942783826</v>
      </c>
      <c r="I243" s="6" t="s">
        <v>92</v>
      </c>
      <c r="L243" s="6">
        <v>1</v>
      </c>
      <c r="M243" s="6">
        <v>1</v>
      </c>
      <c r="N243" s="6">
        <v>1</v>
      </c>
      <c r="O243" s="6">
        <v>0</v>
      </c>
      <c r="P243" s="6">
        <v>41.17</v>
      </c>
      <c r="Q243" s="6">
        <v>0.51</v>
      </c>
      <c r="R243" s="6">
        <v>13.4</v>
      </c>
      <c r="T243" s="6">
        <v>11.78</v>
      </c>
      <c r="U243" s="6">
        <v>0.2</v>
      </c>
      <c r="V243" s="6">
        <v>6.42</v>
      </c>
      <c r="W243" s="6">
        <v>12.12</v>
      </c>
      <c r="X243" s="6">
        <v>1.29</v>
      </c>
      <c r="Y243" s="6">
        <v>0.16</v>
      </c>
      <c r="Z243" s="6">
        <v>4.03</v>
      </c>
      <c r="AA243" s="6">
        <v>0.09</v>
      </c>
      <c r="AB243" s="6">
        <v>93.44</v>
      </c>
      <c r="AC243" s="6" t="s">
        <v>92</v>
      </c>
    </row>
    <row r="244" spans="1:32">
      <c r="A244" s="8" t="s">
        <v>1069</v>
      </c>
      <c r="B244" s="6" t="s">
        <v>532</v>
      </c>
      <c r="C244" s="8" t="s">
        <v>1126</v>
      </c>
      <c r="D244" s="25">
        <v>1110</v>
      </c>
      <c r="E244" s="8">
        <v>2</v>
      </c>
      <c r="F244" s="6">
        <f>322*3600</f>
        <v>1159200</v>
      </c>
      <c r="G244" s="9">
        <v>1.407170091714212E-12</v>
      </c>
      <c r="H244" s="10">
        <f t="shared" si="9"/>
        <v>2.5543622063561107</v>
      </c>
      <c r="I244" s="6" t="s">
        <v>92</v>
      </c>
      <c r="L244" s="6">
        <v>1</v>
      </c>
      <c r="M244" s="6">
        <v>1</v>
      </c>
      <c r="N244" s="6">
        <v>1</v>
      </c>
      <c r="O244" s="6">
        <v>0</v>
      </c>
      <c r="P244" s="6">
        <v>42.26</v>
      </c>
      <c r="Q244" s="6">
        <v>0.56000000000000005</v>
      </c>
      <c r="R244" s="6">
        <v>13.06</v>
      </c>
      <c r="T244" s="6">
        <v>8.31</v>
      </c>
      <c r="U244" s="6">
        <v>0.21</v>
      </c>
      <c r="V244" s="6">
        <v>6.2</v>
      </c>
      <c r="W244" s="6">
        <v>14.78</v>
      </c>
      <c r="X244" s="6">
        <v>1.0900000000000001</v>
      </c>
      <c r="Y244" s="6">
        <v>0.15</v>
      </c>
      <c r="Z244" s="6">
        <v>3.66</v>
      </c>
      <c r="AA244" s="6">
        <v>0.06</v>
      </c>
      <c r="AB244" s="6">
        <v>94.74</v>
      </c>
      <c r="AC244" s="6" t="s">
        <v>92</v>
      </c>
    </row>
    <row r="245" spans="1:32">
      <c r="A245" s="8" t="s">
        <v>1069</v>
      </c>
      <c r="B245" s="26" t="s">
        <v>534</v>
      </c>
      <c r="C245" s="8" t="s">
        <v>1126</v>
      </c>
      <c r="D245" s="25">
        <v>1075</v>
      </c>
      <c r="E245" s="8">
        <v>2</v>
      </c>
      <c r="F245" s="6">
        <f>167*3600</f>
        <v>601200</v>
      </c>
      <c r="G245" s="9">
        <v>1.00975806494244E-12</v>
      </c>
      <c r="H245" s="10">
        <f t="shared" si="9"/>
        <v>1.5582895092291356</v>
      </c>
      <c r="I245" s="6" t="s">
        <v>92</v>
      </c>
      <c r="L245" s="6">
        <v>1</v>
      </c>
      <c r="M245" s="6">
        <v>1</v>
      </c>
      <c r="N245" s="6">
        <v>1</v>
      </c>
      <c r="O245" s="6">
        <v>0</v>
      </c>
      <c r="P245" s="6">
        <v>42.99</v>
      </c>
      <c r="Q245" s="6">
        <v>0.56000000000000005</v>
      </c>
      <c r="R245" s="6">
        <v>13.43</v>
      </c>
      <c r="T245" s="6">
        <v>10.83</v>
      </c>
      <c r="U245" s="6">
        <v>0.23</v>
      </c>
      <c r="V245" s="6">
        <v>6.4</v>
      </c>
      <c r="W245" s="6">
        <v>10.73</v>
      </c>
      <c r="X245" s="6">
        <v>1.1299999999999999</v>
      </c>
      <c r="Y245" s="6">
        <v>0.98</v>
      </c>
      <c r="Z245" s="6">
        <v>2.62</v>
      </c>
      <c r="AA245" s="6">
        <v>0.13</v>
      </c>
      <c r="AB245" s="6">
        <v>92.12</v>
      </c>
      <c r="AC245" s="6" t="s">
        <v>92</v>
      </c>
    </row>
    <row r="246" spans="1:32">
      <c r="A246" s="8" t="s">
        <v>1075</v>
      </c>
      <c r="B246" s="6" t="s">
        <v>612</v>
      </c>
      <c r="C246" s="8" t="s">
        <v>645</v>
      </c>
      <c r="D246" s="6">
        <v>950</v>
      </c>
      <c r="E246" s="8">
        <v>0.2</v>
      </c>
      <c r="F246" s="6">
        <f>55*3600</f>
        <v>198000</v>
      </c>
      <c r="G246" s="9">
        <v>2.6432360916877484E-13</v>
      </c>
      <c r="H246" s="10">
        <f t="shared" si="9"/>
        <v>0.45754158112861137</v>
      </c>
      <c r="I246" s="6" t="s">
        <v>41</v>
      </c>
      <c r="J246" s="6" t="s">
        <v>613</v>
      </c>
      <c r="L246" s="6">
        <v>1</v>
      </c>
      <c r="M246" s="6">
        <v>0</v>
      </c>
      <c r="N246" s="6">
        <v>0</v>
      </c>
      <c r="O246" s="6">
        <v>0</v>
      </c>
      <c r="P246" s="34">
        <v>66.16</v>
      </c>
      <c r="Q246" s="6">
        <v>0.68</v>
      </c>
      <c r="R246" s="6">
        <v>11.74</v>
      </c>
      <c r="T246" s="6">
        <v>8.49</v>
      </c>
      <c r="U246" s="6">
        <v>0.28000000000000003</v>
      </c>
      <c r="V246" s="6">
        <v>0.88</v>
      </c>
      <c r="W246" s="6">
        <v>4.3099999999999996</v>
      </c>
      <c r="X246" s="6">
        <v>4.0199999999999996</v>
      </c>
      <c r="Y246" s="6">
        <v>1.63</v>
      </c>
      <c r="Z246" s="6">
        <v>0.35</v>
      </c>
      <c r="AB246" s="6">
        <f>SUM(P246:Z246)</f>
        <v>98.539999999999978</v>
      </c>
      <c r="AC246" s="6">
        <v>1.5</v>
      </c>
      <c r="AD246" s="6" t="s">
        <v>43</v>
      </c>
      <c r="AF246" s="6" t="s">
        <v>1166</v>
      </c>
    </row>
    <row r="247" spans="1:32">
      <c r="A247" s="8" t="s">
        <v>1090</v>
      </c>
      <c r="B247" s="6" t="s">
        <v>814</v>
      </c>
      <c r="C247" s="8" t="s">
        <v>645</v>
      </c>
      <c r="D247" s="12">
        <v>950</v>
      </c>
      <c r="E247" s="6">
        <v>3</v>
      </c>
      <c r="F247" s="11">
        <f>168*3600</f>
        <v>604800</v>
      </c>
      <c r="G247" s="9">
        <v>2.6432360916877484E-13</v>
      </c>
      <c r="H247" s="10">
        <f t="shared" si="9"/>
        <v>0.79965722362841196</v>
      </c>
      <c r="I247" s="13" t="s">
        <v>41</v>
      </c>
      <c r="J247" s="6" t="s">
        <v>815</v>
      </c>
      <c r="K247" s="6">
        <v>99.3</v>
      </c>
      <c r="L247" s="6">
        <v>1</v>
      </c>
      <c r="M247" s="6">
        <v>1</v>
      </c>
      <c r="N247" s="6">
        <v>1</v>
      </c>
      <c r="O247" s="6">
        <v>1</v>
      </c>
      <c r="P247" s="14">
        <v>53.71</v>
      </c>
      <c r="Q247" s="14">
        <v>0.91</v>
      </c>
      <c r="R247" s="14">
        <v>18.489999999999998</v>
      </c>
      <c r="S247" s="14"/>
      <c r="T247" s="14">
        <v>3.85</v>
      </c>
      <c r="U247" s="14">
        <v>0.2</v>
      </c>
      <c r="V247" s="14">
        <v>0.84</v>
      </c>
      <c r="W247" s="14">
        <v>2.37</v>
      </c>
      <c r="X247" s="14">
        <v>7.14</v>
      </c>
      <c r="Y247" s="14">
        <v>4.34</v>
      </c>
      <c r="Z247" s="14">
        <v>0.31</v>
      </c>
      <c r="AB247" s="14">
        <v>92.17</v>
      </c>
      <c r="AC247" s="15">
        <v>6.69</v>
      </c>
      <c r="AD247" s="6" t="s">
        <v>275</v>
      </c>
    </row>
    <row r="248" spans="1:32">
      <c r="A248" s="8" t="s">
        <v>1090</v>
      </c>
      <c r="B248" s="6" t="s">
        <v>816</v>
      </c>
      <c r="C248" s="8" t="s">
        <v>645</v>
      </c>
      <c r="D248" s="12">
        <v>950</v>
      </c>
      <c r="E248" s="6">
        <v>3</v>
      </c>
      <c r="F248" s="11">
        <f>168*3600</f>
        <v>604800</v>
      </c>
      <c r="G248" s="9">
        <v>2.6432360916877484E-13</v>
      </c>
      <c r="H248" s="10">
        <f t="shared" si="9"/>
        <v>0.79965722362841196</v>
      </c>
      <c r="I248" s="13" t="s">
        <v>817</v>
      </c>
      <c r="J248" s="6" t="s">
        <v>815</v>
      </c>
      <c r="K248" s="6">
        <v>99.8</v>
      </c>
      <c r="L248" s="6">
        <v>1</v>
      </c>
      <c r="M248" s="6">
        <v>1</v>
      </c>
      <c r="N248" s="6">
        <v>1</v>
      </c>
      <c r="O248" s="6">
        <v>1</v>
      </c>
      <c r="P248" s="14">
        <v>55.02</v>
      </c>
      <c r="Q248" s="14">
        <v>0.93</v>
      </c>
      <c r="R248" s="14">
        <v>19.05</v>
      </c>
      <c r="S248" s="14"/>
      <c r="T248" s="14">
        <v>3.75</v>
      </c>
      <c r="U248" s="14">
        <v>0.21</v>
      </c>
      <c r="V248" s="14">
        <v>0.86</v>
      </c>
      <c r="W248" s="14">
        <v>2.4</v>
      </c>
      <c r="X248" s="14">
        <v>6.89</v>
      </c>
      <c r="Y248" s="14">
        <v>4.08</v>
      </c>
      <c r="Z248" s="14">
        <v>0.37</v>
      </c>
      <c r="AB248" s="14">
        <v>93.56</v>
      </c>
      <c r="AC248" s="15">
        <v>5.19</v>
      </c>
      <c r="AD248" s="6" t="s">
        <v>275</v>
      </c>
    </row>
    <row r="249" spans="1:32">
      <c r="A249" s="8" t="s">
        <v>1090</v>
      </c>
      <c r="B249" s="6" t="s">
        <v>818</v>
      </c>
      <c r="C249" s="8" t="s">
        <v>645</v>
      </c>
      <c r="D249" s="12">
        <v>950</v>
      </c>
      <c r="E249" s="6">
        <v>3</v>
      </c>
      <c r="F249" s="11">
        <f>168*3600</f>
        <v>604800</v>
      </c>
      <c r="G249" s="9">
        <v>2.6432360916877484E-13</v>
      </c>
      <c r="H249" s="10">
        <f t="shared" si="9"/>
        <v>0.79965722362841196</v>
      </c>
      <c r="I249" s="13" t="s">
        <v>282</v>
      </c>
      <c r="J249" s="6" t="s">
        <v>819</v>
      </c>
      <c r="K249" s="6">
        <v>98.7</v>
      </c>
      <c r="L249" s="6">
        <v>1</v>
      </c>
      <c r="M249" s="6">
        <v>1</v>
      </c>
      <c r="N249" s="6">
        <v>1</v>
      </c>
      <c r="O249" s="6">
        <v>1</v>
      </c>
      <c r="P249" s="14">
        <v>54.81</v>
      </c>
      <c r="Q249" s="14">
        <v>0.94</v>
      </c>
      <c r="R249" s="14">
        <v>19.010000000000002</v>
      </c>
      <c r="S249" s="14"/>
      <c r="T249" s="14">
        <v>4.08</v>
      </c>
      <c r="U249" s="14">
        <v>0.2</v>
      </c>
      <c r="V249" s="14">
        <v>0.86</v>
      </c>
      <c r="W249" s="14">
        <v>2.36</v>
      </c>
      <c r="X249" s="14">
        <v>7.47</v>
      </c>
      <c r="Y249" s="14">
        <v>4.47</v>
      </c>
      <c r="Z249" s="14">
        <v>0.24</v>
      </c>
      <c r="AB249" s="14">
        <v>94.45</v>
      </c>
      <c r="AC249" s="15">
        <v>4.24</v>
      </c>
      <c r="AD249" s="6" t="s">
        <v>275</v>
      </c>
    </row>
    <row r="250" spans="1:32">
      <c r="A250" s="8" t="s">
        <v>1090</v>
      </c>
      <c r="B250" s="6" t="s">
        <v>820</v>
      </c>
      <c r="C250" s="8" t="s">
        <v>645</v>
      </c>
      <c r="D250" s="12">
        <v>950</v>
      </c>
      <c r="E250" s="6">
        <v>3</v>
      </c>
      <c r="F250" s="11">
        <f>168*3600</f>
        <v>604800</v>
      </c>
      <c r="G250" s="9">
        <v>2.6432360916877484E-13</v>
      </c>
      <c r="H250" s="10">
        <f t="shared" si="9"/>
        <v>0.79965722362841196</v>
      </c>
      <c r="I250" s="13" t="s">
        <v>307</v>
      </c>
      <c r="J250" s="6" t="s">
        <v>819</v>
      </c>
      <c r="K250" s="6">
        <v>98.99</v>
      </c>
      <c r="L250" s="6">
        <v>1</v>
      </c>
      <c r="M250" s="6">
        <v>1</v>
      </c>
      <c r="N250" s="6">
        <v>1</v>
      </c>
      <c r="O250" s="6">
        <v>1</v>
      </c>
      <c r="P250" s="14">
        <v>56</v>
      </c>
      <c r="Q250" s="14">
        <v>0.93</v>
      </c>
      <c r="R250" s="14">
        <v>19.34</v>
      </c>
      <c r="S250" s="14"/>
      <c r="T250" s="14">
        <v>3.19</v>
      </c>
      <c r="U250" s="14">
        <v>0.16</v>
      </c>
      <c r="V250" s="14">
        <v>0.81</v>
      </c>
      <c r="W250" s="14">
        <v>2.4700000000000002</v>
      </c>
      <c r="X250" s="14">
        <v>7.2</v>
      </c>
      <c r="Y250" s="14">
        <v>4.38</v>
      </c>
      <c r="Z250" s="14">
        <v>0.28000000000000003</v>
      </c>
      <c r="AB250" s="14">
        <v>94.78</v>
      </c>
      <c r="AC250" s="15">
        <v>3.88</v>
      </c>
      <c r="AD250" s="6" t="s">
        <v>275</v>
      </c>
    </row>
    <row r="251" spans="1:32">
      <c r="A251" s="8" t="s">
        <v>1090</v>
      </c>
      <c r="B251" s="6" t="s">
        <v>821</v>
      </c>
      <c r="C251" s="8" t="s">
        <v>645</v>
      </c>
      <c r="D251" s="12">
        <v>950</v>
      </c>
      <c r="E251" s="6">
        <v>2</v>
      </c>
      <c r="F251" s="11">
        <f>139*3600</f>
        <v>500400</v>
      </c>
      <c r="G251" s="9">
        <v>2.6432360916877484E-13</v>
      </c>
      <c r="H251" s="10">
        <f t="shared" si="9"/>
        <v>0.72737207542785121</v>
      </c>
      <c r="I251" s="13" t="s">
        <v>41</v>
      </c>
      <c r="J251" s="6" t="s">
        <v>815</v>
      </c>
      <c r="K251" s="6">
        <v>98</v>
      </c>
      <c r="L251" s="6">
        <v>1</v>
      </c>
      <c r="M251" s="6">
        <v>1</v>
      </c>
      <c r="N251" s="6">
        <v>1</v>
      </c>
      <c r="O251" s="6">
        <v>1</v>
      </c>
      <c r="P251" s="14">
        <v>52.86</v>
      </c>
      <c r="Q251" s="14">
        <v>0.89</v>
      </c>
      <c r="R251" s="14">
        <v>18.170000000000002</v>
      </c>
      <c r="S251" s="14"/>
      <c r="T251" s="14">
        <v>4.33</v>
      </c>
      <c r="U251" s="14">
        <v>0.19</v>
      </c>
      <c r="V251" s="14">
        <v>0.81</v>
      </c>
      <c r="W251" s="14">
        <v>2.4</v>
      </c>
      <c r="X251" s="14">
        <v>7.32</v>
      </c>
      <c r="Y251" s="14">
        <v>4.46</v>
      </c>
      <c r="Z251" s="14">
        <v>0.28999999999999998</v>
      </c>
      <c r="AB251" s="14">
        <v>91.93</v>
      </c>
      <c r="AC251" s="15">
        <v>6.3</v>
      </c>
      <c r="AD251" s="6" t="s">
        <v>764</v>
      </c>
    </row>
    <row r="252" spans="1:32">
      <c r="A252" s="8" t="s">
        <v>1090</v>
      </c>
      <c r="B252" s="6" t="s">
        <v>822</v>
      </c>
      <c r="C252" s="8" t="s">
        <v>645</v>
      </c>
      <c r="D252" s="12">
        <v>950</v>
      </c>
      <c r="E252" s="6">
        <v>2</v>
      </c>
      <c r="F252" s="11">
        <f>139*3600</f>
        <v>500400</v>
      </c>
      <c r="G252" s="9">
        <v>2.6432360916877484E-13</v>
      </c>
      <c r="H252" s="10">
        <f t="shared" si="9"/>
        <v>0.72737207542785121</v>
      </c>
      <c r="I252" s="13" t="s">
        <v>817</v>
      </c>
      <c r="J252" s="6" t="s">
        <v>815</v>
      </c>
      <c r="K252" s="6">
        <v>98</v>
      </c>
      <c r="L252" s="6">
        <v>1</v>
      </c>
      <c r="M252" s="6">
        <v>1</v>
      </c>
      <c r="N252" s="6">
        <v>1</v>
      </c>
      <c r="O252" s="6">
        <v>1</v>
      </c>
      <c r="P252" s="14">
        <v>53.17</v>
      </c>
      <c r="Q252" s="14">
        <v>0.9</v>
      </c>
      <c r="R252" s="14">
        <v>18.350000000000001</v>
      </c>
      <c r="S252" s="14"/>
      <c r="T252" s="14">
        <v>4.17</v>
      </c>
      <c r="U252" s="14">
        <v>0.18</v>
      </c>
      <c r="V252" s="14">
        <v>0.83</v>
      </c>
      <c r="W252" s="14">
        <v>2.38</v>
      </c>
      <c r="X252" s="14">
        <v>7.64</v>
      </c>
      <c r="Y252" s="14">
        <v>4.45</v>
      </c>
      <c r="Z252" s="14">
        <v>0.32</v>
      </c>
      <c r="AB252" s="14">
        <v>92.64</v>
      </c>
      <c r="AC252" s="15">
        <v>5.98</v>
      </c>
      <c r="AD252" s="6" t="s">
        <v>764</v>
      </c>
    </row>
    <row r="253" spans="1:32">
      <c r="A253" s="8" t="s">
        <v>1090</v>
      </c>
      <c r="B253" s="6" t="s">
        <v>823</v>
      </c>
      <c r="C253" s="8" t="s">
        <v>645</v>
      </c>
      <c r="D253" s="12">
        <v>950</v>
      </c>
      <c r="E253" s="6">
        <v>2</v>
      </c>
      <c r="F253" s="11">
        <f>139*3600</f>
        <v>500400</v>
      </c>
      <c r="G253" s="9">
        <v>2.6432360916877484E-13</v>
      </c>
      <c r="H253" s="10">
        <f t="shared" si="9"/>
        <v>0.72737207542785121</v>
      </c>
      <c r="I253" s="13" t="s">
        <v>282</v>
      </c>
      <c r="J253" s="6" t="s">
        <v>815</v>
      </c>
      <c r="K253" s="6">
        <v>98.5</v>
      </c>
      <c r="L253" s="6">
        <v>1</v>
      </c>
      <c r="M253" s="6">
        <v>1</v>
      </c>
      <c r="N253" s="6">
        <v>1</v>
      </c>
      <c r="O253" s="6">
        <v>1</v>
      </c>
      <c r="P253" s="14">
        <v>53</v>
      </c>
      <c r="Q253" s="14">
        <v>0.94</v>
      </c>
      <c r="R253" s="14">
        <v>18.18</v>
      </c>
      <c r="S253" s="14"/>
      <c r="T253" s="14">
        <v>4</v>
      </c>
      <c r="U253" s="14">
        <v>0.21</v>
      </c>
      <c r="V253" s="14">
        <v>0.87</v>
      </c>
      <c r="W253" s="14">
        <v>2.5299999999999998</v>
      </c>
      <c r="X253" s="14">
        <v>7.72</v>
      </c>
      <c r="Y253" s="14">
        <v>4.37</v>
      </c>
      <c r="Z253" s="14">
        <v>0.37</v>
      </c>
      <c r="AB253" s="14">
        <v>92.4</v>
      </c>
      <c r="AC253" s="15">
        <v>6.28</v>
      </c>
      <c r="AD253" s="6" t="s">
        <v>764</v>
      </c>
    </row>
    <row r="254" spans="1:32">
      <c r="A254" s="8" t="s">
        <v>1090</v>
      </c>
      <c r="B254" s="6" t="s">
        <v>824</v>
      </c>
      <c r="C254" s="8" t="s">
        <v>645</v>
      </c>
      <c r="D254" s="12">
        <v>950</v>
      </c>
      <c r="E254" s="6">
        <v>2</v>
      </c>
      <c r="F254" s="11">
        <f>139*3600</f>
        <v>500400</v>
      </c>
      <c r="G254" s="9">
        <v>2.6432360916877484E-13</v>
      </c>
      <c r="H254" s="10">
        <f t="shared" si="9"/>
        <v>0.72737207542785121</v>
      </c>
      <c r="I254" s="13" t="s">
        <v>307</v>
      </c>
      <c r="J254" s="6" t="s">
        <v>815</v>
      </c>
      <c r="K254" s="6">
        <v>98.95</v>
      </c>
      <c r="L254" s="6">
        <v>1</v>
      </c>
      <c r="M254" s="6">
        <v>1</v>
      </c>
      <c r="N254" s="6">
        <v>1</v>
      </c>
      <c r="O254" s="6">
        <v>1</v>
      </c>
      <c r="P254" s="14">
        <v>53.19</v>
      </c>
      <c r="Q254" s="14">
        <v>0.88</v>
      </c>
      <c r="R254" s="14">
        <v>18.79</v>
      </c>
      <c r="S254" s="14"/>
      <c r="T254" s="14">
        <v>4.29</v>
      </c>
      <c r="U254" s="14">
        <v>0.23</v>
      </c>
      <c r="V254" s="14">
        <v>0.78</v>
      </c>
      <c r="W254" s="14">
        <v>2.34</v>
      </c>
      <c r="X254" s="14">
        <v>8.16</v>
      </c>
      <c r="Y254" s="14">
        <v>4.24</v>
      </c>
      <c r="Z254" s="14">
        <v>0.2</v>
      </c>
      <c r="AB254" s="14">
        <v>93.38</v>
      </c>
      <c r="AC254" s="15">
        <v>5.21</v>
      </c>
      <c r="AD254" s="6" t="s">
        <v>764</v>
      </c>
    </row>
    <row r="255" spans="1:32">
      <c r="A255" s="8" t="s">
        <v>1090</v>
      </c>
      <c r="B255" s="6" t="s">
        <v>825</v>
      </c>
      <c r="C255" s="8" t="s">
        <v>645</v>
      </c>
      <c r="D255" s="12">
        <v>1018</v>
      </c>
      <c r="E255" s="6">
        <v>1E-4</v>
      </c>
      <c r="F255" s="11">
        <f>94*3600</f>
        <v>338400</v>
      </c>
      <c r="G255" s="9">
        <v>5.6593606844277456E-13</v>
      </c>
      <c r="H255" s="10">
        <f t="shared" si="9"/>
        <v>0.87524343027762264</v>
      </c>
      <c r="I255" s="13" t="s">
        <v>826</v>
      </c>
      <c r="J255" s="6" t="s">
        <v>815</v>
      </c>
      <c r="K255" s="6">
        <v>97.53</v>
      </c>
      <c r="L255" s="6">
        <v>0</v>
      </c>
      <c r="M255" s="6">
        <v>1</v>
      </c>
      <c r="N255" s="6">
        <v>1</v>
      </c>
      <c r="O255" s="6">
        <v>1</v>
      </c>
      <c r="P255" s="14">
        <v>55.9</v>
      </c>
      <c r="Q255" s="14">
        <v>0.95</v>
      </c>
      <c r="R255" s="14">
        <v>19.760000000000002</v>
      </c>
      <c r="S255" s="14"/>
      <c r="T255" s="14">
        <v>4.53</v>
      </c>
      <c r="U255" s="14">
        <v>0.22</v>
      </c>
      <c r="V255" s="14">
        <v>0.86</v>
      </c>
      <c r="W255" s="14">
        <v>1.06</v>
      </c>
      <c r="X255" s="14">
        <v>8.3000000000000007</v>
      </c>
      <c r="Y255" s="14">
        <v>7.11</v>
      </c>
      <c r="Z255" s="14">
        <v>0.28000000000000003</v>
      </c>
      <c r="AB255" s="14">
        <v>99.19</v>
      </c>
      <c r="AC255" s="15">
        <v>0</v>
      </c>
      <c r="AD255" s="6" t="s">
        <v>827</v>
      </c>
    </row>
    <row r="256" spans="1:32">
      <c r="A256" s="8" t="s">
        <v>1090</v>
      </c>
      <c r="B256" s="6" t="s">
        <v>828</v>
      </c>
      <c r="C256" s="8" t="s">
        <v>645</v>
      </c>
      <c r="D256" s="12">
        <v>1025</v>
      </c>
      <c r="E256" s="6">
        <v>1E-4</v>
      </c>
      <c r="F256" s="11">
        <f>95*3600</f>
        <v>342000</v>
      </c>
      <c r="G256" s="9">
        <v>6.093075655892557E-13</v>
      </c>
      <c r="H256" s="10">
        <f t="shared" si="9"/>
        <v>0.91298014749834611</v>
      </c>
      <c r="I256" s="13" t="s">
        <v>826</v>
      </c>
      <c r="J256" s="6" t="s">
        <v>815</v>
      </c>
      <c r="K256" s="6">
        <v>98.12</v>
      </c>
      <c r="L256" s="6">
        <v>0</v>
      </c>
      <c r="M256" s="6">
        <v>1</v>
      </c>
      <c r="N256" s="6">
        <v>1</v>
      </c>
      <c r="O256" s="6">
        <v>1</v>
      </c>
      <c r="P256" s="14">
        <v>56.68</v>
      </c>
      <c r="Q256" s="14">
        <v>0.82</v>
      </c>
      <c r="R256" s="14">
        <v>19.97</v>
      </c>
      <c r="S256" s="14"/>
      <c r="T256" s="14">
        <v>3.72</v>
      </c>
      <c r="U256" s="14">
        <v>0.23</v>
      </c>
      <c r="V256" s="14">
        <v>0.68</v>
      </c>
      <c r="W256" s="14">
        <v>0.57999999999999996</v>
      </c>
      <c r="X256" s="14">
        <v>8.17</v>
      </c>
      <c r="Y256" s="14">
        <v>6.32</v>
      </c>
      <c r="Z256" s="14">
        <v>0.26</v>
      </c>
      <c r="AB256" s="14">
        <v>97.55</v>
      </c>
      <c r="AC256" s="15">
        <v>0</v>
      </c>
      <c r="AD256" s="6" t="s">
        <v>827</v>
      </c>
    </row>
    <row r="257" spans="1:32">
      <c r="A257" s="6" t="s">
        <v>1036</v>
      </c>
      <c r="B257" s="6" t="s">
        <v>79</v>
      </c>
      <c r="C257" s="6" t="s">
        <v>558</v>
      </c>
      <c r="D257" s="6">
        <v>860</v>
      </c>
      <c r="E257" s="6">
        <v>7</v>
      </c>
      <c r="F257" s="6">
        <f>72*3600</f>
        <v>259200</v>
      </c>
      <c r="G257" s="9">
        <v>8.3853082985741507E-14</v>
      </c>
      <c r="H257" s="10">
        <f t="shared" si="9"/>
        <v>0.29485399173085108</v>
      </c>
      <c r="I257" s="6">
        <v>9.15</v>
      </c>
      <c r="J257" s="6" t="s">
        <v>80</v>
      </c>
      <c r="K257" s="6">
        <v>96.1</v>
      </c>
      <c r="L257" s="6">
        <v>1</v>
      </c>
      <c r="M257" s="6">
        <v>0</v>
      </c>
      <c r="N257" s="6">
        <v>0</v>
      </c>
      <c r="O257" s="6">
        <v>0</v>
      </c>
      <c r="P257" s="6">
        <v>62.3</v>
      </c>
      <c r="Q257" s="6">
        <v>0.25</v>
      </c>
      <c r="R257" s="6">
        <v>15.29</v>
      </c>
      <c r="T257" s="6">
        <v>1.64</v>
      </c>
      <c r="U257" s="6">
        <v>0.15</v>
      </c>
      <c r="V257" s="6">
        <v>1.06</v>
      </c>
      <c r="W257" s="6">
        <v>3.33</v>
      </c>
      <c r="X257" s="6">
        <v>3.22</v>
      </c>
      <c r="Y257" s="6">
        <v>1.83</v>
      </c>
      <c r="Z257" s="6">
        <v>0.23799999999999999</v>
      </c>
      <c r="AA257" s="6">
        <v>3.0000000000000001E-3</v>
      </c>
      <c r="AB257" s="8">
        <v>89.3</v>
      </c>
      <c r="AC257" s="6">
        <v>9.9</v>
      </c>
      <c r="AD257" s="6" t="s">
        <v>81</v>
      </c>
      <c r="AF257" s="6" t="s">
        <v>1167</v>
      </c>
    </row>
    <row r="258" spans="1:32">
      <c r="A258" s="6" t="s">
        <v>1036</v>
      </c>
      <c r="B258" s="6" t="s">
        <v>82</v>
      </c>
      <c r="C258" s="6" t="s">
        <v>558</v>
      </c>
      <c r="D258" s="6">
        <v>830</v>
      </c>
      <c r="E258" s="6">
        <v>7</v>
      </c>
      <c r="F258" s="6">
        <f>75*3600</f>
        <v>270000</v>
      </c>
      <c r="G258" s="9">
        <v>5.4857200896785217E-14</v>
      </c>
      <c r="H258" s="10">
        <f t="shared" ref="H258:H321" si="12">2*SQRT(G258*F258)*1000</f>
        <v>0.24340455412446174</v>
      </c>
      <c r="I258" s="6">
        <v>10.36</v>
      </c>
      <c r="J258" s="6" t="s">
        <v>83</v>
      </c>
      <c r="K258" s="6">
        <v>93</v>
      </c>
      <c r="L258" s="6">
        <v>1</v>
      </c>
      <c r="M258" s="6">
        <v>0</v>
      </c>
      <c r="N258" s="6">
        <v>0</v>
      </c>
      <c r="O258" s="6">
        <v>0</v>
      </c>
      <c r="P258" s="6">
        <v>63.91</v>
      </c>
      <c r="Q258" s="6">
        <v>0.13</v>
      </c>
      <c r="R258" s="6">
        <v>14.36</v>
      </c>
      <c r="T258" s="6">
        <v>0.95</v>
      </c>
      <c r="U258" s="6">
        <v>0.16</v>
      </c>
      <c r="V258" s="6">
        <v>0.81</v>
      </c>
      <c r="W258" s="6">
        <v>2.57</v>
      </c>
      <c r="X258" s="6">
        <v>3.2</v>
      </c>
      <c r="Y258" s="6">
        <v>1.89</v>
      </c>
      <c r="Z258" s="6">
        <v>0.17100000000000001</v>
      </c>
      <c r="AA258" s="6">
        <v>6.0000000000000001E-3</v>
      </c>
      <c r="AB258" s="8">
        <v>88.14</v>
      </c>
      <c r="AC258" s="6">
        <v>9.6</v>
      </c>
      <c r="AD258" s="6" t="s">
        <v>81</v>
      </c>
      <c r="AF258" s="6" t="s">
        <v>1167</v>
      </c>
    </row>
    <row r="259" spans="1:32">
      <c r="A259" s="6" t="s">
        <v>1036</v>
      </c>
      <c r="B259" s="6" t="s">
        <v>84</v>
      </c>
      <c r="C259" s="6" t="s">
        <v>558</v>
      </c>
      <c r="D259" s="6">
        <v>780</v>
      </c>
      <c r="E259" s="6">
        <v>7</v>
      </c>
      <c r="F259" s="6">
        <f>100*3600</f>
        <v>360000</v>
      </c>
      <c r="G259" s="9">
        <v>2.5630672429272172E-14</v>
      </c>
      <c r="H259" s="10">
        <f t="shared" si="12"/>
        <v>0.19211498717734629</v>
      </c>
      <c r="I259" s="6">
        <v>9.6999999999999993</v>
      </c>
      <c r="J259" s="6" t="s">
        <v>85</v>
      </c>
      <c r="K259" s="6">
        <v>88.5</v>
      </c>
      <c r="L259" s="6">
        <v>1</v>
      </c>
      <c r="M259" s="6">
        <v>0</v>
      </c>
      <c r="N259" s="6">
        <v>0</v>
      </c>
      <c r="O259" s="6">
        <v>0</v>
      </c>
      <c r="P259" s="6">
        <v>65.900000000000006</v>
      </c>
      <c r="Q259" s="6">
        <v>0.09</v>
      </c>
      <c r="R259" s="6">
        <v>13.29</v>
      </c>
      <c r="T259" s="6">
        <v>0.68</v>
      </c>
      <c r="U259" s="6">
        <v>0.12</v>
      </c>
      <c r="V259" s="6">
        <v>0.51</v>
      </c>
      <c r="W259" s="6">
        <v>1.6</v>
      </c>
      <c r="X259" s="6">
        <v>3.73</v>
      </c>
      <c r="Y259" s="6">
        <v>2.11</v>
      </c>
      <c r="Z259" s="6">
        <v>0.108</v>
      </c>
      <c r="AA259" s="6">
        <v>8.0000000000000002E-3</v>
      </c>
      <c r="AB259" s="8">
        <v>88.13</v>
      </c>
      <c r="AC259" s="6">
        <v>9.8000000000000007</v>
      </c>
      <c r="AD259" s="6" t="s">
        <v>81</v>
      </c>
      <c r="AF259" s="6" t="s">
        <v>1167</v>
      </c>
    </row>
    <row r="260" spans="1:32">
      <c r="A260" s="6" t="s">
        <v>1036</v>
      </c>
      <c r="B260" s="6" t="s">
        <v>86</v>
      </c>
      <c r="C260" s="6" t="s">
        <v>558</v>
      </c>
      <c r="D260" s="6">
        <v>730</v>
      </c>
      <c r="E260" s="6">
        <v>7</v>
      </c>
      <c r="F260" s="6">
        <f>100*3600</f>
        <v>360000</v>
      </c>
      <c r="G260" s="9">
        <v>1.1100505708446987E-14</v>
      </c>
      <c r="H260" s="10">
        <f t="shared" si="12"/>
        <v>0.12643072498472696</v>
      </c>
      <c r="I260" s="6">
        <v>10.79</v>
      </c>
      <c r="J260" s="6" t="s">
        <v>83</v>
      </c>
      <c r="K260" s="6">
        <v>87.8</v>
      </c>
      <c r="L260" s="6">
        <v>1</v>
      </c>
      <c r="M260" s="6">
        <v>0</v>
      </c>
      <c r="N260" s="6">
        <v>0</v>
      </c>
      <c r="O260" s="6">
        <v>0</v>
      </c>
      <c r="P260" s="6">
        <v>67.599999999999994</v>
      </c>
      <c r="Q260" s="6">
        <v>0.05</v>
      </c>
      <c r="R260" s="6">
        <v>11.94</v>
      </c>
      <c r="T260" s="6">
        <v>0.45</v>
      </c>
      <c r="U260" s="6">
        <v>0.12</v>
      </c>
      <c r="V260" s="6">
        <v>0.26</v>
      </c>
      <c r="W260" s="6">
        <v>0.9</v>
      </c>
      <c r="X260" s="6">
        <v>3.8</v>
      </c>
      <c r="Y260" s="6">
        <v>2.16</v>
      </c>
      <c r="Z260" s="6">
        <v>2.8000000000000001E-2</v>
      </c>
      <c r="AA260" s="6">
        <v>4.0000000000000001E-3</v>
      </c>
      <c r="AB260" s="8">
        <v>87.32</v>
      </c>
      <c r="AC260" s="6">
        <v>10.7</v>
      </c>
      <c r="AD260" s="6" t="s">
        <v>81</v>
      </c>
      <c r="AF260" s="6" t="s">
        <v>1167</v>
      </c>
    </row>
    <row r="261" spans="1:32">
      <c r="A261" s="6" t="s">
        <v>1036</v>
      </c>
      <c r="B261" s="6" t="s">
        <v>87</v>
      </c>
      <c r="C261" s="6" t="s">
        <v>558</v>
      </c>
      <c r="D261" s="6">
        <v>700</v>
      </c>
      <c r="E261" s="6">
        <v>7</v>
      </c>
      <c r="F261" s="6">
        <f>168*3600</f>
        <v>604800</v>
      </c>
      <c r="G261" s="9">
        <v>6.4471399973470593E-15</v>
      </c>
      <c r="H261" s="10">
        <f t="shared" si="12"/>
        <v>0.12488763382169593</v>
      </c>
      <c r="I261" s="6">
        <v>10.89</v>
      </c>
      <c r="J261" s="6" t="s">
        <v>88</v>
      </c>
      <c r="K261" s="6">
        <v>73.900000000000006</v>
      </c>
      <c r="L261" s="6">
        <v>1</v>
      </c>
      <c r="M261" s="6">
        <v>0</v>
      </c>
      <c r="N261" s="6">
        <v>0</v>
      </c>
      <c r="O261" s="6">
        <v>0</v>
      </c>
      <c r="P261" s="6">
        <v>68.209999999999994</v>
      </c>
      <c r="Q261" s="6">
        <v>0.05</v>
      </c>
      <c r="R261" s="6">
        <v>11.53</v>
      </c>
      <c r="T261" s="6">
        <v>0.26</v>
      </c>
      <c r="U261" s="6">
        <v>0.1</v>
      </c>
      <c r="V261" s="6">
        <v>0.11</v>
      </c>
      <c r="W261" s="6">
        <v>0.16</v>
      </c>
      <c r="X261" s="6">
        <v>3.88</v>
      </c>
      <c r="Y261" s="6">
        <v>2.86</v>
      </c>
      <c r="Z261" s="6">
        <v>0.03</v>
      </c>
      <c r="AA261" s="6">
        <v>0.03</v>
      </c>
      <c r="AB261" s="8">
        <v>87.19</v>
      </c>
      <c r="AC261" s="6">
        <v>12.81</v>
      </c>
      <c r="AD261" s="6" t="s">
        <v>89</v>
      </c>
    </row>
    <row r="262" spans="1:32">
      <c r="A262" s="6" t="s">
        <v>1059</v>
      </c>
      <c r="B262" s="6" t="s">
        <v>375</v>
      </c>
      <c r="C262" s="6" t="s">
        <v>645</v>
      </c>
      <c r="D262" s="6">
        <v>1040</v>
      </c>
      <c r="E262" s="6">
        <v>9.3000000000000007</v>
      </c>
      <c r="F262" s="6">
        <f t="shared" ref="F262:F286" si="13">3*24*3600</f>
        <v>259200</v>
      </c>
      <c r="G262" s="9">
        <v>7.1187702362643256E-13</v>
      </c>
      <c r="H262" s="10">
        <f t="shared" si="12"/>
        <v>0.85911238967662729</v>
      </c>
      <c r="I262" s="6">
        <v>2.2999999999999998</v>
      </c>
      <c r="J262" s="6" t="s">
        <v>376</v>
      </c>
      <c r="K262" s="6">
        <v>42</v>
      </c>
      <c r="L262" s="6">
        <v>1</v>
      </c>
      <c r="M262" s="6">
        <v>1</v>
      </c>
      <c r="N262" s="6">
        <v>1</v>
      </c>
      <c r="O262" s="6">
        <v>1</v>
      </c>
      <c r="P262" s="6">
        <v>52.25</v>
      </c>
      <c r="Q262" s="6">
        <v>1.24</v>
      </c>
      <c r="R262" s="6">
        <v>17.8</v>
      </c>
      <c r="T262" s="6">
        <v>8.2899999999999991</v>
      </c>
      <c r="U262" s="6">
        <v>0.26</v>
      </c>
      <c r="V262" s="6">
        <v>2.5299999999999998</v>
      </c>
      <c r="W262" s="6">
        <v>5.63</v>
      </c>
      <c r="X262" s="6">
        <v>4.5999999999999996</v>
      </c>
      <c r="Y262" s="6">
        <v>2.42</v>
      </c>
      <c r="Z262" s="6">
        <v>1.1000000000000001</v>
      </c>
      <c r="AB262" s="6">
        <v>95.33</v>
      </c>
      <c r="AC262" s="6">
        <v>3.4404761904761907</v>
      </c>
      <c r="AD262" s="24" t="s">
        <v>157</v>
      </c>
      <c r="AF262" s="6" t="s">
        <v>1168</v>
      </c>
    </row>
    <row r="263" spans="1:32">
      <c r="A263" s="6" t="s">
        <v>1059</v>
      </c>
      <c r="B263" s="6" t="s">
        <v>377</v>
      </c>
      <c r="C263" s="6" t="s">
        <v>645</v>
      </c>
      <c r="D263" s="6">
        <v>1000</v>
      </c>
      <c r="E263" s="6">
        <v>9.3000000000000007</v>
      </c>
      <c r="F263" s="6">
        <f t="shared" si="13"/>
        <v>259200</v>
      </c>
      <c r="G263" s="9">
        <v>4.6632042652511761E-13</v>
      </c>
      <c r="H263" s="10">
        <f t="shared" si="12"/>
        <v>0.69532799326738015</v>
      </c>
      <c r="I263" s="6">
        <v>2.2999999999999998</v>
      </c>
      <c r="J263" s="6" t="s">
        <v>378</v>
      </c>
      <c r="K263" s="6">
        <v>38</v>
      </c>
      <c r="L263" s="6">
        <v>1</v>
      </c>
      <c r="M263" s="6">
        <v>1</v>
      </c>
      <c r="N263" s="6">
        <v>1</v>
      </c>
      <c r="O263" s="6">
        <v>1</v>
      </c>
      <c r="P263" s="6">
        <v>56.17</v>
      </c>
      <c r="Q263" s="6">
        <v>0.84</v>
      </c>
      <c r="R263" s="6">
        <v>17.91</v>
      </c>
      <c r="T263" s="6">
        <v>6.82</v>
      </c>
      <c r="U263" s="6">
        <v>0.1</v>
      </c>
      <c r="V263" s="6">
        <v>1.97</v>
      </c>
      <c r="W263" s="6">
        <v>5.38</v>
      </c>
      <c r="X263" s="6">
        <v>4.8</v>
      </c>
      <c r="Y263" s="6">
        <v>2.4500000000000002</v>
      </c>
      <c r="Z263" s="6">
        <v>1.01</v>
      </c>
      <c r="AB263" s="6">
        <v>96.04</v>
      </c>
      <c r="AC263" s="6">
        <v>3.0131578947368416</v>
      </c>
      <c r="AD263" s="24" t="s">
        <v>157</v>
      </c>
      <c r="AF263" s="6" t="s">
        <v>1168</v>
      </c>
    </row>
    <row r="264" spans="1:32">
      <c r="A264" s="6" t="s">
        <v>1059</v>
      </c>
      <c r="B264" s="6" t="s">
        <v>379</v>
      </c>
      <c r="C264" s="6" t="s">
        <v>645</v>
      </c>
      <c r="D264" s="6">
        <v>1040</v>
      </c>
      <c r="E264" s="6">
        <v>9.3000000000000007</v>
      </c>
      <c r="F264" s="6">
        <f t="shared" si="13"/>
        <v>259200</v>
      </c>
      <c r="G264" s="9">
        <v>7.1187702362643256E-13</v>
      </c>
      <c r="H264" s="10">
        <f t="shared" si="12"/>
        <v>0.85911238967662729</v>
      </c>
      <c r="I264" s="6">
        <v>2</v>
      </c>
      <c r="J264" s="6" t="s">
        <v>380</v>
      </c>
      <c r="K264" s="6">
        <v>77</v>
      </c>
      <c r="L264" s="6">
        <v>1</v>
      </c>
      <c r="M264" s="6">
        <v>1</v>
      </c>
      <c r="N264" s="6">
        <v>1</v>
      </c>
      <c r="O264" s="6">
        <v>1</v>
      </c>
      <c r="P264" s="6">
        <v>48.09</v>
      </c>
      <c r="Q264" s="6">
        <v>2.1800000000000002</v>
      </c>
      <c r="R264" s="6">
        <v>15.68</v>
      </c>
      <c r="T264" s="6">
        <v>11.06</v>
      </c>
      <c r="U264" s="6">
        <v>0.15</v>
      </c>
      <c r="V264" s="6">
        <v>3.43</v>
      </c>
      <c r="W264" s="6">
        <v>6.22</v>
      </c>
      <c r="X264" s="6">
        <v>3.82</v>
      </c>
      <c r="Y264" s="6">
        <v>2.42</v>
      </c>
      <c r="Z264" s="6">
        <v>1.78</v>
      </c>
      <c r="AB264" s="6">
        <v>94.83</v>
      </c>
      <c r="AC264" s="6">
        <v>2.0324675324675328</v>
      </c>
      <c r="AD264" s="24" t="s">
        <v>157</v>
      </c>
      <c r="AF264" s="6" t="s">
        <v>1168</v>
      </c>
    </row>
    <row r="265" spans="1:32">
      <c r="A265" s="6" t="s">
        <v>1059</v>
      </c>
      <c r="B265" s="6" t="s">
        <v>381</v>
      </c>
      <c r="C265" s="6" t="s">
        <v>645</v>
      </c>
      <c r="D265" s="6">
        <v>1020</v>
      </c>
      <c r="E265" s="6">
        <v>9.3000000000000007</v>
      </c>
      <c r="F265" s="6">
        <f t="shared" si="13"/>
        <v>259200</v>
      </c>
      <c r="G265" s="9">
        <v>5.7805003093367194E-13</v>
      </c>
      <c r="H265" s="10">
        <f t="shared" si="12"/>
        <v>0.77415907413917917</v>
      </c>
      <c r="I265" s="6">
        <v>2</v>
      </c>
      <c r="J265" s="6" t="s">
        <v>378</v>
      </c>
      <c r="K265" s="6">
        <v>62</v>
      </c>
      <c r="L265" s="6">
        <v>1</v>
      </c>
      <c r="M265" s="6">
        <v>1</v>
      </c>
      <c r="N265" s="6">
        <v>1</v>
      </c>
      <c r="O265" s="6">
        <v>1</v>
      </c>
      <c r="P265" s="6">
        <v>52.54</v>
      </c>
      <c r="Q265" s="6">
        <v>1.45</v>
      </c>
      <c r="R265" s="6">
        <v>17</v>
      </c>
      <c r="T265" s="6">
        <v>9.18</v>
      </c>
      <c r="U265" s="6">
        <v>0.17</v>
      </c>
      <c r="V265" s="6">
        <v>2.11</v>
      </c>
      <c r="W265" s="6">
        <v>4.7300000000000004</v>
      </c>
      <c r="X265" s="6">
        <v>4.79</v>
      </c>
      <c r="Y265" s="6">
        <v>3.06</v>
      </c>
      <c r="Z265" s="6">
        <v>1.26</v>
      </c>
      <c r="AB265" s="6">
        <v>96.29</v>
      </c>
      <c r="AC265" s="6">
        <v>3.3</v>
      </c>
      <c r="AD265" s="6" t="s">
        <v>213</v>
      </c>
      <c r="AF265" s="6" t="s">
        <v>1168</v>
      </c>
    </row>
    <row r="266" spans="1:32">
      <c r="A266" s="6" t="s">
        <v>1059</v>
      </c>
      <c r="B266" s="6" t="s">
        <v>382</v>
      </c>
      <c r="C266" s="6" t="s">
        <v>645</v>
      </c>
      <c r="D266" s="6">
        <v>1000</v>
      </c>
      <c r="E266" s="6">
        <v>9.3000000000000007</v>
      </c>
      <c r="F266" s="6">
        <f t="shared" si="13"/>
        <v>259200</v>
      </c>
      <c r="G266" s="9">
        <v>4.6632042652511761E-13</v>
      </c>
      <c r="H266" s="10">
        <f t="shared" si="12"/>
        <v>0.69532799326738015</v>
      </c>
      <c r="I266" s="6">
        <v>2</v>
      </c>
      <c r="J266" s="6" t="s">
        <v>378</v>
      </c>
      <c r="K266" s="6">
        <v>54</v>
      </c>
      <c r="L266" s="6">
        <v>1</v>
      </c>
      <c r="M266" s="6">
        <v>1</v>
      </c>
      <c r="N266" s="6">
        <v>1</v>
      </c>
      <c r="O266" s="6">
        <v>1</v>
      </c>
      <c r="P266" s="6">
        <v>52.84</v>
      </c>
      <c r="Q266" s="6">
        <v>1.26</v>
      </c>
      <c r="R266" s="6">
        <v>16.68</v>
      </c>
      <c r="T266" s="6">
        <v>9.08</v>
      </c>
      <c r="U266" s="6">
        <v>0.15</v>
      </c>
      <c r="V266" s="6">
        <v>1.82</v>
      </c>
      <c r="W266" s="6">
        <v>4.25</v>
      </c>
      <c r="X266" s="6">
        <v>4.5599999999999996</v>
      </c>
      <c r="Y266" s="6">
        <v>3.14</v>
      </c>
      <c r="Z266" s="6">
        <v>1.1200000000000001</v>
      </c>
      <c r="AB266" s="6">
        <v>94.9</v>
      </c>
      <c r="AC266" s="6">
        <v>2.1574074074074074</v>
      </c>
      <c r="AD266" s="24" t="s">
        <v>157</v>
      </c>
      <c r="AF266" s="6" t="s">
        <v>1168</v>
      </c>
    </row>
    <row r="267" spans="1:32">
      <c r="A267" s="6" t="s">
        <v>1059</v>
      </c>
      <c r="B267" s="6" t="s">
        <v>383</v>
      </c>
      <c r="C267" s="6" t="s">
        <v>645</v>
      </c>
      <c r="D267" s="6">
        <v>950</v>
      </c>
      <c r="E267" s="6">
        <v>9.3000000000000007</v>
      </c>
      <c r="F267" s="6">
        <f t="shared" si="13"/>
        <v>259200</v>
      </c>
      <c r="G267" s="9">
        <v>2.6432360916877484E-13</v>
      </c>
      <c r="H267" s="10">
        <f t="shared" si="12"/>
        <v>0.52349853675648972</v>
      </c>
      <c r="I267" s="6">
        <v>2</v>
      </c>
      <c r="J267" s="6" t="s">
        <v>384</v>
      </c>
      <c r="K267" s="6">
        <v>37</v>
      </c>
      <c r="L267" s="6">
        <v>1</v>
      </c>
      <c r="M267" s="6">
        <v>1</v>
      </c>
      <c r="N267" s="6">
        <v>1</v>
      </c>
      <c r="O267" s="6">
        <v>1</v>
      </c>
      <c r="P267" s="6">
        <v>59.91</v>
      </c>
      <c r="Q267" s="6">
        <v>0.81</v>
      </c>
      <c r="R267" s="6">
        <v>17.29</v>
      </c>
      <c r="T267" s="6">
        <v>5.52</v>
      </c>
      <c r="U267" s="6">
        <v>0.08</v>
      </c>
      <c r="V267" s="6">
        <v>0.97</v>
      </c>
      <c r="W267" s="6">
        <v>2.8</v>
      </c>
      <c r="X267" s="6">
        <v>5.47</v>
      </c>
      <c r="Y267" s="6">
        <v>4.03</v>
      </c>
      <c r="Z267" s="6">
        <v>0.49</v>
      </c>
      <c r="AB267" s="6">
        <v>96.07</v>
      </c>
      <c r="AC267" s="6">
        <v>2.6081081081081079</v>
      </c>
      <c r="AD267" s="24" t="s">
        <v>157</v>
      </c>
      <c r="AF267" s="6" t="s">
        <v>1168</v>
      </c>
    </row>
    <row r="268" spans="1:32">
      <c r="A268" s="6" t="s">
        <v>1059</v>
      </c>
      <c r="B268" s="6" t="s">
        <v>385</v>
      </c>
      <c r="C268" s="6" t="s">
        <v>645</v>
      </c>
      <c r="D268" s="6">
        <v>980</v>
      </c>
      <c r="E268" s="6">
        <v>9.3000000000000007</v>
      </c>
      <c r="F268" s="6">
        <f t="shared" si="13"/>
        <v>259200</v>
      </c>
      <c r="G268" s="9">
        <v>3.7361642622285051E-13</v>
      </c>
      <c r="H268" s="10">
        <f t="shared" si="12"/>
        <v>0.62238694612584178</v>
      </c>
      <c r="I268" s="6">
        <v>4</v>
      </c>
      <c r="J268" s="6" t="s">
        <v>386</v>
      </c>
      <c r="K268" s="6">
        <v>68</v>
      </c>
      <c r="L268" s="6">
        <v>1</v>
      </c>
      <c r="M268" s="6">
        <v>1</v>
      </c>
      <c r="N268" s="6">
        <v>1</v>
      </c>
      <c r="O268" s="6">
        <v>1</v>
      </c>
      <c r="P268" s="6">
        <v>58.58</v>
      </c>
      <c r="Q268" s="6">
        <v>0.62</v>
      </c>
      <c r="R268" s="6">
        <v>17.25</v>
      </c>
      <c r="T268" s="6">
        <v>5.47</v>
      </c>
      <c r="U268" s="6">
        <v>0.11</v>
      </c>
      <c r="V268" s="6">
        <v>0.66</v>
      </c>
      <c r="W268" s="6">
        <v>2.67</v>
      </c>
      <c r="X268" s="6">
        <v>5.63</v>
      </c>
      <c r="Y268" s="6">
        <v>3.65</v>
      </c>
      <c r="Z268" s="6">
        <v>0.34</v>
      </c>
      <c r="AB268" s="6">
        <v>94.38</v>
      </c>
      <c r="AC268" s="6">
        <v>5.2720588235294112</v>
      </c>
      <c r="AD268" s="24" t="s">
        <v>157</v>
      </c>
      <c r="AF268" s="6" t="s">
        <v>1168</v>
      </c>
    </row>
    <row r="269" spans="1:32">
      <c r="A269" s="6" t="s">
        <v>1059</v>
      </c>
      <c r="B269" s="6" t="s">
        <v>387</v>
      </c>
      <c r="C269" s="6" t="s">
        <v>645</v>
      </c>
      <c r="D269" s="6">
        <v>960</v>
      </c>
      <c r="E269" s="6">
        <v>9.3000000000000007</v>
      </c>
      <c r="F269" s="6">
        <f t="shared" si="13"/>
        <v>259200</v>
      </c>
      <c r="G269" s="9">
        <v>2.9719748068493078E-13</v>
      </c>
      <c r="H269" s="10">
        <f t="shared" si="12"/>
        <v>0.55509850294712215</v>
      </c>
      <c r="I269" s="6">
        <v>4</v>
      </c>
      <c r="J269" s="6" t="s">
        <v>388</v>
      </c>
      <c r="K269" s="6">
        <v>60</v>
      </c>
      <c r="L269" s="6">
        <v>1</v>
      </c>
      <c r="M269" s="6">
        <v>1</v>
      </c>
      <c r="N269" s="6">
        <v>1</v>
      </c>
      <c r="O269" s="6">
        <v>1</v>
      </c>
      <c r="P269" s="6">
        <v>60.67</v>
      </c>
      <c r="Q269" s="6">
        <v>0.5</v>
      </c>
      <c r="R269" s="6">
        <v>16.850000000000001</v>
      </c>
      <c r="T269" s="6">
        <v>5.13</v>
      </c>
      <c r="U269" s="6">
        <v>0.11</v>
      </c>
      <c r="V269" s="6">
        <v>0.52</v>
      </c>
      <c r="W269" s="6">
        <v>2.13</v>
      </c>
      <c r="X269" s="6">
        <v>5.69</v>
      </c>
      <c r="Y269" s="6">
        <v>3.89</v>
      </c>
      <c r="Z269" s="6">
        <v>0.25</v>
      </c>
      <c r="AB269" s="6">
        <v>95.02</v>
      </c>
      <c r="AC269" s="6">
        <v>5.8416666666666668</v>
      </c>
      <c r="AD269" s="24" t="s">
        <v>157</v>
      </c>
      <c r="AF269" s="6" t="s">
        <v>1168</v>
      </c>
    </row>
    <row r="270" spans="1:32">
      <c r="A270" s="6" t="s">
        <v>1059</v>
      </c>
      <c r="B270" s="6" t="s">
        <v>389</v>
      </c>
      <c r="C270" s="6" t="s">
        <v>645</v>
      </c>
      <c r="D270" s="6">
        <v>940</v>
      </c>
      <c r="E270" s="6">
        <v>9.3000000000000007</v>
      </c>
      <c r="F270" s="6">
        <f t="shared" si="13"/>
        <v>259200</v>
      </c>
      <c r="G270" s="9">
        <v>2.3463213846111042E-13</v>
      </c>
      <c r="H270" s="10">
        <f t="shared" si="12"/>
        <v>0.49322064145418659</v>
      </c>
      <c r="I270" s="6">
        <v>4</v>
      </c>
      <c r="J270" s="6" t="s">
        <v>388</v>
      </c>
      <c r="K270" s="6">
        <v>34</v>
      </c>
      <c r="L270" s="6">
        <v>1</v>
      </c>
      <c r="M270" s="6">
        <v>1</v>
      </c>
      <c r="N270" s="6">
        <v>1</v>
      </c>
      <c r="O270" s="6">
        <v>1</v>
      </c>
      <c r="P270" s="6">
        <v>62.21</v>
      </c>
      <c r="Q270" s="6">
        <v>0.41</v>
      </c>
      <c r="R270" s="6">
        <v>16.32</v>
      </c>
      <c r="T270" s="6">
        <v>3.47</v>
      </c>
      <c r="U270" s="6">
        <v>0.05</v>
      </c>
      <c r="V270" s="6">
        <v>0.28999999999999998</v>
      </c>
      <c r="W270" s="6">
        <v>1.56</v>
      </c>
      <c r="X270" s="6">
        <v>5.51</v>
      </c>
      <c r="Y270" s="6">
        <v>4.58</v>
      </c>
      <c r="Z270" s="6">
        <v>0.12</v>
      </c>
      <c r="AB270" s="6">
        <v>94.31</v>
      </c>
      <c r="AC270" s="6">
        <v>9.9558823529411757</v>
      </c>
      <c r="AD270" s="24" t="s">
        <v>157</v>
      </c>
      <c r="AF270" s="6" t="s">
        <v>1168</v>
      </c>
    </row>
    <row r="271" spans="1:32">
      <c r="A271" s="6" t="s">
        <v>1059</v>
      </c>
      <c r="B271" s="6" t="s">
        <v>390</v>
      </c>
      <c r="C271" s="6" t="s">
        <v>645</v>
      </c>
      <c r="D271" s="6">
        <v>1100</v>
      </c>
      <c r="E271" s="6">
        <v>9.3000000000000007</v>
      </c>
      <c r="F271" s="6">
        <f t="shared" si="13"/>
        <v>259200</v>
      </c>
      <c r="G271" s="9">
        <v>1.2820841702583668E-12</v>
      </c>
      <c r="H271" s="10">
        <f t="shared" si="12"/>
        <v>1.1529374951504849</v>
      </c>
      <c r="I271" s="6">
        <v>0.41</v>
      </c>
      <c r="J271" s="6" t="s">
        <v>391</v>
      </c>
      <c r="K271" s="6">
        <v>35</v>
      </c>
      <c r="L271" s="6">
        <v>1</v>
      </c>
      <c r="M271" s="6">
        <v>1</v>
      </c>
      <c r="N271" s="6">
        <v>1</v>
      </c>
      <c r="O271" s="6">
        <v>1</v>
      </c>
      <c r="P271" s="6">
        <v>48.9</v>
      </c>
      <c r="Q271" s="6">
        <v>2.94</v>
      </c>
      <c r="R271" s="6">
        <v>15.07</v>
      </c>
      <c r="T271" s="6">
        <v>11.99</v>
      </c>
      <c r="U271" s="6">
        <v>0.16</v>
      </c>
      <c r="V271" s="6">
        <v>2.79</v>
      </c>
      <c r="W271" s="6">
        <v>5.58</v>
      </c>
      <c r="X271" s="6">
        <v>4.5599999999999996</v>
      </c>
      <c r="Y271" s="6">
        <v>4.3099999999999996</v>
      </c>
      <c r="Z271" s="6">
        <v>1.86</v>
      </c>
      <c r="AB271" s="6">
        <v>98.16</v>
      </c>
      <c r="AC271" s="6">
        <v>1.1599999999999999</v>
      </c>
      <c r="AD271" s="6" t="s">
        <v>213</v>
      </c>
      <c r="AF271" s="6" t="s">
        <v>1168</v>
      </c>
    </row>
    <row r="272" spans="1:32">
      <c r="A272" s="6" t="s">
        <v>1059</v>
      </c>
      <c r="B272" s="6" t="s">
        <v>392</v>
      </c>
      <c r="C272" s="6" t="s">
        <v>645</v>
      </c>
      <c r="D272" s="6">
        <v>1050</v>
      </c>
      <c r="E272" s="6">
        <v>4.3</v>
      </c>
      <c r="F272" s="6">
        <f t="shared" si="13"/>
        <v>259200</v>
      </c>
      <c r="G272" s="9">
        <v>7.8813293078769567E-13</v>
      </c>
      <c r="H272" s="10">
        <f t="shared" si="12"/>
        <v>0.90395587427743551</v>
      </c>
      <c r="I272" s="6">
        <v>2</v>
      </c>
      <c r="J272" s="6" t="s">
        <v>393</v>
      </c>
      <c r="K272" s="6">
        <v>72</v>
      </c>
      <c r="L272" s="6">
        <v>1</v>
      </c>
      <c r="M272" s="6">
        <v>1</v>
      </c>
      <c r="N272" s="6">
        <v>1</v>
      </c>
      <c r="O272" s="6">
        <v>1</v>
      </c>
      <c r="P272" s="6">
        <v>51.26</v>
      </c>
      <c r="Q272" s="6">
        <v>2.95</v>
      </c>
      <c r="R272" s="6">
        <v>15.11</v>
      </c>
      <c r="T272" s="6">
        <v>10.14</v>
      </c>
      <c r="U272" s="6">
        <v>0.17</v>
      </c>
      <c r="V272" s="6">
        <v>2.87</v>
      </c>
      <c r="W272" s="6">
        <v>6.65</v>
      </c>
      <c r="X272" s="6">
        <v>3.6</v>
      </c>
      <c r="Y272" s="6">
        <v>3.2</v>
      </c>
      <c r="Z272" s="6">
        <v>1.28</v>
      </c>
      <c r="AB272" s="6">
        <v>97.24</v>
      </c>
      <c r="AC272" s="6">
        <v>2.77</v>
      </c>
      <c r="AD272" s="24" t="s">
        <v>157</v>
      </c>
      <c r="AF272" s="6" t="s">
        <v>1168</v>
      </c>
    </row>
    <row r="273" spans="1:32">
      <c r="A273" s="6" t="s">
        <v>1059</v>
      </c>
      <c r="B273" s="6" t="s">
        <v>394</v>
      </c>
      <c r="C273" s="6" t="s">
        <v>645</v>
      </c>
      <c r="D273" s="6">
        <v>1000</v>
      </c>
      <c r="E273" s="6">
        <v>4.3</v>
      </c>
      <c r="F273" s="6">
        <f t="shared" si="13"/>
        <v>259200</v>
      </c>
      <c r="G273" s="9">
        <v>4.6632042652511761E-13</v>
      </c>
      <c r="H273" s="10">
        <f t="shared" si="12"/>
        <v>0.69532799326738015</v>
      </c>
      <c r="I273" s="6">
        <v>2</v>
      </c>
      <c r="J273" s="6" t="s">
        <v>395</v>
      </c>
      <c r="K273" s="6">
        <v>34</v>
      </c>
      <c r="L273" s="6">
        <v>1</v>
      </c>
      <c r="M273" s="6">
        <v>1</v>
      </c>
      <c r="N273" s="6">
        <v>1</v>
      </c>
      <c r="O273" s="6">
        <v>1</v>
      </c>
      <c r="P273" s="6">
        <v>57.77</v>
      </c>
      <c r="Q273" s="6">
        <v>0.9</v>
      </c>
      <c r="R273" s="6">
        <v>16.78</v>
      </c>
      <c r="T273" s="6">
        <v>5.26</v>
      </c>
      <c r="U273" s="6">
        <v>0.08</v>
      </c>
      <c r="V273" s="6">
        <v>0.96</v>
      </c>
      <c r="W273" s="6">
        <v>2.83</v>
      </c>
      <c r="X273" s="6">
        <v>4.0999999999999996</v>
      </c>
      <c r="Y273" s="6">
        <v>5.68</v>
      </c>
      <c r="Z273" s="6">
        <v>0.33</v>
      </c>
      <c r="AB273" s="6">
        <v>94.68</v>
      </c>
      <c r="AC273" s="6">
        <v>3.46</v>
      </c>
      <c r="AD273" s="24" t="s">
        <v>157</v>
      </c>
      <c r="AF273" s="6" t="s">
        <v>1168</v>
      </c>
    </row>
    <row r="274" spans="1:32">
      <c r="A274" s="6" t="s">
        <v>1059</v>
      </c>
      <c r="B274" s="6" t="s">
        <v>396</v>
      </c>
      <c r="C274" s="6" t="s">
        <v>645</v>
      </c>
      <c r="D274" s="6">
        <v>1100</v>
      </c>
      <c r="E274" s="6">
        <v>4.3</v>
      </c>
      <c r="F274" s="6">
        <f t="shared" si="13"/>
        <v>259200</v>
      </c>
      <c r="G274" s="9">
        <v>1.2820841702583668E-12</v>
      </c>
      <c r="H274" s="10">
        <f t="shared" si="12"/>
        <v>1.1529374951504849</v>
      </c>
      <c r="I274" s="6">
        <v>0.35</v>
      </c>
      <c r="J274" s="6" t="s">
        <v>393</v>
      </c>
      <c r="K274" s="6">
        <v>67</v>
      </c>
      <c r="L274" s="6">
        <v>1</v>
      </c>
      <c r="M274" s="6">
        <v>1</v>
      </c>
      <c r="N274" s="6">
        <v>1</v>
      </c>
      <c r="O274" s="6">
        <v>1</v>
      </c>
      <c r="P274" s="6">
        <v>48.82</v>
      </c>
      <c r="Q274" s="6">
        <v>3.69</v>
      </c>
      <c r="R274" s="6">
        <v>14.13</v>
      </c>
      <c r="T274" s="6">
        <v>11.4</v>
      </c>
      <c r="U274" s="6">
        <v>0.15</v>
      </c>
      <c r="V274" s="6">
        <v>3.58</v>
      </c>
      <c r="W274" s="6">
        <v>7.72</v>
      </c>
      <c r="X274" s="6">
        <v>3.54</v>
      </c>
      <c r="Y274" s="6">
        <v>3.02</v>
      </c>
      <c r="Z274" s="6">
        <v>1.91</v>
      </c>
      <c r="AB274" s="6">
        <v>97.85</v>
      </c>
      <c r="AC274" s="6">
        <v>0.52</v>
      </c>
      <c r="AD274" s="6" t="s">
        <v>213</v>
      </c>
      <c r="AF274" s="6" t="s">
        <v>1168</v>
      </c>
    </row>
    <row r="275" spans="1:32">
      <c r="A275" s="6" t="s">
        <v>1059</v>
      </c>
      <c r="B275" s="6" t="s">
        <v>397</v>
      </c>
      <c r="C275" s="6" t="s">
        <v>645</v>
      </c>
      <c r="D275" s="6">
        <v>1080</v>
      </c>
      <c r="E275" s="6">
        <v>4.3</v>
      </c>
      <c r="F275" s="6">
        <f t="shared" si="13"/>
        <v>259200</v>
      </c>
      <c r="G275" s="9">
        <v>1.0598971239956754E-12</v>
      </c>
      <c r="H275" s="10">
        <f t="shared" si="12"/>
        <v>1.0482849508405225</v>
      </c>
      <c r="I275" s="6">
        <v>0.06</v>
      </c>
      <c r="J275" s="6" t="s">
        <v>398</v>
      </c>
      <c r="K275" s="6">
        <v>42</v>
      </c>
      <c r="L275" s="6">
        <v>1</v>
      </c>
      <c r="M275" s="6">
        <v>1</v>
      </c>
      <c r="N275" s="6">
        <v>1</v>
      </c>
      <c r="O275" s="6">
        <v>1</v>
      </c>
      <c r="P275" s="6">
        <v>50.53</v>
      </c>
      <c r="Q275" s="6">
        <v>3.48</v>
      </c>
      <c r="R275" s="6">
        <v>13.76</v>
      </c>
      <c r="T275" s="6">
        <v>11.67</v>
      </c>
      <c r="U275" s="6">
        <v>0.16</v>
      </c>
      <c r="V275" s="6">
        <v>2.84</v>
      </c>
      <c r="W275" s="6">
        <v>6.95</v>
      </c>
      <c r="X275" s="6">
        <v>4</v>
      </c>
      <c r="Y275" s="6">
        <v>3.79</v>
      </c>
      <c r="Z275" s="6">
        <v>1.79</v>
      </c>
      <c r="AB275" s="6">
        <v>98.98</v>
      </c>
      <c r="AC275" s="6">
        <v>0.15</v>
      </c>
      <c r="AD275" s="6" t="s">
        <v>213</v>
      </c>
      <c r="AF275" s="6" t="s">
        <v>1168</v>
      </c>
    </row>
    <row r="276" spans="1:32">
      <c r="A276" s="6" t="s">
        <v>1059</v>
      </c>
      <c r="B276" s="6" t="s">
        <v>399</v>
      </c>
      <c r="C276" s="6" t="s">
        <v>645</v>
      </c>
      <c r="D276" s="6">
        <v>940</v>
      </c>
      <c r="E276" s="6">
        <v>4.3</v>
      </c>
      <c r="F276" s="6">
        <f t="shared" si="13"/>
        <v>259200</v>
      </c>
      <c r="G276" s="9">
        <v>2.3463213846111042E-13</v>
      </c>
      <c r="H276" s="10">
        <f t="shared" si="12"/>
        <v>0.49322064145418659</v>
      </c>
      <c r="I276" s="6">
        <v>3.5</v>
      </c>
      <c r="J276" s="6" t="s">
        <v>400</v>
      </c>
      <c r="K276" s="6">
        <v>29</v>
      </c>
      <c r="L276" s="6">
        <v>1</v>
      </c>
      <c r="M276" s="6">
        <v>1</v>
      </c>
      <c r="N276" s="6">
        <v>1</v>
      </c>
      <c r="O276" s="6">
        <v>1</v>
      </c>
      <c r="P276" s="6">
        <v>61.86</v>
      </c>
      <c r="Q276" s="6">
        <v>0.45</v>
      </c>
      <c r="R276" s="6">
        <v>16.600000000000001</v>
      </c>
      <c r="T276" s="6">
        <v>3.99</v>
      </c>
      <c r="U276" s="6">
        <v>0.01</v>
      </c>
      <c r="V276" s="6">
        <v>0.31</v>
      </c>
      <c r="W276" s="6">
        <v>1.56</v>
      </c>
      <c r="X276" s="6">
        <v>4.95</v>
      </c>
      <c r="Y276" s="6">
        <v>5.47</v>
      </c>
      <c r="Z276" s="6">
        <v>0.13</v>
      </c>
      <c r="AB276" s="6">
        <v>95.32</v>
      </c>
      <c r="AC276" s="6">
        <v>10.1</v>
      </c>
      <c r="AD276" s="24" t="s">
        <v>157</v>
      </c>
      <c r="AF276" s="6" t="s">
        <v>1168</v>
      </c>
    </row>
    <row r="277" spans="1:32">
      <c r="A277" s="6" t="s">
        <v>1059</v>
      </c>
      <c r="B277" s="6" t="s">
        <v>401</v>
      </c>
      <c r="C277" s="6" t="s">
        <v>645</v>
      </c>
      <c r="D277" s="6">
        <v>920</v>
      </c>
      <c r="E277" s="6">
        <v>4.3</v>
      </c>
      <c r="F277" s="6">
        <f t="shared" si="13"/>
        <v>259200</v>
      </c>
      <c r="G277" s="9">
        <v>1.8377579391805398E-13</v>
      </c>
      <c r="H277" s="10">
        <f t="shared" si="12"/>
        <v>0.43650743766199263</v>
      </c>
      <c r="I277" s="6">
        <v>3.5</v>
      </c>
      <c r="J277" s="6" t="s">
        <v>400</v>
      </c>
      <c r="K277" s="6">
        <v>1</v>
      </c>
      <c r="L277" s="6">
        <v>1</v>
      </c>
      <c r="M277" s="6">
        <v>1</v>
      </c>
      <c r="N277" s="6">
        <v>1</v>
      </c>
      <c r="O277" s="6">
        <v>1</v>
      </c>
      <c r="P277" s="6">
        <v>64.95</v>
      </c>
      <c r="Q277" s="6">
        <v>0.43</v>
      </c>
      <c r="R277" s="6">
        <v>15.83</v>
      </c>
      <c r="T277" s="6">
        <v>4.0999999999999996</v>
      </c>
      <c r="U277" s="6">
        <v>0.08</v>
      </c>
      <c r="V277" s="6">
        <v>0.28999999999999998</v>
      </c>
      <c r="W277" s="6">
        <v>1.1200000000000001</v>
      </c>
      <c r="X277" s="6">
        <v>3.64</v>
      </c>
      <c r="Y277" s="6">
        <v>5.1100000000000003</v>
      </c>
      <c r="Z277" s="6">
        <v>0.1</v>
      </c>
      <c r="AB277" s="6">
        <v>95.63</v>
      </c>
      <c r="AC277" s="6">
        <v>10.5</v>
      </c>
      <c r="AD277" s="24" t="s">
        <v>43</v>
      </c>
      <c r="AF277" s="6" t="s">
        <v>1168</v>
      </c>
    </row>
    <row r="278" spans="1:32">
      <c r="A278" s="6" t="s">
        <v>1059</v>
      </c>
      <c r="B278" s="6" t="s">
        <v>402</v>
      </c>
      <c r="C278" s="6" t="s">
        <v>645</v>
      </c>
      <c r="D278" s="6">
        <v>940</v>
      </c>
      <c r="E278" s="6">
        <v>3.8</v>
      </c>
      <c r="F278" s="6">
        <f t="shared" si="13"/>
        <v>259200</v>
      </c>
      <c r="G278" s="9">
        <v>2.3463213846111042E-13</v>
      </c>
      <c r="H278" s="10">
        <f t="shared" si="12"/>
        <v>0.49322064145418659</v>
      </c>
      <c r="I278" s="6">
        <v>4</v>
      </c>
      <c r="J278" s="6" t="s">
        <v>403</v>
      </c>
      <c r="K278" s="6">
        <v>25</v>
      </c>
      <c r="L278" s="6">
        <v>1</v>
      </c>
      <c r="M278" s="6">
        <v>1</v>
      </c>
      <c r="N278" s="6">
        <v>1</v>
      </c>
      <c r="O278" s="6">
        <v>1</v>
      </c>
      <c r="P278" s="6">
        <v>68.010000000000005</v>
      </c>
      <c r="Q278" s="6">
        <v>0.56000000000000005</v>
      </c>
      <c r="R278" s="6">
        <v>14.64</v>
      </c>
      <c r="T278" s="6">
        <v>2.99</v>
      </c>
      <c r="U278" s="6">
        <v>0.06</v>
      </c>
      <c r="V278" s="6">
        <v>0.28999999999999998</v>
      </c>
      <c r="W278" s="6">
        <v>1.42</v>
      </c>
      <c r="X278" s="6">
        <v>3.2</v>
      </c>
      <c r="Y278" s="6">
        <v>6.58</v>
      </c>
      <c r="Z278" s="6">
        <v>0.13</v>
      </c>
      <c r="AB278" s="6">
        <v>97.8</v>
      </c>
      <c r="AC278" s="6">
        <v>9.77</v>
      </c>
      <c r="AD278" s="24" t="s">
        <v>43</v>
      </c>
      <c r="AF278" s="6" t="s">
        <v>1168</v>
      </c>
    </row>
    <row r="279" spans="1:32">
      <c r="A279" s="6" t="s">
        <v>1060</v>
      </c>
      <c r="B279" s="6" t="s">
        <v>404</v>
      </c>
      <c r="C279" s="6" t="s">
        <v>645</v>
      </c>
      <c r="D279" s="6">
        <v>1050</v>
      </c>
      <c r="E279" s="6">
        <v>9.3000000000000007</v>
      </c>
      <c r="F279" s="6">
        <f t="shared" si="13"/>
        <v>259200</v>
      </c>
      <c r="G279" s="9">
        <v>7.8813293078769567E-13</v>
      </c>
      <c r="H279" s="10">
        <f t="shared" si="12"/>
        <v>0.90395587427743551</v>
      </c>
      <c r="I279" s="6">
        <v>2.6</v>
      </c>
      <c r="J279" s="6" t="s">
        <v>405</v>
      </c>
      <c r="K279" s="6">
        <v>75.599999999999994</v>
      </c>
      <c r="L279" s="6">
        <v>1</v>
      </c>
      <c r="M279" s="6">
        <v>0</v>
      </c>
      <c r="N279" s="6">
        <v>0</v>
      </c>
      <c r="O279" s="6">
        <v>0</v>
      </c>
      <c r="P279" s="6">
        <v>51.47</v>
      </c>
      <c r="Q279" s="6">
        <v>1.0900000000000001</v>
      </c>
      <c r="R279" s="6">
        <v>16.75</v>
      </c>
      <c r="S279" s="6">
        <v>0.01</v>
      </c>
      <c r="T279" s="6">
        <v>9.94</v>
      </c>
      <c r="U279" s="6">
        <v>0.12</v>
      </c>
      <c r="V279" s="6">
        <v>3.1</v>
      </c>
      <c r="W279" s="6">
        <v>6.05</v>
      </c>
      <c r="X279" s="6">
        <v>4.83</v>
      </c>
      <c r="Y279" s="6">
        <v>1.27</v>
      </c>
      <c r="Z279" s="6">
        <v>1.78</v>
      </c>
      <c r="AB279" s="6">
        <v>96.41</v>
      </c>
      <c r="AC279" s="6">
        <v>3.3928571428571428</v>
      </c>
      <c r="AD279" s="24" t="s">
        <v>157</v>
      </c>
      <c r="AF279" s="6" t="s">
        <v>1169</v>
      </c>
    </row>
    <row r="280" spans="1:32">
      <c r="A280" s="6" t="s">
        <v>1060</v>
      </c>
      <c r="B280" s="6" t="s">
        <v>406</v>
      </c>
      <c r="C280" s="6" t="s">
        <v>645</v>
      </c>
      <c r="D280" s="6">
        <v>1000</v>
      </c>
      <c r="E280" s="6">
        <v>9.3000000000000007</v>
      </c>
      <c r="F280" s="6">
        <f t="shared" si="13"/>
        <v>259200</v>
      </c>
      <c r="G280" s="9">
        <v>4.6632042652511761E-13</v>
      </c>
      <c r="H280" s="10">
        <f t="shared" si="12"/>
        <v>0.69532799326738015</v>
      </c>
      <c r="I280" s="6">
        <v>2.6</v>
      </c>
      <c r="J280" s="6" t="s">
        <v>407</v>
      </c>
      <c r="K280" s="6">
        <v>54.7</v>
      </c>
      <c r="L280" s="6">
        <v>1</v>
      </c>
      <c r="M280" s="6">
        <v>0</v>
      </c>
      <c r="N280" s="6">
        <v>0</v>
      </c>
      <c r="O280" s="6">
        <v>0</v>
      </c>
      <c r="P280" s="6">
        <v>54.14</v>
      </c>
      <c r="Q280" s="6">
        <v>0.74</v>
      </c>
      <c r="R280" s="6">
        <v>17.739999999999998</v>
      </c>
      <c r="S280" s="6">
        <v>0.01</v>
      </c>
      <c r="T280" s="6">
        <v>7.79</v>
      </c>
      <c r="U280" s="6">
        <v>0.09</v>
      </c>
      <c r="V280" s="6">
        <v>1.89</v>
      </c>
      <c r="W280" s="6">
        <v>4.4800000000000004</v>
      </c>
      <c r="X280" s="6">
        <v>6.21</v>
      </c>
      <c r="Y280" s="6">
        <v>1.55</v>
      </c>
      <c r="Z280" s="6">
        <v>0.96</v>
      </c>
      <c r="AB280" s="6">
        <v>94.67</v>
      </c>
      <c r="AC280" s="6">
        <v>4.1453382084095063</v>
      </c>
      <c r="AD280" s="24" t="s">
        <v>157</v>
      </c>
      <c r="AF280" s="6" t="s">
        <v>1169</v>
      </c>
    </row>
    <row r="281" spans="1:32">
      <c r="A281" s="6" t="s">
        <v>1060</v>
      </c>
      <c r="B281" s="6" t="s">
        <v>408</v>
      </c>
      <c r="C281" s="6" t="s">
        <v>645</v>
      </c>
      <c r="D281" s="6">
        <v>980</v>
      </c>
      <c r="E281" s="6">
        <v>9.3000000000000007</v>
      </c>
      <c r="F281" s="6">
        <f t="shared" si="13"/>
        <v>259200</v>
      </c>
      <c r="G281" s="9">
        <v>3.7361642622285051E-13</v>
      </c>
      <c r="H281" s="10">
        <f t="shared" si="12"/>
        <v>0.62238694612584178</v>
      </c>
      <c r="I281" s="6">
        <v>2.6</v>
      </c>
      <c r="J281" s="6" t="s">
        <v>407</v>
      </c>
      <c r="K281" s="6">
        <v>43.5</v>
      </c>
      <c r="L281" s="6">
        <v>1</v>
      </c>
      <c r="M281" s="6">
        <v>0</v>
      </c>
      <c r="N281" s="6">
        <v>0</v>
      </c>
      <c r="O281" s="6">
        <v>0</v>
      </c>
      <c r="P281" s="6">
        <v>56.08</v>
      </c>
      <c r="Q281" s="6">
        <v>0.31</v>
      </c>
      <c r="R281" s="6">
        <v>18.45</v>
      </c>
      <c r="S281" s="6">
        <v>0.02</v>
      </c>
      <c r="T281" s="6">
        <v>6.55</v>
      </c>
      <c r="U281" s="6">
        <v>7.0000000000000007E-2</v>
      </c>
      <c r="V281" s="6">
        <v>1.35</v>
      </c>
      <c r="W281" s="6">
        <v>3.6</v>
      </c>
      <c r="X281" s="6">
        <v>6.65</v>
      </c>
      <c r="Y281" s="6">
        <v>2.06</v>
      </c>
      <c r="Z281" s="6">
        <v>0.65</v>
      </c>
      <c r="AB281" s="6">
        <v>94.97</v>
      </c>
      <c r="AC281" s="6">
        <v>4.9517241379310351</v>
      </c>
      <c r="AD281" s="24" t="s">
        <v>157</v>
      </c>
      <c r="AF281" s="6" t="s">
        <v>1169</v>
      </c>
    </row>
    <row r="282" spans="1:32">
      <c r="A282" s="6" t="s">
        <v>1060</v>
      </c>
      <c r="B282" s="6" t="s">
        <v>409</v>
      </c>
      <c r="C282" s="6" t="s">
        <v>645</v>
      </c>
      <c r="D282" s="6">
        <v>1080</v>
      </c>
      <c r="E282" s="6">
        <v>9.3000000000000007</v>
      </c>
      <c r="F282" s="6">
        <f t="shared" si="13"/>
        <v>259200</v>
      </c>
      <c r="G282" s="9">
        <v>1.0598971239956754E-12</v>
      </c>
      <c r="H282" s="10">
        <f t="shared" si="12"/>
        <v>1.0482849508405225</v>
      </c>
      <c r="I282" s="6">
        <v>1.5</v>
      </c>
      <c r="J282" s="6" t="s">
        <v>410</v>
      </c>
      <c r="K282" s="6">
        <v>63.3</v>
      </c>
      <c r="L282" s="6">
        <v>1</v>
      </c>
      <c r="M282" s="6">
        <v>0</v>
      </c>
      <c r="N282" s="6">
        <v>0</v>
      </c>
      <c r="O282" s="6">
        <v>0</v>
      </c>
      <c r="P282" s="6">
        <v>50.63</v>
      </c>
      <c r="Q282" s="6">
        <v>1.24</v>
      </c>
      <c r="R282" s="6">
        <v>16.46</v>
      </c>
      <c r="S282" s="6">
        <v>0.05</v>
      </c>
      <c r="T282" s="6">
        <v>11.53</v>
      </c>
      <c r="U282" s="6">
        <v>0.14000000000000001</v>
      </c>
      <c r="V282" s="6">
        <v>3.1</v>
      </c>
      <c r="W282" s="6">
        <v>5.93</v>
      </c>
      <c r="X282" s="6">
        <v>5.4</v>
      </c>
      <c r="Y282" s="6">
        <v>1.54</v>
      </c>
      <c r="Z282" s="6">
        <v>2.0099999999999998</v>
      </c>
      <c r="AB282" s="6">
        <v>97.96</v>
      </c>
      <c r="AC282" s="6">
        <v>2.3586097946287521</v>
      </c>
      <c r="AD282" s="24" t="s">
        <v>157</v>
      </c>
      <c r="AF282" s="6" t="s">
        <v>1169</v>
      </c>
    </row>
    <row r="283" spans="1:32">
      <c r="A283" s="6" t="s">
        <v>1060</v>
      </c>
      <c r="B283" s="6" t="s">
        <v>411</v>
      </c>
      <c r="C283" s="6" t="s">
        <v>645</v>
      </c>
      <c r="D283" s="6">
        <v>1040</v>
      </c>
      <c r="E283" s="6">
        <v>9.3000000000000007</v>
      </c>
      <c r="F283" s="6">
        <f t="shared" si="13"/>
        <v>259200</v>
      </c>
      <c r="G283" s="9">
        <v>7.1187702362643256E-13</v>
      </c>
      <c r="H283" s="10">
        <f t="shared" si="12"/>
        <v>0.85911238967662729</v>
      </c>
      <c r="I283" s="6">
        <v>1.5</v>
      </c>
      <c r="J283" s="6" t="s">
        <v>412</v>
      </c>
      <c r="K283" s="6">
        <v>48</v>
      </c>
      <c r="L283" s="6">
        <v>1</v>
      </c>
      <c r="M283" s="6">
        <v>0</v>
      </c>
      <c r="N283" s="6">
        <v>0</v>
      </c>
      <c r="O283" s="6">
        <v>0</v>
      </c>
      <c r="P283" s="6">
        <v>52.22</v>
      </c>
      <c r="Q283" s="6">
        <v>1.54</v>
      </c>
      <c r="R283" s="6">
        <v>16.55</v>
      </c>
      <c r="S283" s="6">
        <v>0</v>
      </c>
      <c r="T283" s="6">
        <v>10.14</v>
      </c>
      <c r="U283" s="6">
        <v>0.14000000000000001</v>
      </c>
      <c r="V283" s="6">
        <v>2.41</v>
      </c>
      <c r="W283" s="6">
        <v>4.92</v>
      </c>
      <c r="X283" s="6">
        <v>6.01</v>
      </c>
      <c r="Y283" s="6">
        <v>1.92</v>
      </c>
      <c r="Z283" s="6">
        <v>1.82</v>
      </c>
      <c r="AB283" s="6">
        <v>96.67</v>
      </c>
      <c r="AC283" s="6">
        <v>3.0375000000000001</v>
      </c>
      <c r="AD283" s="24" t="s">
        <v>157</v>
      </c>
      <c r="AF283" s="6" t="s">
        <v>1169</v>
      </c>
    </row>
    <row r="284" spans="1:32">
      <c r="A284" s="6" t="s">
        <v>1060</v>
      </c>
      <c r="B284" s="6" t="s">
        <v>413</v>
      </c>
      <c r="C284" s="6" t="s">
        <v>645</v>
      </c>
      <c r="D284" s="6">
        <v>980</v>
      </c>
      <c r="E284" s="6">
        <v>6.8</v>
      </c>
      <c r="F284" s="6">
        <f t="shared" si="13"/>
        <v>259200</v>
      </c>
      <c r="G284" s="9">
        <v>3.7361642622285051E-13</v>
      </c>
      <c r="H284" s="10">
        <f t="shared" si="12"/>
        <v>0.62238694612584178</v>
      </c>
      <c r="I284" s="6">
        <v>2.6</v>
      </c>
      <c r="J284" s="6" t="s">
        <v>414</v>
      </c>
      <c r="K284" s="6">
        <v>40.6</v>
      </c>
      <c r="L284" s="6">
        <v>1</v>
      </c>
      <c r="M284" s="6">
        <v>0</v>
      </c>
      <c r="N284" s="6">
        <v>0</v>
      </c>
      <c r="O284" s="6">
        <v>0</v>
      </c>
      <c r="P284" s="6">
        <v>58.43</v>
      </c>
      <c r="Q284" s="6">
        <v>0.97</v>
      </c>
      <c r="R284" s="6">
        <v>16.53</v>
      </c>
      <c r="S284" s="6">
        <v>0</v>
      </c>
      <c r="T284" s="6">
        <v>5.8</v>
      </c>
      <c r="U284" s="6">
        <v>0.1</v>
      </c>
      <c r="V284" s="6">
        <v>1.34</v>
      </c>
      <c r="W284" s="6">
        <v>3.34</v>
      </c>
      <c r="X284" s="6">
        <v>6.28</v>
      </c>
      <c r="Y284" s="6">
        <v>2.2799999999999998</v>
      </c>
      <c r="Z284" s="6">
        <v>0.56999999999999995</v>
      </c>
      <c r="AB284" s="6">
        <v>95.64</v>
      </c>
      <c r="AC284" s="6">
        <v>5.8128078817733995</v>
      </c>
      <c r="AD284" s="24" t="s">
        <v>157</v>
      </c>
      <c r="AF284" s="6" t="s">
        <v>1169</v>
      </c>
    </row>
    <row r="285" spans="1:32">
      <c r="A285" s="6" t="s">
        <v>1060</v>
      </c>
      <c r="B285" s="6" t="s">
        <v>415</v>
      </c>
      <c r="C285" s="6" t="s">
        <v>645</v>
      </c>
      <c r="D285" s="6">
        <v>980</v>
      </c>
      <c r="E285" s="6">
        <v>4</v>
      </c>
      <c r="F285" s="6">
        <f t="shared" si="13"/>
        <v>259200</v>
      </c>
      <c r="G285" s="9">
        <v>3.7361642622285051E-13</v>
      </c>
      <c r="H285" s="10">
        <f t="shared" si="12"/>
        <v>0.62238694612584178</v>
      </c>
      <c r="I285" s="6">
        <v>2.6</v>
      </c>
      <c r="J285" s="6" t="s">
        <v>416</v>
      </c>
      <c r="K285" s="6">
        <v>17.100000000000001</v>
      </c>
      <c r="L285" s="6">
        <v>1</v>
      </c>
      <c r="M285" s="6">
        <v>0</v>
      </c>
      <c r="N285" s="6">
        <v>0</v>
      </c>
      <c r="O285" s="6">
        <v>0</v>
      </c>
      <c r="P285" s="6">
        <v>64.099999999999994</v>
      </c>
      <c r="Q285" s="6">
        <v>1.18</v>
      </c>
      <c r="R285" s="6">
        <v>16.100000000000001</v>
      </c>
      <c r="S285" s="6">
        <v>0</v>
      </c>
      <c r="T285" s="6">
        <v>4.21</v>
      </c>
      <c r="U285" s="6">
        <v>0.1</v>
      </c>
      <c r="V285" s="6">
        <v>0.68</v>
      </c>
      <c r="W285" s="6">
        <v>1.59</v>
      </c>
      <c r="X285" s="6">
        <v>6.71</v>
      </c>
      <c r="Y285" s="6">
        <v>4.1399999999999997</v>
      </c>
      <c r="Z285" s="6">
        <v>0.46</v>
      </c>
      <c r="AB285" s="6">
        <v>99.25</v>
      </c>
      <c r="AC285" s="6">
        <v>10.4</v>
      </c>
      <c r="AD285" s="24" t="s">
        <v>43</v>
      </c>
      <c r="AF285" s="6" t="s">
        <v>1169</v>
      </c>
    </row>
    <row r="286" spans="1:32">
      <c r="A286" s="6" t="s">
        <v>1060</v>
      </c>
      <c r="B286" s="6" t="s">
        <v>417</v>
      </c>
      <c r="C286" s="6" t="s">
        <v>645</v>
      </c>
      <c r="D286" s="6">
        <v>1080</v>
      </c>
      <c r="E286" s="6">
        <v>3</v>
      </c>
      <c r="F286" s="6">
        <f t="shared" si="13"/>
        <v>259200</v>
      </c>
      <c r="G286" s="9">
        <v>1.0598971239956754E-12</v>
      </c>
      <c r="H286" s="10">
        <f t="shared" si="12"/>
        <v>1.0482849508405225</v>
      </c>
      <c r="I286" s="6">
        <v>2.6</v>
      </c>
      <c r="J286" s="6" t="s">
        <v>418</v>
      </c>
      <c r="K286" s="6">
        <v>27.6</v>
      </c>
      <c r="L286" s="6">
        <v>1</v>
      </c>
      <c r="M286" s="6">
        <v>0</v>
      </c>
      <c r="N286" s="6">
        <v>0</v>
      </c>
      <c r="O286" s="6">
        <v>0</v>
      </c>
      <c r="P286" s="6">
        <v>67.62</v>
      </c>
      <c r="Q286" s="6">
        <v>1.87</v>
      </c>
      <c r="R286" s="6">
        <v>14.24</v>
      </c>
      <c r="S286" s="6">
        <v>0.02</v>
      </c>
      <c r="T286" s="6">
        <v>4.63</v>
      </c>
      <c r="U286" s="6">
        <v>0.14000000000000001</v>
      </c>
      <c r="V286" s="6">
        <v>1.22</v>
      </c>
      <c r="W286" s="6">
        <v>2.63</v>
      </c>
      <c r="X286" s="6">
        <v>5.94</v>
      </c>
      <c r="Y286" s="6">
        <v>3.31</v>
      </c>
      <c r="Z286" s="6">
        <v>0.9</v>
      </c>
      <c r="AB286" s="6">
        <v>100.54</v>
      </c>
      <c r="AC286" s="6">
        <v>8.32</v>
      </c>
      <c r="AD286" s="24" t="s">
        <v>43</v>
      </c>
      <c r="AF286" s="6" t="s">
        <v>1169</v>
      </c>
    </row>
    <row r="287" spans="1:32">
      <c r="A287" s="8" t="s">
        <v>1094</v>
      </c>
      <c r="B287" s="6">
        <v>22</v>
      </c>
      <c r="C287" s="8" t="s">
        <v>645</v>
      </c>
      <c r="D287" s="12">
        <v>950</v>
      </c>
      <c r="E287" s="6">
        <v>3.8</v>
      </c>
      <c r="F287" s="11">
        <f t="shared" ref="F287:F311" si="14">5*24*3600</f>
        <v>432000</v>
      </c>
      <c r="G287" s="9">
        <v>2.6432360916877484E-13</v>
      </c>
      <c r="H287" s="10">
        <f t="shared" si="12"/>
        <v>0.67583370487394523</v>
      </c>
      <c r="I287" s="13" t="s">
        <v>840</v>
      </c>
      <c r="J287" s="6" t="s">
        <v>841</v>
      </c>
      <c r="K287" s="6">
        <v>98.7</v>
      </c>
      <c r="L287" s="6">
        <v>1</v>
      </c>
      <c r="M287" s="6">
        <v>1</v>
      </c>
      <c r="N287" s="6">
        <v>1</v>
      </c>
      <c r="O287" s="6">
        <v>1</v>
      </c>
      <c r="P287" s="14">
        <v>62.86</v>
      </c>
      <c r="Q287" s="14">
        <v>0.82</v>
      </c>
      <c r="R287" s="14">
        <v>16.84</v>
      </c>
      <c r="S287" s="14"/>
      <c r="T287" s="14">
        <v>5.44</v>
      </c>
      <c r="U287" s="14">
        <v>7.0000000000000007E-2</v>
      </c>
      <c r="V287" s="14">
        <v>2.0099999999999998</v>
      </c>
      <c r="W287" s="14">
        <v>5.35</v>
      </c>
      <c r="X287" s="14">
        <v>3.88</v>
      </c>
      <c r="Y287" s="14">
        <v>2.2000000000000002</v>
      </c>
      <c r="Z287" s="14">
        <v>0.31</v>
      </c>
      <c r="AA287" s="14">
        <v>0.08</v>
      </c>
      <c r="AB287" s="14">
        <v>92.74</v>
      </c>
      <c r="AC287" s="15">
        <v>4.76</v>
      </c>
      <c r="AD287" s="6" t="s">
        <v>745</v>
      </c>
    </row>
    <row r="288" spans="1:32">
      <c r="A288" s="8" t="s">
        <v>1094</v>
      </c>
      <c r="B288" s="6">
        <v>1</v>
      </c>
      <c r="C288" s="8" t="s">
        <v>645</v>
      </c>
      <c r="D288" s="12">
        <v>900</v>
      </c>
      <c r="E288" s="6">
        <v>4</v>
      </c>
      <c r="F288" s="11">
        <f t="shared" si="14"/>
        <v>432000</v>
      </c>
      <c r="G288" s="9">
        <v>1.4274849337614078E-13</v>
      </c>
      <c r="H288" s="10">
        <f t="shared" si="12"/>
        <v>0.49665822912136592</v>
      </c>
      <c r="I288" s="13" t="s">
        <v>41</v>
      </c>
      <c r="J288" s="6" t="s">
        <v>842</v>
      </c>
      <c r="K288" s="6">
        <v>92.1</v>
      </c>
      <c r="L288" s="6">
        <v>1</v>
      </c>
      <c r="M288" s="6">
        <v>1</v>
      </c>
      <c r="N288" s="6">
        <v>1</v>
      </c>
      <c r="O288" s="6">
        <v>1</v>
      </c>
      <c r="P288" s="14">
        <v>65.48</v>
      </c>
      <c r="Q288" s="14">
        <v>0.65</v>
      </c>
      <c r="R288" s="14">
        <v>17.46</v>
      </c>
      <c r="S288" s="14"/>
      <c r="T288" s="14">
        <v>3.68</v>
      </c>
      <c r="U288" s="14">
        <v>0.04</v>
      </c>
      <c r="V288" s="14">
        <v>1.55</v>
      </c>
      <c r="W288" s="14">
        <v>4.5199999999999996</v>
      </c>
      <c r="X288" s="14">
        <v>3.54</v>
      </c>
      <c r="Y288" s="14">
        <v>2.5299999999999998</v>
      </c>
      <c r="Z288" s="14">
        <v>0.22</v>
      </c>
      <c r="AA288" s="14">
        <v>0.09</v>
      </c>
      <c r="AB288" s="14">
        <v>90.06</v>
      </c>
      <c r="AC288" s="15">
        <v>7.15</v>
      </c>
      <c r="AD288" s="6" t="s">
        <v>745</v>
      </c>
    </row>
    <row r="289" spans="1:32">
      <c r="A289" s="8" t="s">
        <v>1094</v>
      </c>
      <c r="B289" s="6">
        <v>2</v>
      </c>
      <c r="C289" s="8" t="s">
        <v>645</v>
      </c>
      <c r="D289" s="12">
        <v>900</v>
      </c>
      <c r="E289" s="6">
        <v>4</v>
      </c>
      <c r="F289" s="11">
        <f t="shared" si="14"/>
        <v>432000</v>
      </c>
      <c r="G289" s="9">
        <v>1.4274849337614078E-13</v>
      </c>
      <c r="H289" s="10">
        <f t="shared" si="12"/>
        <v>0.49665822912136592</v>
      </c>
      <c r="I289" s="13" t="s">
        <v>843</v>
      </c>
      <c r="J289" s="6" t="s">
        <v>844</v>
      </c>
      <c r="K289" s="6">
        <f>100-11.8-11-0.1-0.1-0.2-3.3</f>
        <v>73.500000000000014</v>
      </c>
      <c r="L289" s="6">
        <v>1</v>
      </c>
      <c r="M289" s="6">
        <v>1</v>
      </c>
      <c r="N289" s="6">
        <v>1</v>
      </c>
      <c r="O289" s="6">
        <v>1</v>
      </c>
      <c r="P289" s="14">
        <v>68.87</v>
      </c>
      <c r="Q289" s="14">
        <v>0.56999999999999995</v>
      </c>
      <c r="R289" s="14">
        <v>16.399999999999999</v>
      </c>
      <c r="S289" s="14"/>
      <c r="T289" s="14">
        <v>3.24</v>
      </c>
      <c r="U289" s="14">
        <v>7.0000000000000007E-2</v>
      </c>
      <c r="V289" s="14">
        <v>0.78</v>
      </c>
      <c r="W289" s="14">
        <v>3.29</v>
      </c>
      <c r="X289" s="14">
        <v>3.63</v>
      </c>
      <c r="Y289" s="14">
        <v>2.96</v>
      </c>
      <c r="Z289" s="14">
        <v>0.15</v>
      </c>
      <c r="AA289" s="14">
        <v>0.09</v>
      </c>
      <c r="AB289" s="14">
        <v>93.26</v>
      </c>
      <c r="AC289" s="15">
        <v>4.93</v>
      </c>
      <c r="AD289" s="6" t="s">
        <v>745</v>
      </c>
    </row>
    <row r="290" spans="1:32">
      <c r="A290" s="8" t="s">
        <v>1094</v>
      </c>
      <c r="B290" s="6">
        <v>9</v>
      </c>
      <c r="C290" s="8" t="s">
        <v>645</v>
      </c>
      <c r="D290" s="12">
        <v>900</v>
      </c>
      <c r="E290" s="6">
        <v>4.2</v>
      </c>
      <c r="F290" s="11">
        <f t="shared" si="14"/>
        <v>432000</v>
      </c>
      <c r="G290" s="9">
        <v>1.4274849337614078E-13</v>
      </c>
      <c r="H290" s="10">
        <f t="shared" si="12"/>
        <v>0.49665822912136592</v>
      </c>
      <c r="I290" s="13" t="s">
        <v>41</v>
      </c>
      <c r="J290" s="6" t="s">
        <v>845</v>
      </c>
      <c r="K290" s="6">
        <f>100-3.7-2.9-2.2-0.5</f>
        <v>90.699999999999989</v>
      </c>
      <c r="L290" s="6">
        <v>1</v>
      </c>
      <c r="M290" s="6">
        <v>1</v>
      </c>
      <c r="N290" s="6">
        <v>1</v>
      </c>
      <c r="O290" s="6">
        <v>1</v>
      </c>
      <c r="P290" s="14">
        <v>64.92</v>
      </c>
      <c r="Q290" s="14">
        <v>0.57999999999999996</v>
      </c>
      <c r="R290" s="14">
        <v>17.47</v>
      </c>
      <c r="S290" s="14"/>
      <c r="T290" s="14">
        <v>3.81</v>
      </c>
      <c r="U290" s="14">
        <v>0.05</v>
      </c>
      <c r="V290" s="14">
        <v>1.31</v>
      </c>
      <c r="W290" s="14">
        <v>5.2</v>
      </c>
      <c r="X290" s="14">
        <v>3.59</v>
      </c>
      <c r="Y290" s="14">
        <v>2.4700000000000002</v>
      </c>
      <c r="Z290" s="14">
        <v>0.25</v>
      </c>
      <c r="AA290" s="14">
        <v>0.05</v>
      </c>
      <c r="AB290" s="14">
        <v>89.71</v>
      </c>
      <c r="AC290" s="15">
        <v>7.89</v>
      </c>
      <c r="AD290" s="6" t="s">
        <v>745</v>
      </c>
    </row>
    <row r="291" spans="1:32">
      <c r="A291" s="8" t="s">
        <v>1094</v>
      </c>
      <c r="B291" s="6">
        <v>42</v>
      </c>
      <c r="C291" s="8" t="s">
        <v>645</v>
      </c>
      <c r="D291" s="12">
        <v>900</v>
      </c>
      <c r="E291" s="6">
        <v>4.1500000000000004</v>
      </c>
      <c r="F291" s="11">
        <f t="shared" si="14"/>
        <v>432000</v>
      </c>
      <c r="G291" s="9">
        <v>1.4274849337614078E-13</v>
      </c>
      <c r="H291" s="10">
        <f t="shared" si="12"/>
        <v>0.49665822912136592</v>
      </c>
      <c r="I291" s="13" t="s">
        <v>41</v>
      </c>
      <c r="J291" s="6" t="s">
        <v>846</v>
      </c>
      <c r="K291" s="6">
        <f>100-5.1-2.1-0.3</f>
        <v>92.500000000000014</v>
      </c>
      <c r="L291" s="6">
        <v>1</v>
      </c>
      <c r="M291" s="6">
        <v>1</v>
      </c>
      <c r="N291" s="6">
        <v>1</v>
      </c>
      <c r="O291" s="6">
        <v>1</v>
      </c>
      <c r="P291" s="14">
        <v>65.28</v>
      </c>
      <c r="Q291" s="14">
        <v>0.51</v>
      </c>
      <c r="R291" s="14">
        <v>17.27</v>
      </c>
      <c r="S291" s="14"/>
      <c r="T291" s="14">
        <v>4.21</v>
      </c>
      <c r="U291" s="14">
        <v>0.05</v>
      </c>
      <c r="V291" s="14">
        <v>1.1299999999999999</v>
      </c>
      <c r="W291" s="14">
        <v>4.99</v>
      </c>
      <c r="X291" s="14">
        <v>3.63</v>
      </c>
      <c r="Y291" s="14">
        <v>2.7</v>
      </c>
      <c r="Z291" s="14">
        <v>0.21</v>
      </c>
      <c r="AA291" s="14">
        <v>0.06</v>
      </c>
      <c r="AB291" s="14">
        <v>88.98</v>
      </c>
      <c r="AC291" s="15">
        <v>8.24</v>
      </c>
      <c r="AD291" s="6" t="s">
        <v>745</v>
      </c>
    </row>
    <row r="292" spans="1:32">
      <c r="A292" s="8" t="s">
        <v>1094</v>
      </c>
      <c r="B292" s="6">
        <v>43</v>
      </c>
      <c r="C292" s="8" t="s">
        <v>645</v>
      </c>
      <c r="D292" s="12">
        <v>900</v>
      </c>
      <c r="E292" s="6">
        <v>4.1500000000000004</v>
      </c>
      <c r="F292" s="11">
        <f t="shared" si="14"/>
        <v>432000</v>
      </c>
      <c r="G292" s="9">
        <v>1.4274849337614078E-13</v>
      </c>
      <c r="H292" s="10">
        <f t="shared" si="12"/>
        <v>0.49665822912136592</v>
      </c>
      <c r="I292" s="13" t="s">
        <v>847</v>
      </c>
      <c r="J292" s="6" t="s">
        <v>848</v>
      </c>
      <c r="K292" s="6">
        <f>100-3.3-7.1-2.1-0.2</f>
        <v>87.300000000000011</v>
      </c>
      <c r="L292" s="6">
        <v>1</v>
      </c>
      <c r="M292" s="6">
        <v>1</v>
      </c>
      <c r="N292" s="6">
        <v>1</v>
      </c>
      <c r="O292" s="6">
        <v>1</v>
      </c>
      <c r="P292" s="14">
        <v>66.53</v>
      </c>
      <c r="Q292" s="14">
        <v>0.46</v>
      </c>
      <c r="R292" s="14">
        <v>16.829999999999998</v>
      </c>
      <c r="S292" s="14"/>
      <c r="T292" s="14">
        <v>3.93</v>
      </c>
      <c r="U292" s="14">
        <v>0.11</v>
      </c>
      <c r="V292" s="14">
        <v>0.97</v>
      </c>
      <c r="W292" s="14">
        <v>4.3499999999999996</v>
      </c>
      <c r="X292" s="14">
        <v>3.9</v>
      </c>
      <c r="Y292" s="14">
        <v>2.77</v>
      </c>
      <c r="Z292" s="14">
        <v>0.16</v>
      </c>
      <c r="AA292" s="14">
        <v>0.03</v>
      </c>
      <c r="AB292" s="14">
        <v>90.65</v>
      </c>
      <c r="AC292" s="15">
        <v>6.88</v>
      </c>
      <c r="AD292" s="6" t="s">
        <v>745</v>
      </c>
    </row>
    <row r="293" spans="1:32">
      <c r="A293" s="8" t="s">
        <v>1094</v>
      </c>
      <c r="B293" s="6">
        <v>44</v>
      </c>
      <c r="C293" s="8" t="s">
        <v>645</v>
      </c>
      <c r="D293" s="12">
        <v>900</v>
      </c>
      <c r="E293" s="6">
        <v>4.1500000000000004</v>
      </c>
      <c r="F293" s="11">
        <f t="shared" si="14"/>
        <v>432000</v>
      </c>
      <c r="G293" s="9">
        <v>1.4274849337614078E-13</v>
      </c>
      <c r="H293" s="10">
        <f t="shared" si="12"/>
        <v>0.49665822912136592</v>
      </c>
      <c r="I293" s="13" t="s">
        <v>849</v>
      </c>
      <c r="J293" s="6" t="s">
        <v>850</v>
      </c>
      <c r="K293" s="6">
        <f>100-11.5-9.4-0.2-2.6</f>
        <v>76.3</v>
      </c>
      <c r="L293" s="6">
        <v>1</v>
      </c>
      <c r="M293" s="6">
        <v>1</v>
      </c>
      <c r="N293" s="6">
        <v>1</v>
      </c>
      <c r="O293" s="6">
        <v>1</v>
      </c>
      <c r="P293" s="14">
        <v>68.430000000000007</v>
      </c>
      <c r="Q293" s="14">
        <v>0.39</v>
      </c>
      <c r="R293" s="14">
        <v>15.91</v>
      </c>
      <c r="S293" s="14"/>
      <c r="T293" s="14">
        <v>3.37</v>
      </c>
      <c r="U293" s="14">
        <v>0.08</v>
      </c>
      <c r="V293" s="14">
        <v>0.76</v>
      </c>
      <c r="W293" s="14">
        <v>3.59</v>
      </c>
      <c r="X293" s="14">
        <v>4.12</v>
      </c>
      <c r="Y293" s="14">
        <v>3.26</v>
      </c>
      <c r="Z293" s="14">
        <v>0.09</v>
      </c>
      <c r="AA293" s="14">
        <v>0.03</v>
      </c>
      <c r="AB293" s="14">
        <v>91.61</v>
      </c>
      <c r="AC293" s="15">
        <v>5.89</v>
      </c>
      <c r="AD293" s="6" t="s">
        <v>745</v>
      </c>
    </row>
    <row r="294" spans="1:32">
      <c r="A294" s="8" t="s">
        <v>1094</v>
      </c>
      <c r="B294" s="6">
        <v>45</v>
      </c>
      <c r="C294" s="8" t="s">
        <v>645</v>
      </c>
      <c r="D294" s="12">
        <v>900</v>
      </c>
      <c r="E294" s="6">
        <v>4.1500000000000004</v>
      </c>
      <c r="F294" s="11">
        <f t="shared" si="14"/>
        <v>432000</v>
      </c>
      <c r="G294" s="9">
        <v>1.4274849337614078E-13</v>
      </c>
      <c r="H294" s="10">
        <f t="shared" si="12"/>
        <v>0.49665822912136592</v>
      </c>
      <c r="I294" s="13" t="s">
        <v>282</v>
      </c>
      <c r="J294" s="6" t="s">
        <v>851</v>
      </c>
      <c r="K294" s="6">
        <f>100-29.5-4.4-5.3-0.3-2.9</f>
        <v>57.6</v>
      </c>
      <c r="L294" s="6">
        <v>1</v>
      </c>
      <c r="M294" s="6">
        <v>1</v>
      </c>
      <c r="N294" s="6">
        <v>1</v>
      </c>
      <c r="O294" s="6">
        <v>1</v>
      </c>
      <c r="P294" s="14">
        <v>70.73</v>
      </c>
      <c r="Q294" s="14">
        <v>0.41</v>
      </c>
      <c r="R294" s="14">
        <v>15.15</v>
      </c>
      <c r="S294" s="14"/>
      <c r="T294" s="14">
        <v>2.68</v>
      </c>
      <c r="U294" s="14">
        <v>0.08</v>
      </c>
      <c r="V294" s="14">
        <v>0.47</v>
      </c>
      <c r="W294" s="14">
        <v>2.37</v>
      </c>
      <c r="X294" s="14">
        <v>3.92</v>
      </c>
      <c r="Y294" s="14">
        <v>4.0999999999999996</v>
      </c>
      <c r="Z294" s="14">
        <v>0.1</v>
      </c>
      <c r="AA294" s="14">
        <v>0.02</v>
      </c>
      <c r="AB294" s="14">
        <v>93.07</v>
      </c>
      <c r="AC294" s="15">
        <v>4.9800000000000004</v>
      </c>
      <c r="AD294" s="6" t="s">
        <v>745</v>
      </c>
    </row>
    <row r="295" spans="1:32">
      <c r="A295" s="8" t="s">
        <v>1094</v>
      </c>
      <c r="B295" s="6">
        <v>46</v>
      </c>
      <c r="C295" s="8" t="s">
        <v>645</v>
      </c>
      <c r="D295" s="12">
        <v>900</v>
      </c>
      <c r="E295" s="6">
        <v>4.1500000000000004</v>
      </c>
      <c r="F295" s="11">
        <f t="shared" si="14"/>
        <v>432000</v>
      </c>
      <c r="G295" s="9">
        <v>1.4274849337614078E-13</v>
      </c>
      <c r="H295" s="10">
        <f t="shared" si="12"/>
        <v>0.49665822912136592</v>
      </c>
      <c r="I295" s="13" t="s">
        <v>852</v>
      </c>
      <c r="J295" s="6" t="s">
        <v>851</v>
      </c>
      <c r="K295" s="6">
        <f>100-39.9-7.7-4.9-0.4-2.1</f>
        <v>45</v>
      </c>
      <c r="L295" s="6">
        <v>1</v>
      </c>
      <c r="M295" s="6">
        <v>1</v>
      </c>
      <c r="N295" s="6">
        <v>1</v>
      </c>
      <c r="O295" s="6">
        <v>1</v>
      </c>
      <c r="P295" s="14">
        <v>73.06</v>
      </c>
      <c r="Q295" s="14">
        <v>0.33</v>
      </c>
      <c r="R295" s="14">
        <v>13.92</v>
      </c>
      <c r="S295" s="14"/>
      <c r="T295" s="14">
        <v>2.4</v>
      </c>
      <c r="U295" s="14">
        <v>0</v>
      </c>
      <c r="V295" s="14">
        <v>0.25</v>
      </c>
      <c r="W295" s="14">
        <v>1.57</v>
      </c>
      <c r="X295" s="14">
        <v>3.58</v>
      </c>
      <c r="Y295" s="14">
        <v>4.87</v>
      </c>
      <c r="Z295" s="14">
        <v>0.02</v>
      </c>
      <c r="AA295" s="14">
        <v>0.02</v>
      </c>
      <c r="AB295" s="14">
        <v>93.32</v>
      </c>
      <c r="AC295" s="15">
        <v>4.71</v>
      </c>
      <c r="AD295" s="6" t="s">
        <v>745</v>
      </c>
    </row>
    <row r="296" spans="1:32">
      <c r="A296" s="8" t="s">
        <v>1094</v>
      </c>
      <c r="B296" s="6">
        <v>11</v>
      </c>
      <c r="C296" s="8" t="s">
        <v>645</v>
      </c>
      <c r="D296" s="12">
        <v>875</v>
      </c>
      <c r="E296" s="6">
        <v>4</v>
      </c>
      <c r="F296" s="11">
        <f t="shared" si="14"/>
        <v>432000</v>
      </c>
      <c r="G296" s="9">
        <v>1.028135457036711E-13</v>
      </c>
      <c r="H296" s="10">
        <f t="shared" si="12"/>
        <v>0.42149947446698399</v>
      </c>
      <c r="I296" s="13" t="s">
        <v>41</v>
      </c>
      <c r="J296" s="6" t="s">
        <v>853</v>
      </c>
      <c r="K296" s="6">
        <f>100-7.5-0.4-2.4-0.6</f>
        <v>89.1</v>
      </c>
      <c r="L296" s="6">
        <v>1</v>
      </c>
      <c r="M296" s="6">
        <v>1</v>
      </c>
      <c r="N296" s="6">
        <v>1</v>
      </c>
      <c r="O296" s="6">
        <v>1</v>
      </c>
      <c r="P296" s="14">
        <v>66.36</v>
      </c>
      <c r="Q296" s="14">
        <v>0.57999999999999996</v>
      </c>
      <c r="R296" s="14">
        <v>17.809999999999999</v>
      </c>
      <c r="S296" s="14"/>
      <c r="T296" s="14">
        <v>3.43</v>
      </c>
      <c r="U296" s="14">
        <v>0.08</v>
      </c>
      <c r="V296" s="14">
        <v>0.94</v>
      </c>
      <c r="W296" s="14">
        <v>4.53</v>
      </c>
      <c r="X296" s="14">
        <v>3.72</v>
      </c>
      <c r="Y296" s="14">
        <v>2.39</v>
      </c>
      <c r="Z296" s="14">
        <v>0.09</v>
      </c>
      <c r="AA296" s="14">
        <v>0.05</v>
      </c>
      <c r="AB296" s="14">
        <v>90.39</v>
      </c>
      <c r="AC296" s="15">
        <v>7.1</v>
      </c>
      <c r="AD296" s="6" t="s">
        <v>745</v>
      </c>
    </row>
    <row r="297" spans="1:32">
      <c r="A297" s="8" t="s">
        <v>1094</v>
      </c>
      <c r="B297" s="6">
        <v>15</v>
      </c>
      <c r="C297" s="8" t="s">
        <v>645</v>
      </c>
      <c r="D297" s="12">
        <v>850</v>
      </c>
      <c r="E297" s="6">
        <v>4</v>
      </c>
      <c r="F297" s="11">
        <f t="shared" si="14"/>
        <v>432000</v>
      </c>
      <c r="G297" s="9">
        <v>7.2976735414337512E-14</v>
      </c>
      <c r="H297" s="10">
        <f t="shared" si="12"/>
        <v>0.35511096687651766</v>
      </c>
      <c r="I297" s="13" t="s">
        <v>41</v>
      </c>
      <c r="J297" s="6" t="s">
        <v>854</v>
      </c>
      <c r="K297" s="6">
        <f>100-0.5-9.4-0.7-1.5-0.1-1.3</f>
        <v>86.5</v>
      </c>
      <c r="L297" s="6">
        <v>1</v>
      </c>
      <c r="M297" s="6">
        <v>1</v>
      </c>
      <c r="N297" s="6">
        <v>1</v>
      </c>
      <c r="O297" s="6">
        <v>1</v>
      </c>
      <c r="P297" s="14">
        <v>67.39</v>
      </c>
      <c r="Q297" s="14">
        <v>0.47</v>
      </c>
      <c r="R297" s="14">
        <v>17.760000000000002</v>
      </c>
      <c r="S297" s="14"/>
      <c r="T297" s="14">
        <v>2.96</v>
      </c>
      <c r="U297" s="14">
        <v>0.11</v>
      </c>
      <c r="V297" s="14">
        <v>0.73</v>
      </c>
      <c r="W297" s="14">
        <v>4.16</v>
      </c>
      <c r="X297" s="14">
        <v>3.87</v>
      </c>
      <c r="Y297" s="14">
        <v>2.42</v>
      </c>
      <c r="Z297" s="14">
        <v>0.09</v>
      </c>
      <c r="AA297" s="14">
        <v>0.05</v>
      </c>
      <c r="AB297" s="14">
        <v>90.3</v>
      </c>
      <c r="AC297" s="15">
        <v>7.13</v>
      </c>
      <c r="AD297" s="6" t="s">
        <v>745</v>
      </c>
    </row>
    <row r="298" spans="1:32">
      <c r="A298" s="8" t="s">
        <v>1094</v>
      </c>
      <c r="B298" s="6">
        <v>34</v>
      </c>
      <c r="C298" s="8" t="s">
        <v>645</v>
      </c>
      <c r="D298" s="12">
        <v>850</v>
      </c>
      <c r="E298" s="6">
        <v>4.2</v>
      </c>
      <c r="F298" s="11">
        <f t="shared" si="14"/>
        <v>432000</v>
      </c>
      <c r="G298" s="9">
        <v>7.2976735414337512E-14</v>
      </c>
      <c r="H298" s="10">
        <f t="shared" si="12"/>
        <v>0.35511096687651766</v>
      </c>
      <c r="I298" s="13" t="s">
        <v>41</v>
      </c>
      <c r="J298" s="6" t="s">
        <v>848</v>
      </c>
      <c r="K298" s="6">
        <f>100-1.9-9.8-3.1-0.1</f>
        <v>85.100000000000009</v>
      </c>
      <c r="L298" s="6">
        <v>1</v>
      </c>
      <c r="M298" s="6">
        <v>1</v>
      </c>
      <c r="N298" s="6">
        <v>1</v>
      </c>
      <c r="O298" s="6">
        <v>1</v>
      </c>
      <c r="P298" s="14">
        <v>67.78</v>
      </c>
      <c r="Q298" s="14">
        <v>0.5</v>
      </c>
      <c r="R298" s="14">
        <v>17.420000000000002</v>
      </c>
      <c r="S298" s="14"/>
      <c r="T298" s="14">
        <v>2.69</v>
      </c>
      <c r="U298" s="14">
        <v>0.09</v>
      </c>
      <c r="V298" s="14">
        <v>0.65</v>
      </c>
      <c r="W298" s="14">
        <v>4.22</v>
      </c>
      <c r="X298" s="14">
        <v>3.62</v>
      </c>
      <c r="Y298" s="14">
        <v>2.85</v>
      </c>
      <c r="Z298" s="14">
        <v>0.18</v>
      </c>
      <c r="AA298" s="14">
        <v>0.06</v>
      </c>
      <c r="AB298" s="14">
        <v>89.54</v>
      </c>
      <c r="AC298" s="15">
        <v>7.78</v>
      </c>
      <c r="AD298" s="6" t="s">
        <v>745</v>
      </c>
    </row>
    <row r="299" spans="1:32" ht="15" customHeight="1">
      <c r="A299" s="8" t="s">
        <v>1094</v>
      </c>
      <c r="B299" s="6">
        <v>35</v>
      </c>
      <c r="C299" s="8" t="s">
        <v>645</v>
      </c>
      <c r="D299" s="12">
        <v>850</v>
      </c>
      <c r="E299" s="6">
        <v>4.2</v>
      </c>
      <c r="F299" s="11">
        <f t="shared" si="14"/>
        <v>432000</v>
      </c>
      <c r="G299" s="9">
        <v>7.2976735414337512E-14</v>
      </c>
      <c r="H299" s="10">
        <f t="shared" si="12"/>
        <v>0.35511096687651766</v>
      </c>
      <c r="I299" s="13" t="s">
        <v>855</v>
      </c>
      <c r="J299" s="6" t="s">
        <v>848</v>
      </c>
      <c r="K299" s="6">
        <f>100-7.2-10.4-3.1-0.1</f>
        <v>79.2</v>
      </c>
      <c r="L299" s="6">
        <v>1</v>
      </c>
      <c r="M299" s="6">
        <v>1</v>
      </c>
      <c r="N299" s="6">
        <v>1</v>
      </c>
      <c r="O299" s="6">
        <v>1</v>
      </c>
      <c r="P299" s="14">
        <v>68.78</v>
      </c>
      <c r="Q299" s="14">
        <v>0.43</v>
      </c>
      <c r="R299" s="14">
        <v>16.72</v>
      </c>
      <c r="S299" s="14"/>
      <c r="T299" s="14">
        <v>2.82</v>
      </c>
      <c r="U299" s="14">
        <v>0.06</v>
      </c>
      <c r="V299" s="14">
        <v>0.6</v>
      </c>
      <c r="W299" s="14">
        <v>3.77</v>
      </c>
      <c r="X299" s="14">
        <v>3.7</v>
      </c>
      <c r="Y299" s="14">
        <v>2.99</v>
      </c>
      <c r="Z299" s="14">
        <v>0.13</v>
      </c>
      <c r="AA299" s="14">
        <v>0.03</v>
      </c>
      <c r="AB299" s="14">
        <v>89.9</v>
      </c>
      <c r="AC299" s="15">
        <v>7.48</v>
      </c>
      <c r="AD299" s="6" t="s">
        <v>745</v>
      </c>
    </row>
    <row r="300" spans="1:32">
      <c r="A300" s="8" t="s">
        <v>1094</v>
      </c>
      <c r="B300" s="6">
        <v>23</v>
      </c>
      <c r="C300" s="8" t="s">
        <v>645</v>
      </c>
      <c r="D300" s="12">
        <v>950</v>
      </c>
      <c r="E300" s="6">
        <v>3.8</v>
      </c>
      <c r="F300" s="11">
        <f t="shared" si="14"/>
        <v>432000</v>
      </c>
      <c r="G300" s="9">
        <v>2.6432360916877484E-13</v>
      </c>
      <c r="H300" s="10">
        <f t="shared" si="12"/>
        <v>0.67583370487394523</v>
      </c>
      <c r="I300" s="13" t="s">
        <v>856</v>
      </c>
      <c r="J300" s="6" t="s">
        <v>1170</v>
      </c>
      <c r="K300" s="6">
        <f>100-2.1-0.3-0.3</f>
        <v>97.300000000000011</v>
      </c>
      <c r="L300" s="6">
        <v>1</v>
      </c>
      <c r="M300" s="6">
        <v>1</v>
      </c>
      <c r="N300" s="6">
        <v>1</v>
      </c>
      <c r="O300" s="6">
        <v>1</v>
      </c>
      <c r="P300" s="14">
        <v>63.15</v>
      </c>
      <c r="Q300" s="14">
        <v>0.83</v>
      </c>
      <c r="R300" s="14">
        <v>17.350000000000001</v>
      </c>
      <c r="S300" s="14"/>
      <c r="T300" s="14">
        <v>5.43</v>
      </c>
      <c r="U300" s="14">
        <v>0</v>
      </c>
      <c r="V300" s="14">
        <v>1.79</v>
      </c>
      <c r="W300" s="14">
        <v>5.05</v>
      </c>
      <c r="X300" s="14">
        <v>3.91</v>
      </c>
      <c r="Y300" s="14">
        <v>2.31</v>
      </c>
      <c r="Z300" s="14">
        <v>0.11</v>
      </c>
      <c r="AA300" s="14">
        <v>0.06</v>
      </c>
      <c r="AB300" s="14">
        <v>93.19</v>
      </c>
      <c r="AC300" s="15">
        <v>4.5</v>
      </c>
      <c r="AD300" s="6" t="s">
        <v>745</v>
      </c>
      <c r="AF300" s="1" t="s">
        <v>1171</v>
      </c>
    </row>
    <row r="301" spans="1:32">
      <c r="A301" s="8" t="s">
        <v>1094</v>
      </c>
      <c r="B301" s="6">
        <v>24</v>
      </c>
      <c r="C301" s="8" t="s">
        <v>645</v>
      </c>
      <c r="D301" s="12">
        <v>950</v>
      </c>
      <c r="E301" s="6">
        <v>3.8</v>
      </c>
      <c r="F301" s="11">
        <f t="shared" si="14"/>
        <v>432000</v>
      </c>
      <c r="G301" s="9">
        <v>2.6432360916877484E-13</v>
      </c>
      <c r="H301" s="10">
        <f t="shared" si="12"/>
        <v>0.67583370487394523</v>
      </c>
      <c r="I301" s="13" t="s">
        <v>857</v>
      </c>
      <c r="J301" s="6" t="s">
        <v>858</v>
      </c>
      <c r="K301" s="6">
        <f>100-8.3-3-3-0.5-1.6</f>
        <v>83.600000000000009</v>
      </c>
      <c r="L301" s="6">
        <v>1</v>
      </c>
      <c r="M301" s="6">
        <v>1</v>
      </c>
      <c r="N301" s="6">
        <v>1</v>
      </c>
      <c r="O301" s="6">
        <v>1</v>
      </c>
      <c r="P301" s="14">
        <v>65.819999999999993</v>
      </c>
      <c r="Q301" s="14">
        <v>0.82</v>
      </c>
      <c r="R301" s="14">
        <v>16.52</v>
      </c>
      <c r="S301" s="14"/>
      <c r="T301" s="14">
        <v>4.3</v>
      </c>
      <c r="U301" s="14">
        <v>0.09</v>
      </c>
      <c r="V301" s="14">
        <v>1.41</v>
      </c>
      <c r="W301" s="14">
        <v>4</v>
      </c>
      <c r="X301" s="14">
        <v>4.08</v>
      </c>
      <c r="Y301" s="14">
        <v>2.75</v>
      </c>
      <c r="Z301" s="14">
        <v>0.08</v>
      </c>
      <c r="AA301" s="14">
        <v>0.03</v>
      </c>
      <c r="AB301" s="14">
        <v>94.46</v>
      </c>
      <c r="AC301" s="15">
        <v>3.81</v>
      </c>
      <c r="AD301" s="6" t="s">
        <v>745</v>
      </c>
      <c r="AF301" s="1" t="s">
        <v>1171</v>
      </c>
    </row>
    <row r="302" spans="1:32">
      <c r="A302" s="8" t="s">
        <v>1094</v>
      </c>
      <c r="B302" s="6">
        <v>3</v>
      </c>
      <c r="C302" s="8" t="s">
        <v>645</v>
      </c>
      <c r="D302" s="12">
        <v>900</v>
      </c>
      <c r="E302" s="6">
        <v>4</v>
      </c>
      <c r="F302" s="11">
        <f t="shared" si="14"/>
        <v>432000</v>
      </c>
      <c r="G302" s="9">
        <v>1.4274849337614078E-13</v>
      </c>
      <c r="H302" s="10">
        <f t="shared" si="12"/>
        <v>0.49665822912136592</v>
      </c>
      <c r="I302" s="13" t="s">
        <v>859</v>
      </c>
      <c r="J302" s="6" t="s">
        <v>860</v>
      </c>
      <c r="K302" s="6">
        <f>100-27.3-6.6-2.8-1-0.6-2.4</f>
        <v>59.300000000000011</v>
      </c>
      <c r="L302" s="6">
        <v>1</v>
      </c>
      <c r="M302" s="6">
        <v>1</v>
      </c>
      <c r="N302" s="6">
        <v>1</v>
      </c>
      <c r="O302" s="6">
        <v>1</v>
      </c>
      <c r="P302" s="14">
        <v>71.349999999999994</v>
      </c>
      <c r="Q302" s="14">
        <v>0.46</v>
      </c>
      <c r="R302" s="14">
        <v>15.15</v>
      </c>
      <c r="S302" s="14"/>
      <c r="T302" s="14">
        <v>2.4700000000000002</v>
      </c>
      <c r="U302" s="14">
        <v>7.0000000000000007E-2</v>
      </c>
      <c r="V302" s="14">
        <v>0.56000000000000005</v>
      </c>
      <c r="W302" s="14">
        <v>2.2000000000000002</v>
      </c>
      <c r="X302" s="14">
        <v>3.7</v>
      </c>
      <c r="Y302" s="14">
        <v>3.9</v>
      </c>
      <c r="Z302" s="14">
        <v>0.11</v>
      </c>
      <c r="AA302" s="14">
        <v>7.0000000000000007E-2</v>
      </c>
      <c r="AB302" s="14">
        <v>93.78</v>
      </c>
      <c r="AC302" s="15">
        <v>4.1399999999999997</v>
      </c>
      <c r="AD302" s="6" t="s">
        <v>745</v>
      </c>
      <c r="AF302" s="1" t="s">
        <v>1171</v>
      </c>
    </row>
    <row r="303" spans="1:32">
      <c r="A303" s="8" t="s">
        <v>1094</v>
      </c>
      <c r="B303" s="6">
        <v>4</v>
      </c>
      <c r="C303" s="8" t="s">
        <v>645</v>
      </c>
      <c r="D303" s="12">
        <v>900</v>
      </c>
      <c r="E303" s="6">
        <v>4</v>
      </c>
      <c r="F303" s="11">
        <f t="shared" si="14"/>
        <v>432000</v>
      </c>
      <c r="G303" s="9">
        <v>1.4274849337614078E-13</v>
      </c>
      <c r="H303" s="10">
        <f t="shared" si="12"/>
        <v>0.49665822912136592</v>
      </c>
      <c r="I303" s="13" t="s">
        <v>861</v>
      </c>
      <c r="J303" s="6" t="s">
        <v>862</v>
      </c>
      <c r="K303" s="6">
        <f>100-34.9-7.1-3.3-1.1-3.1</f>
        <v>50.499999999999993</v>
      </c>
      <c r="L303" s="6">
        <v>1</v>
      </c>
      <c r="M303" s="6">
        <v>1</v>
      </c>
      <c r="N303" s="6">
        <v>1</v>
      </c>
      <c r="O303" s="6">
        <v>1</v>
      </c>
      <c r="P303" s="14">
        <v>72</v>
      </c>
      <c r="Q303" s="14">
        <v>0.44</v>
      </c>
      <c r="R303" s="14">
        <v>14.69</v>
      </c>
      <c r="S303" s="14"/>
      <c r="T303" s="14">
        <v>2.42</v>
      </c>
      <c r="U303" s="14">
        <v>0.04</v>
      </c>
      <c r="V303" s="14">
        <v>0.42</v>
      </c>
      <c r="W303" s="14">
        <v>2.0499999999999998</v>
      </c>
      <c r="X303" s="14">
        <v>3.78</v>
      </c>
      <c r="Y303" s="14">
        <v>4.05</v>
      </c>
      <c r="Z303" s="14">
        <v>0.08</v>
      </c>
      <c r="AA303" s="14">
        <v>7.0000000000000007E-2</v>
      </c>
      <c r="AB303" s="14">
        <v>94.95</v>
      </c>
      <c r="AC303" s="15">
        <v>3.48</v>
      </c>
      <c r="AD303" s="6" t="s">
        <v>745</v>
      </c>
      <c r="AF303" s="1" t="s">
        <v>1171</v>
      </c>
    </row>
    <row r="304" spans="1:32">
      <c r="A304" s="8" t="s">
        <v>1094</v>
      </c>
      <c r="B304" s="6">
        <v>10</v>
      </c>
      <c r="C304" s="8" t="s">
        <v>645</v>
      </c>
      <c r="D304" s="12">
        <v>900</v>
      </c>
      <c r="E304" s="6">
        <v>4.2</v>
      </c>
      <c r="F304" s="11">
        <f t="shared" si="14"/>
        <v>432000</v>
      </c>
      <c r="G304" s="9">
        <v>1.4274849337614078E-13</v>
      </c>
      <c r="H304" s="10">
        <f t="shared" si="12"/>
        <v>0.49665822912136592</v>
      </c>
      <c r="I304" s="13" t="s">
        <v>863</v>
      </c>
      <c r="J304" s="6" t="s">
        <v>864</v>
      </c>
      <c r="K304" s="6">
        <f>100-19.6-12.6-0.8-2.6</f>
        <v>64.40000000000002</v>
      </c>
      <c r="L304" s="6">
        <v>1</v>
      </c>
      <c r="M304" s="6">
        <v>1</v>
      </c>
      <c r="N304" s="6">
        <v>1</v>
      </c>
      <c r="O304" s="6">
        <v>1</v>
      </c>
      <c r="P304" s="14">
        <v>68.430000000000007</v>
      </c>
      <c r="Q304" s="14">
        <v>0.59</v>
      </c>
      <c r="R304" s="14">
        <v>16.54</v>
      </c>
      <c r="S304" s="14"/>
      <c r="T304" s="14">
        <v>3.11</v>
      </c>
      <c r="U304" s="14">
        <v>0.05</v>
      </c>
      <c r="V304" s="14">
        <v>0.51</v>
      </c>
      <c r="W304" s="14">
        <v>3.54</v>
      </c>
      <c r="X304" s="14">
        <v>3.7</v>
      </c>
      <c r="Y304" s="14">
        <v>3.41</v>
      </c>
      <c r="Z304" s="14">
        <v>0.08</v>
      </c>
      <c r="AA304" s="14">
        <v>0.06</v>
      </c>
      <c r="AB304" s="14">
        <v>92.9</v>
      </c>
      <c r="AC304" s="15">
        <v>5.0199999999999996</v>
      </c>
      <c r="AD304" s="6" t="s">
        <v>745</v>
      </c>
      <c r="AF304" s="1" t="s">
        <v>1171</v>
      </c>
    </row>
    <row r="305" spans="1:32">
      <c r="A305" s="8" t="s">
        <v>1094</v>
      </c>
      <c r="B305" s="6">
        <v>12</v>
      </c>
      <c r="C305" s="8" t="s">
        <v>645</v>
      </c>
      <c r="D305" s="12">
        <v>875</v>
      </c>
      <c r="E305" s="6">
        <v>4</v>
      </c>
      <c r="F305" s="11">
        <f t="shared" si="14"/>
        <v>432000</v>
      </c>
      <c r="G305" s="9">
        <v>1.028135457036711E-13</v>
      </c>
      <c r="H305" s="10">
        <f t="shared" si="12"/>
        <v>0.42149947446698399</v>
      </c>
      <c r="I305" s="13" t="s">
        <v>865</v>
      </c>
      <c r="J305" s="6" t="s">
        <v>866</v>
      </c>
      <c r="K305" s="6">
        <f>100-15.6-11.3-0.1-1.5-2.3</f>
        <v>69.200000000000017</v>
      </c>
      <c r="L305" s="6">
        <v>1</v>
      </c>
      <c r="M305" s="6">
        <v>1</v>
      </c>
      <c r="N305" s="6">
        <v>1</v>
      </c>
      <c r="O305" s="6">
        <v>1</v>
      </c>
      <c r="P305" s="14">
        <v>70.099999999999994</v>
      </c>
      <c r="Q305" s="14">
        <v>0.47</v>
      </c>
      <c r="R305" s="14">
        <v>16.27</v>
      </c>
      <c r="S305" s="14"/>
      <c r="T305" s="14">
        <v>2.38</v>
      </c>
      <c r="U305" s="14">
        <v>0.08</v>
      </c>
      <c r="V305" s="14">
        <v>0.62</v>
      </c>
      <c r="W305" s="14">
        <v>2.91</v>
      </c>
      <c r="X305" s="14">
        <v>3.9</v>
      </c>
      <c r="Y305" s="14">
        <v>3.13</v>
      </c>
      <c r="Z305" s="14">
        <v>0.12</v>
      </c>
      <c r="AA305" s="14">
        <v>0.05</v>
      </c>
      <c r="AB305" s="14">
        <v>93.3</v>
      </c>
      <c r="AC305" s="15">
        <v>4.75</v>
      </c>
      <c r="AD305" s="6" t="s">
        <v>745</v>
      </c>
      <c r="AF305" s="1" t="s">
        <v>1171</v>
      </c>
    </row>
    <row r="306" spans="1:32">
      <c r="A306" s="8" t="s">
        <v>1094</v>
      </c>
      <c r="B306" s="6">
        <v>19</v>
      </c>
      <c r="C306" s="8" t="s">
        <v>645</v>
      </c>
      <c r="D306" s="12">
        <v>875</v>
      </c>
      <c r="E306" s="6">
        <v>4</v>
      </c>
      <c r="F306" s="11">
        <f t="shared" si="14"/>
        <v>432000</v>
      </c>
      <c r="G306" s="9">
        <v>1.028135457036711E-13</v>
      </c>
      <c r="H306" s="10">
        <f t="shared" si="12"/>
        <v>0.42149947446698399</v>
      </c>
      <c r="I306" s="13" t="s">
        <v>867</v>
      </c>
      <c r="J306" s="6" t="s">
        <v>868</v>
      </c>
      <c r="K306" s="6">
        <f>100-28.8-12.2-0.7-0.7-1.8-0.5-1</f>
        <v>54.3</v>
      </c>
      <c r="L306" s="6">
        <v>1</v>
      </c>
      <c r="M306" s="6">
        <v>1</v>
      </c>
      <c r="N306" s="6">
        <v>1</v>
      </c>
      <c r="O306" s="6">
        <v>1</v>
      </c>
      <c r="P306" s="14">
        <v>71.88</v>
      </c>
      <c r="Q306" s="14">
        <v>0.36</v>
      </c>
      <c r="R306" s="14">
        <v>15.09</v>
      </c>
      <c r="S306" s="14"/>
      <c r="T306" s="14">
        <v>2.2999999999999998</v>
      </c>
      <c r="U306" s="14">
        <v>0.01</v>
      </c>
      <c r="V306" s="14">
        <v>0.44</v>
      </c>
      <c r="W306" s="14">
        <v>2.16</v>
      </c>
      <c r="X306" s="14">
        <v>3.85</v>
      </c>
      <c r="Y306" s="14">
        <v>3.8</v>
      </c>
      <c r="Z306" s="14">
        <v>7.0000000000000007E-2</v>
      </c>
      <c r="AA306" s="14">
        <v>0.03</v>
      </c>
      <c r="AB306" s="14">
        <v>93.98</v>
      </c>
      <c r="AC306" s="15">
        <v>4.2300000000000004</v>
      </c>
      <c r="AD306" s="6" t="s">
        <v>745</v>
      </c>
      <c r="AF306" s="1" t="s">
        <v>1171</v>
      </c>
    </row>
    <row r="307" spans="1:32">
      <c r="A307" s="8" t="s">
        <v>1094</v>
      </c>
      <c r="B307" s="6">
        <v>13</v>
      </c>
      <c r="C307" s="8" t="s">
        <v>645</v>
      </c>
      <c r="D307" s="12">
        <v>875</v>
      </c>
      <c r="E307" s="6">
        <v>4</v>
      </c>
      <c r="F307" s="11">
        <f t="shared" si="14"/>
        <v>432000</v>
      </c>
      <c r="G307" s="9">
        <v>1.028135457036711E-13</v>
      </c>
      <c r="H307" s="10">
        <f t="shared" si="12"/>
        <v>0.42149947446698399</v>
      </c>
      <c r="I307" s="13" t="s">
        <v>859</v>
      </c>
      <c r="J307" s="6" t="s">
        <v>858</v>
      </c>
      <c r="K307" s="6">
        <f>100-34.7-5.9-4.3-2.8-0.5</f>
        <v>51.800000000000004</v>
      </c>
      <c r="L307" s="6">
        <v>1</v>
      </c>
      <c r="M307" s="6">
        <v>1</v>
      </c>
      <c r="N307" s="6">
        <v>1</v>
      </c>
      <c r="O307" s="6">
        <v>1</v>
      </c>
      <c r="P307" s="14">
        <v>72.209999999999994</v>
      </c>
      <c r="Q307" s="14">
        <v>0.44</v>
      </c>
      <c r="R307" s="14">
        <v>15.09</v>
      </c>
      <c r="S307" s="14"/>
      <c r="T307" s="14">
        <v>1.86</v>
      </c>
      <c r="U307" s="14">
        <v>0.05</v>
      </c>
      <c r="V307" s="14">
        <v>0.49</v>
      </c>
      <c r="W307" s="14">
        <v>2.15</v>
      </c>
      <c r="X307" s="14">
        <v>3.78</v>
      </c>
      <c r="Y307" s="14">
        <v>3.83</v>
      </c>
      <c r="Z307" s="14">
        <v>0.08</v>
      </c>
      <c r="AA307" s="14">
        <v>0.05</v>
      </c>
      <c r="AB307" s="14">
        <v>94.46</v>
      </c>
      <c r="AC307" s="15">
        <v>3.35</v>
      </c>
      <c r="AD307" s="6" t="s">
        <v>745</v>
      </c>
      <c r="AF307" s="1" t="s">
        <v>1171</v>
      </c>
    </row>
    <row r="308" spans="1:32">
      <c r="A308" s="8" t="s">
        <v>1094</v>
      </c>
      <c r="B308" s="6">
        <v>20</v>
      </c>
      <c r="C308" s="8" t="s">
        <v>645</v>
      </c>
      <c r="D308" s="12">
        <v>850</v>
      </c>
      <c r="E308" s="6">
        <v>4</v>
      </c>
      <c r="F308" s="11">
        <f t="shared" si="14"/>
        <v>432000</v>
      </c>
      <c r="G308" s="9">
        <v>7.2976735414337512E-14</v>
      </c>
      <c r="H308" s="10">
        <f t="shared" si="12"/>
        <v>0.35511096687651766</v>
      </c>
      <c r="I308" s="13" t="s">
        <v>869</v>
      </c>
      <c r="J308" s="6" t="s">
        <v>870</v>
      </c>
      <c r="K308" s="6">
        <f>100-10.8-12.7-0.5-0.6-2.3</f>
        <v>73.100000000000009</v>
      </c>
      <c r="L308" s="6">
        <v>1</v>
      </c>
      <c r="M308" s="6">
        <v>1</v>
      </c>
      <c r="N308" s="6">
        <v>1</v>
      </c>
      <c r="O308" s="6">
        <v>1</v>
      </c>
      <c r="P308" s="14">
        <v>68.94</v>
      </c>
      <c r="Q308" s="14">
        <v>0.42</v>
      </c>
      <c r="R308" s="14">
        <v>17.07</v>
      </c>
      <c r="S308" s="14"/>
      <c r="T308" s="14">
        <v>2.75</v>
      </c>
      <c r="U308" s="14">
        <v>0.09</v>
      </c>
      <c r="V308" s="14">
        <v>0.69</v>
      </c>
      <c r="W308" s="14">
        <v>3.3</v>
      </c>
      <c r="X308" s="14">
        <v>3.86</v>
      </c>
      <c r="Y308" s="14">
        <v>2.81</v>
      </c>
      <c r="Z308" s="14">
        <v>0.03</v>
      </c>
      <c r="AA308" s="14">
        <v>0.02</v>
      </c>
      <c r="AB308" s="14">
        <v>91.63</v>
      </c>
      <c r="AC308" s="15">
        <v>6.07</v>
      </c>
      <c r="AD308" s="6" t="s">
        <v>745</v>
      </c>
      <c r="AF308" s="1" t="s">
        <v>1171</v>
      </c>
    </row>
    <row r="309" spans="1:32">
      <c r="A309" s="8" t="s">
        <v>1094</v>
      </c>
      <c r="B309" s="6">
        <v>16</v>
      </c>
      <c r="C309" s="8" t="s">
        <v>645</v>
      </c>
      <c r="D309" s="12">
        <v>850</v>
      </c>
      <c r="E309" s="6">
        <v>4</v>
      </c>
      <c r="F309" s="11">
        <f t="shared" si="14"/>
        <v>432000</v>
      </c>
      <c r="G309" s="9">
        <v>7.2976735414337512E-14</v>
      </c>
      <c r="H309" s="10">
        <f t="shared" si="12"/>
        <v>0.35511096687651766</v>
      </c>
      <c r="I309" s="13" t="s">
        <v>856</v>
      </c>
      <c r="J309" s="6" t="s">
        <v>870</v>
      </c>
      <c r="K309" s="6">
        <f>100-20.9-13.1-0.5-0.6-2.3</f>
        <v>62.600000000000009</v>
      </c>
      <c r="L309" s="6">
        <v>1</v>
      </c>
      <c r="M309" s="6">
        <v>1</v>
      </c>
      <c r="N309" s="6">
        <v>1</v>
      </c>
      <c r="O309" s="6">
        <v>1</v>
      </c>
      <c r="P309" s="14">
        <v>71.010000000000005</v>
      </c>
      <c r="Q309" s="14">
        <v>0.35</v>
      </c>
      <c r="R309" s="14">
        <v>15.86</v>
      </c>
      <c r="S309" s="14"/>
      <c r="T309" s="14">
        <v>2.4700000000000002</v>
      </c>
      <c r="U309" s="14">
        <v>0.1</v>
      </c>
      <c r="V309" s="14">
        <v>0.5</v>
      </c>
      <c r="W309" s="14">
        <v>2.63</v>
      </c>
      <c r="X309" s="14">
        <v>3.79</v>
      </c>
      <c r="Y309" s="14">
        <v>3.22</v>
      </c>
      <c r="Z309" s="14">
        <v>0.06</v>
      </c>
      <c r="AA309" s="14">
        <v>0.02</v>
      </c>
      <c r="AB309" s="14">
        <v>92.5</v>
      </c>
      <c r="AC309" s="15">
        <v>5.14</v>
      </c>
      <c r="AD309" s="6" t="s">
        <v>745</v>
      </c>
      <c r="AF309" s="1" t="s">
        <v>1171</v>
      </c>
    </row>
    <row r="310" spans="1:32">
      <c r="A310" s="8" t="s">
        <v>1094</v>
      </c>
      <c r="B310" s="6">
        <v>36</v>
      </c>
      <c r="C310" s="8" t="s">
        <v>645</v>
      </c>
      <c r="D310" s="12">
        <v>850</v>
      </c>
      <c r="E310" s="6">
        <v>4.2</v>
      </c>
      <c r="F310" s="11">
        <f t="shared" si="14"/>
        <v>432000</v>
      </c>
      <c r="G310" s="9">
        <v>7.2976735414337512E-14</v>
      </c>
      <c r="H310" s="10">
        <f t="shared" si="12"/>
        <v>0.35511096687651766</v>
      </c>
      <c r="I310" s="13" t="s">
        <v>871</v>
      </c>
      <c r="J310" s="6" t="s">
        <v>872</v>
      </c>
      <c r="K310" s="6">
        <f>100-19.3-11.9-3.4</f>
        <v>65.399999999999991</v>
      </c>
      <c r="L310" s="6">
        <v>1</v>
      </c>
      <c r="M310" s="6">
        <v>1</v>
      </c>
      <c r="N310" s="6">
        <v>1</v>
      </c>
      <c r="O310" s="6">
        <v>1</v>
      </c>
      <c r="P310" s="14">
        <v>71.510000000000005</v>
      </c>
      <c r="Q310" s="14">
        <v>0.33</v>
      </c>
      <c r="R310" s="14">
        <v>15.45</v>
      </c>
      <c r="S310" s="14"/>
      <c r="T310" s="14">
        <v>2.19</v>
      </c>
      <c r="U310" s="14">
        <v>0.04</v>
      </c>
      <c r="V310" s="14">
        <v>0.44</v>
      </c>
      <c r="W310" s="14">
        <v>2.61</v>
      </c>
      <c r="X310" s="14">
        <v>3.75</v>
      </c>
      <c r="Y310" s="14">
        <v>3.53</v>
      </c>
      <c r="Z310" s="14">
        <v>0.16</v>
      </c>
      <c r="AA310" s="14">
        <v>0.03</v>
      </c>
      <c r="AB310" s="14">
        <v>91.91</v>
      </c>
      <c r="AC310" s="15">
        <v>5.85</v>
      </c>
      <c r="AD310" s="6" t="s">
        <v>745</v>
      </c>
      <c r="AF310" s="1" t="s">
        <v>1171</v>
      </c>
    </row>
    <row r="311" spans="1:32">
      <c r="A311" s="8" t="s">
        <v>1094</v>
      </c>
      <c r="B311" s="6">
        <v>37</v>
      </c>
      <c r="C311" s="8" t="s">
        <v>645</v>
      </c>
      <c r="D311" s="12">
        <v>850</v>
      </c>
      <c r="E311" s="6">
        <v>4.2</v>
      </c>
      <c r="F311" s="11">
        <f t="shared" si="14"/>
        <v>432000</v>
      </c>
      <c r="G311" s="9">
        <v>7.2976735414337512E-14</v>
      </c>
      <c r="H311" s="10">
        <f t="shared" si="12"/>
        <v>0.35511096687651766</v>
      </c>
      <c r="I311" s="13" t="s">
        <v>873</v>
      </c>
      <c r="J311" s="6" t="s">
        <v>874</v>
      </c>
      <c r="K311" s="6">
        <f>100-38.1-10.2-1-2.4-3.8</f>
        <v>44.500000000000007</v>
      </c>
      <c r="L311" s="6">
        <v>1</v>
      </c>
      <c r="M311" s="6">
        <v>1</v>
      </c>
      <c r="N311" s="6">
        <v>1</v>
      </c>
      <c r="O311" s="6">
        <v>1</v>
      </c>
      <c r="P311" s="14">
        <v>73.59</v>
      </c>
      <c r="Q311" s="14">
        <v>0.27</v>
      </c>
      <c r="R311" s="14">
        <v>14</v>
      </c>
      <c r="S311" s="14"/>
      <c r="T311" s="14">
        <v>1.84</v>
      </c>
      <c r="U311" s="14">
        <v>0.05</v>
      </c>
      <c r="V311" s="14">
        <v>0.31</v>
      </c>
      <c r="W311" s="14">
        <v>1.79</v>
      </c>
      <c r="X311" s="14">
        <v>3.67</v>
      </c>
      <c r="Y311" s="14">
        <v>4.37</v>
      </c>
      <c r="Z311" s="14">
        <v>0.1</v>
      </c>
      <c r="AA311" s="14">
        <v>0.03</v>
      </c>
      <c r="AB311" s="14">
        <v>92.75</v>
      </c>
      <c r="AC311" s="15">
        <v>5.16</v>
      </c>
      <c r="AD311" s="6" t="s">
        <v>745</v>
      </c>
      <c r="AF311" s="1" t="s">
        <v>1171</v>
      </c>
    </row>
    <row r="312" spans="1:32">
      <c r="A312" s="8" t="s">
        <v>1082</v>
      </c>
      <c r="B312" s="6">
        <v>2</v>
      </c>
      <c r="C312" s="8" t="s">
        <v>645</v>
      </c>
      <c r="D312" s="6">
        <v>850</v>
      </c>
      <c r="E312" s="6">
        <v>0.85</v>
      </c>
      <c r="F312" s="6">
        <v>1018080</v>
      </c>
      <c r="G312" s="9">
        <v>7.2976735414337512E-14</v>
      </c>
      <c r="H312" s="10">
        <f t="shared" si="12"/>
        <v>0.54514641993001745</v>
      </c>
      <c r="I312" s="6" t="s">
        <v>41</v>
      </c>
      <c r="J312" s="6" t="s">
        <v>670</v>
      </c>
      <c r="L312" s="6">
        <v>1</v>
      </c>
      <c r="M312" s="6">
        <v>1</v>
      </c>
      <c r="N312" s="6">
        <v>1</v>
      </c>
      <c r="O312" s="6">
        <v>1</v>
      </c>
      <c r="P312" s="6">
        <v>75.78</v>
      </c>
      <c r="Q312" s="6">
        <v>0.2</v>
      </c>
      <c r="R312" s="6">
        <v>13.37</v>
      </c>
      <c r="T312" s="6">
        <v>1.07</v>
      </c>
      <c r="U312" s="6">
        <v>7.0000000000000007E-2</v>
      </c>
      <c r="V312" s="6">
        <v>0.23</v>
      </c>
      <c r="W312" s="6">
        <v>1.17</v>
      </c>
      <c r="X312" s="6">
        <v>3.32</v>
      </c>
      <c r="Y312" s="6">
        <v>4.62</v>
      </c>
      <c r="Z312" s="6">
        <v>5.5E-2</v>
      </c>
      <c r="AA312" s="6">
        <v>2.1999999999999999E-2</v>
      </c>
      <c r="AB312" s="6">
        <v>95.74</v>
      </c>
      <c r="AC312" s="6">
        <v>3.7</v>
      </c>
      <c r="AD312" s="6" t="s">
        <v>671</v>
      </c>
    </row>
    <row r="313" spans="1:32">
      <c r="A313" s="8" t="s">
        <v>1082</v>
      </c>
      <c r="B313" s="6">
        <v>3</v>
      </c>
      <c r="C313" s="8" t="s">
        <v>645</v>
      </c>
      <c r="D313" s="6">
        <v>750</v>
      </c>
      <c r="E313" s="6">
        <v>2</v>
      </c>
      <c r="F313" s="6">
        <v>1022039.9999999999</v>
      </c>
      <c r="G313" s="9">
        <v>1.5666500344126923E-14</v>
      </c>
      <c r="H313" s="10">
        <f t="shared" si="12"/>
        <v>0.25307540387569455</v>
      </c>
      <c r="I313" s="6" t="s">
        <v>41</v>
      </c>
      <c r="J313" s="6" t="s">
        <v>672</v>
      </c>
      <c r="L313" s="6">
        <v>1</v>
      </c>
      <c r="M313" s="6">
        <v>1</v>
      </c>
      <c r="N313" s="6">
        <v>1</v>
      </c>
      <c r="O313" s="6">
        <v>1</v>
      </c>
      <c r="P313" s="6">
        <v>76.849999999999994</v>
      </c>
      <c r="Q313" s="6">
        <v>7.0000000000000007E-2</v>
      </c>
      <c r="R313" s="6">
        <v>13.21</v>
      </c>
      <c r="T313" s="6">
        <v>0.67</v>
      </c>
      <c r="U313" s="6">
        <v>0.08</v>
      </c>
      <c r="V313" s="6">
        <v>0.1</v>
      </c>
      <c r="W313" s="6">
        <v>1.1200000000000001</v>
      </c>
      <c r="X313" s="6">
        <v>3.25</v>
      </c>
      <c r="Y313" s="6">
        <v>4.58</v>
      </c>
      <c r="Z313" s="6">
        <v>1.7999999999999999E-2</v>
      </c>
      <c r="AA313" s="6">
        <v>1.4E-2</v>
      </c>
      <c r="AB313" s="6">
        <v>94.58</v>
      </c>
      <c r="AC313" s="6">
        <v>6.3</v>
      </c>
      <c r="AD313" s="6" t="s">
        <v>671</v>
      </c>
      <c r="AF313" s="6" t="s">
        <v>1178</v>
      </c>
    </row>
    <row r="314" spans="1:32">
      <c r="A314" s="8" t="s">
        <v>1082</v>
      </c>
      <c r="B314" s="6">
        <v>4</v>
      </c>
      <c r="C314" s="8" t="s">
        <v>645</v>
      </c>
      <c r="D314" s="6">
        <v>700</v>
      </c>
      <c r="E314" s="6">
        <v>3.1</v>
      </c>
      <c r="F314" s="6">
        <v>1036800</v>
      </c>
      <c r="G314" s="9">
        <v>6.4471399973470593E-15</v>
      </c>
      <c r="H314" s="10">
        <f t="shared" si="12"/>
        <v>0.16351629581481389</v>
      </c>
      <c r="I314" s="6" t="s">
        <v>41</v>
      </c>
      <c r="J314" s="6" t="s">
        <v>673</v>
      </c>
      <c r="L314" s="6">
        <v>1</v>
      </c>
      <c r="M314" s="6">
        <v>1</v>
      </c>
      <c r="N314" s="6">
        <v>1</v>
      </c>
      <c r="O314" s="6">
        <v>1</v>
      </c>
      <c r="P314" s="6">
        <v>76.06</v>
      </c>
      <c r="Q314" s="6">
        <v>7.0000000000000007E-2</v>
      </c>
      <c r="R314" s="6">
        <v>13.82</v>
      </c>
      <c r="T314" s="6">
        <v>0.57999999999999996</v>
      </c>
      <c r="U314" s="6">
        <v>7.0000000000000007E-2</v>
      </c>
      <c r="V314" s="6">
        <v>0.1</v>
      </c>
      <c r="W314" s="6">
        <v>1.4</v>
      </c>
      <c r="X314" s="6">
        <v>3.51</v>
      </c>
      <c r="Y314" s="6">
        <v>4.3</v>
      </c>
      <c r="Z314" s="6">
        <v>2.4E-2</v>
      </c>
      <c r="AA314" s="6">
        <v>1.9E-2</v>
      </c>
      <c r="AB314" s="6">
        <v>92.99</v>
      </c>
      <c r="AC314" s="6">
        <v>7.8</v>
      </c>
      <c r="AD314" s="6" t="s">
        <v>671</v>
      </c>
      <c r="AF314" s="6" t="s">
        <v>1178</v>
      </c>
    </row>
    <row r="315" spans="1:32">
      <c r="A315" s="8" t="s">
        <v>1082</v>
      </c>
      <c r="B315" s="6">
        <v>7</v>
      </c>
      <c r="C315" s="8" t="s">
        <v>645</v>
      </c>
      <c r="D315" s="6">
        <v>850</v>
      </c>
      <c r="E315" s="6">
        <v>2</v>
      </c>
      <c r="F315" s="6">
        <v>938880</v>
      </c>
      <c r="G315" s="9">
        <v>7.2976735414337512E-14</v>
      </c>
      <c r="H315" s="10">
        <f t="shared" si="12"/>
        <v>0.52351274042114093</v>
      </c>
      <c r="I315" s="6" t="s">
        <v>41</v>
      </c>
      <c r="J315" s="6" t="s">
        <v>674</v>
      </c>
      <c r="L315" s="6">
        <v>1</v>
      </c>
      <c r="M315" s="6">
        <v>1</v>
      </c>
      <c r="N315" s="6">
        <v>1</v>
      </c>
      <c r="O315" s="6">
        <v>1</v>
      </c>
      <c r="P315" s="6">
        <v>74.510000000000005</v>
      </c>
      <c r="Q315" s="6">
        <v>0.19</v>
      </c>
      <c r="R315" s="6">
        <v>14.15</v>
      </c>
      <c r="T315" s="6">
        <v>1.1200000000000001</v>
      </c>
      <c r="U315" s="6">
        <v>0.08</v>
      </c>
      <c r="V315" s="6">
        <v>0.37</v>
      </c>
      <c r="W315" s="6">
        <v>1.47</v>
      </c>
      <c r="X315" s="6">
        <v>3.6</v>
      </c>
      <c r="Y315" s="6">
        <v>4.4000000000000004</v>
      </c>
      <c r="Z315" s="6">
        <v>4.2999999999999997E-2</v>
      </c>
      <c r="AA315" s="6">
        <v>1.7000000000000001E-2</v>
      </c>
      <c r="AB315" s="6">
        <v>94.24</v>
      </c>
      <c r="AC315" s="6">
        <v>5.8</v>
      </c>
      <c r="AD315" s="6" t="s">
        <v>671</v>
      </c>
    </row>
    <row r="316" spans="1:32">
      <c r="A316" s="8" t="s">
        <v>1082</v>
      </c>
      <c r="B316" s="6">
        <v>8</v>
      </c>
      <c r="C316" s="8" t="s">
        <v>645</v>
      </c>
      <c r="D316" s="6">
        <v>800</v>
      </c>
      <c r="E316" s="6">
        <v>1.3</v>
      </c>
      <c r="F316" s="6">
        <v>1282680</v>
      </c>
      <c r="G316" s="9">
        <v>3.5046513928104248E-14</v>
      </c>
      <c r="H316" s="10">
        <f t="shared" si="12"/>
        <v>0.42404463201554982</v>
      </c>
      <c r="I316" s="6" t="s">
        <v>41</v>
      </c>
      <c r="J316" s="6" t="s">
        <v>675</v>
      </c>
      <c r="L316" s="6">
        <v>1</v>
      </c>
      <c r="M316" s="6">
        <v>1</v>
      </c>
      <c r="N316" s="6">
        <v>1</v>
      </c>
      <c r="O316" s="6">
        <v>1</v>
      </c>
      <c r="P316" s="6">
        <v>75.7</v>
      </c>
      <c r="Q316" s="6">
        <v>0.15</v>
      </c>
      <c r="R316" s="6">
        <v>13.49</v>
      </c>
      <c r="T316" s="6">
        <v>1.06</v>
      </c>
      <c r="U316" s="6">
        <v>0.08</v>
      </c>
      <c r="V316" s="6">
        <v>0.23</v>
      </c>
      <c r="W316" s="6">
        <v>1.35</v>
      </c>
      <c r="X316" s="6">
        <v>3.52</v>
      </c>
      <c r="Y316" s="6">
        <v>4.37</v>
      </c>
      <c r="Z316" s="6">
        <v>2.9000000000000001E-2</v>
      </c>
      <c r="AA316" s="6">
        <v>1.7999999999999999E-2</v>
      </c>
      <c r="AB316" s="6">
        <v>94.93</v>
      </c>
      <c r="AC316" s="6">
        <v>4.9000000000000004</v>
      </c>
      <c r="AD316" s="6" t="s">
        <v>671</v>
      </c>
    </row>
    <row r="317" spans="1:32">
      <c r="A317" s="8" t="s">
        <v>1082</v>
      </c>
      <c r="B317" s="6">
        <v>9</v>
      </c>
      <c r="C317" s="8" t="s">
        <v>645</v>
      </c>
      <c r="D317" s="6">
        <v>850</v>
      </c>
      <c r="E317" s="6">
        <v>0.85</v>
      </c>
      <c r="F317" s="6">
        <v>1040039.9999999999</v>
      </c>
      <c r="G317" s="9">
        <v>7.2976735414337512E-14</v>
      </c>
      <c r="H317" s="10">
        <f t="shared" si="12"/>
        <v>0.55099446059040413</v>
      </c>
      <c r="I317" s="6" t="s">
        <v>41</v>
      </c>
      <c r="J317" s="6" t="s">
        <v>676</v>
      </c>
      <c r="L317" s="6">
        <v>1</v>
      </c>
      <c r="M317" s="6">
        <v>1</v>
      </c>
      <c r="N317" s="6">
        <v>1</v>
      </c>
      <c r="O317" s="6">
        <v>1</v>
      </c>
      <c r="P317" s="6">
        <v>75.56</v>
      </c>
      <c r="Q317" s="6">
        <v>0.17</v>
      </c>
      <c r="R317" s="6">
        <v>13.6</v>
      </c>
      <c r="T317" s="6">
        <v>1.03</v>
      </c>
      <c r="U317" s="6">
        <v>0.08</v>
      </c>
      <c r="V317" s="6">
        <v>0.27</v>
      </c>
      <c r="W317" s="6">
        <v>1.29</v>
      </c>
      <c r="X317" s="6">
        <v>3.3</v>
      </c>
      <c r="Y317" s="6">
        <v>4.62</v>
      </c>
      <c r="Z317" s="6">
        <v>4.3999999999999997E-2</v>
      </c>
      <c r="AA317" s="6">
        <v>1.6E-2</v>
      </c>
      <c r="AB317" s="6">
        <v>94.95</v>
      </c>
      <c r="AC317" s="6">
        <v>3.7</v>
      </c>
      <c r="AD317" s="6" t="s">
        <v>671</v>
      </c>
    </row>
    <row r="318" spans="1:32">
      <c r="A318" s="8" t="s">
        <v>1082</v>
      </c>
      <c r="B318" s="6">
        <v>10</v>
      </c>
      <c r="C318" s="8" t="s">
        <v>645</v>
      </c>
      <c r="D318" s="6">
        <v>750</v>
      </c>
      <c r="E318" s="6">
        <v>2</v>
      </c>
      <c r="F318" s="6">
        <v>1093680</v>
      </c>
      <c r="G318" s="9">
        <v>1.5666500344126923E-14</v>
      </c>
      <c r="H318" s="10">
        <f t="shared" si="12"/>
        <v>0.26179486699601073</v>
      </c>
      <c r="I318" s="6" t="s">
        <v>41</v>
      </c>
      <c r="J318" s="6" t="s">
        <v>677</v>
      </c>
      <c r="L318" s="6">
        <v>1</v>
      </c>
      <c r="M318" s="6">
        <v>1</v>
      </c>
      <c r="N318" s="6">
        <v>1</v>
      </c>
      <c r="O318" s="6">
        <v>1</v>
      </c>
      <c r="P318" s="6">
        <v>76.52</v>
      </c>
      <c r="Q318" s="6">
        <v>0.08</v>
      </c>
      <c r="R318" s="6">
        <v>13.37</v>
      </c>
      <c r="T318" s="6">
        <v>0.73</v>
      </c>
      <c r="U318" s="6">
        <v>0.08</v>
      </c>
      <c r="V318" s="6">
        <v>0.11</v>
      </c>
      <c r="W318" s="6">
        <v>1.35</v>
      </c>
      <c r="X318" s="6">
        <v>3.26</v>
      </c>
      <c r="Y318" s="6">
        <v>4.4400000000000004</v>
      </c>
      <c r="Z318" s="6">
        <v>2.3E-2</v>
      </c>
      <c r="AA318" s="6">
        <v>1.7999999999999999E-2</v>
      </c>
      <c r="AB318" s="6">
        <v>91.86</v>
      </c>
      <c r="AC318" s="6">
        <v>6.3</v>
      </c>
      <c r="AD318" s="6" t="s">
        <v>671</v>
      </c>
    </row>
    <row r="319" spans="1:32">
      <c r="A319" s="8" t="s">
        <v>1082</v>
      </c>
      <c r="B319" s="6">
        <v>11</v>
      </c>
      <c r="C319" s="8" t="s">
        <v>645</v>
      </c>
      <c r="D319" s="6">
        <v>750</v>
      </c>
      <c r="E319" s="6">
        <v>3.1</v>
      </c>
      <c r="F319" s="6">
        <v>1035000</v>
      </c>
      <c r="G319" s="9">
        <v>1.5666500344126923E-14</v>
      </c>
      <c r="H319" s="10">
        <f t="shared" si="12"/>
        <v>0.25467491322210251</v>
      </c>
      <c r="I319" s="6" t="s">
        <v>41</v>
      </c>
      <c r="J319" s="6" t="s">
        <v>678</v>
      </c>
      <c r="L319" s="6">
        <v>1</v>
      </c>
      <c r="M319" s="6">
        <v>1</v>
      </c>
      <c r="N319" s="6">
        <v>1</v>
      </c>
      <c r="O319" s="6">
        <v>1</v>
      </c>
      <c r="P319" s="6">
        <v>75.5</v>
      </c>
      <c r="Q319" s="6">
        <v>0.1</v>
      </c>
      <c r="R319" s="6">
        <v>14.01</v>
      </c>
      <c r="T319" s="6">
        <v>0.88</v>
      </c>
      <c r="U319" s="6">
        <v>0.08</v>
      </c>
      <c r="V319" s="6">
        <v>0.16</v>
      </c>
      <c r="W319" s="6">
        <v>1.52</v>
      </c>
      <c r="X319" s="6">
        <v>3.33</v>
      </c>
      <c r="Y319" s="6">
        <v>4.38</v>
      </c>
      <c r="Z319" s="6">
        <v>1.6E-2</v>
      </c>
      <c r="AA319" s="6">
        <v>1.2E-2</v>
      </c>
      <c r="AB319" s="6">
        <v>90.86</v>
      </c>
      <c r="AC319" s="6">
        <v>7.6</v>
      </c>
      <c r="AD319" s="6" t="s">
        <v>671</v>
      </c>
    </row>
    <row r="320" spans="1:32">
      <c r="A320" s="8" t="s">
        <v>1082</v>
      </c>
      <c r="B320" s="6">
        <v>12</v>
      </c>
      <c r="C320" s="8" t="s">
        <v>645</v>
      </c>
      <c r="D320" s="6">
        <v>717</v>
      </c>
      <c r="E320" s="6">
        <v>2.8</v>
      </c>
      <c r="F320" s="6">
        <v>1045439.9999999999</v>
      </c>
      <c r="G320" s="9">
        <v>8.8072898795341204E-15</v>
      </c>
      <c r="H320" s="10">
        <f t="shared" si="12"/>
        <v>0.19191136632998215</v>
      </c>
      <c r="I320" s="6" t="s">
        <v>41</v>
      </c>
      <c r="J320" s="6" t="s">
        <v>679</v>
      </c>
      <c r="L320" s="6">
        <v>1</v>
      </c>
      <c r="M320" s="6">
        <v>1</v>
      </c>
      <c r="N320" s="6">
        <v>1</v>
      </c>
      <c r="O320" s="6">
        <v>1</v>
      </c>
      <c r="P320" s="6">
        <v>76.19</v>
      </c>
      <c r="Q320" s="6">
        <v>7.0000000000000007E-2</v>
      </c>
      <c r="R320" s="6">
        <v>13.73</v>
      </c>
      <c r="T320" s="6">
        <v>0.66</v>
      </c>
      <c r="U320" s="6">
        <v>0.08</v>
      </c>
      <c r="V320" s="6">
        <v>0.11</v>
      </c>
      <c r="W320" s="6">
        <v>1.44</v>
      </c>
      <c r="X320" s="6">
        <v>3.43</v>
      </c>
      <c r="Y320" s="6">
        <v>4.28</v>
      </c>
      <c r="Z320" s="6">
        <v>1.2999999999999999E-2</v>
      </c>
      <c r="AA320" s="6">
        <v>0.01</v>
      </c>
      <c r="AB320" s="6">
        <v>92.27</v>
      </c>
      <c r="AC320" s="6">
        <v>7.3</v>
      </c>
      <c r="AD320" s="6" t="s">
        <v>671</v>
      </c>
    </row>
    <row r="321" spans="1:32">
      <c r="A321" s="8" t="s">
        <v>1082</v>
      </c>
      <c r="B321" s="6">
        <v>14</v>
      </c>
      <c r="C321" s="8" t="s">
        <v>645</v>
      </c>
      <c r="D321" s="6">
        <v>700</v>
      </c>
      <c r="E321" s="6">
        <v>3.5</v>
      </c>
      <c r="F321" s="6">
        <v>1029600</v>
      </c>
      <c r="G321" s="9">
        <v>6.4471399973470593E-15</v>
      </c>
      <c r="H321" s="10">
        <f t="shared" si="12"/>
        <v>0.1629475417583037</v>
      </c>
      <c r="I321" s="6" t="s">
        <v>41</v>
      </c>
      <c r="J321" s="6" t="s">
        <v>680</v>
      </c>
      <c r="L321" s="6">
        <v>1</v>
      </c>
      <c r="M321" s="6">
        <v>1</v>
      </c>
      <c r="N321" s="6">
        <v>1</v>
      </c>
      <c r="O321" s="6">
        <v>1</v>
      </c>
      <c r="P321" s="6">
        <v>76.06</v>
      </c>
      <c r="Q321" s="6">
        <v>7.0000000000000007E-2</v>
      </c>
      <c r="R321" s="6">
        <v>13.81</v>
      </c>
      <c r="T321" s="6">
        <v>0.59</v>
      </c>
      <c r="U321" s="6">
        <v>0.08</v>
      </c>
      <c r="V321" s="6">
        <v>0.1</v>
      </c>
      <c r="W321" s="6">
        <v>1.48</v>
      </c>
      <c r="X321" s="6">
        <v>3.49</v>
      </c>
      <c r="Y321" s="6">
        <v>4.28</v>
      </c>
      <c r="Z321" s="6">
        <v>1.2999999999999999E-2</v>
      </c>
      <c r="AA321" s="6">
        <v>1.2999999999999999E-2</v>
      </c>
      <c r="AB321" s="6">
        <v>89</v>
      </c>
      <c r="AC321" s="6">
        <v>7.6</v>
      </c>
      <c r="AD321" s="6" t="s">
        <v>671</v>
      </c>
      <c r="AF321" s="6" t="s">
        <v>1178</v>
      </c>
    </row>
    <row r="322" spans="1:32">
      <c r="A322" s="8" t="s">
        <v>1082</v>
      </c>
      <c r="B322" s="6">
        <v>15</v>
      </c>
      <c r="C322" s="8" t="s">
        <v>645</v>
      </c>
      <c r="D322" s="6">
        <v>700</v>
      </c>
      <c r="E322" s="6">
        <v>3.5</v>
      </c>
      <c r="F322" s="6">
        <v>1029960.0000000001</v>
      </c>
      <c r="G322" s="9">
        <v>6.4471399973470593E-15</v>
      </c>
      <c r="H322" s="10">
        <f t="shared" ref="H322:H385" si="15">2*SQRT(G322*F322)*1000</f>
        <v>0.16297602660106275</v>
      </c>
      <c r="I322" s="6" t="s">
        <v>41</v>
      </c>
      <c r="J322" s="6" t="s">
        <v>681</v>
      </c>
      <c r="L322" s="6">
        <v>1</v>
      </c>
      <c r="M322" s="6">
        <v>1</v>
      </c>
      <c r="N322" s="6">
        <v>1</v>
      </c>
      <c r="O322" s="6">
        <v>1</v>
      </c>
      <c r="P322" s="6">
        <v>76.099999999999994</v>
      </c>
      <c r="Q322" s="6">
        <v>7.0000000000000007E-2</v>
      </c>
      <c r="R322" s="6">
        <v>13.83</v>
      </c>
      <c r="T322" s="6">
        <v>0.62</v>
      </c>
      <c r="U322" s="6">
        <v>7.0000000000000007E-2</v>
      </c>
      <c r="V322" s="6">
        <v>0.11</v>
      </c>
      <c r="W322" s="6">
        <v>1.51</v>
      </c>
      <c r="X322" s="6">
        <v>3.43</v>
      </c>
      <c r="Y322" s="6">
        <v>4.24</v>
      </c>
      <c r="Z322" s="6">
        <v>2.3E-2</v>
      </c>
      <c r="AA322" s="6">
        <v>1.7999999999999999E-2</v>
      </c>
      <c r="AB322" s="6">
        <v>87.94</v>
      </c>
      <c r="AC322" s="6">
        <v>7.3</v>
      </c>
      <c r="AD322" s="6" t="s">
        <v>671</v>
      </c>
    </row>
    <row r="323" spans="1:32">
      <c r="A323" s="8" t="s">
        <v>1082</v>
      </c>
      <c r="B323" s="6">
        <v>16</v>
      </c>
      <c r="C323" s="8" t="s">
        <v>645</v>
      </c>
      <c r="D323" s="6">
        <v>700</v>
      </c>
      <c r="E323" s="6">
        <v>3.5</v>
      </c>
      <c r="F323" s="6">
        <v>1029960.0000000001</v>
      </c>
      <c r="G323" s="9">
        <v>6.4471399973470593E-15</v>
      </c>
      <c r="H323" s="10">
        <f t="shared" si="15"/>
        <v>0.16297602660106275</v>
      </c>
      <c r="I323" s="6" t="s">
        <v>41</v>
      </c>
      <c r="J323" s="6" t="s">
        <v>677</v>
      </c>
      <c r="L323" s="6">
        <v>1</v>
      </c>
      <c r="M323" s="6">
        <v>1</v>
      </c>
      <c r="N323" s="6">
        <v>1</v>
      </c>
      <c r="O323" s="6">
        <v>1</v>
      </c>
      <c r="P323" s="6">
        <v>75.97</v>
      </c>
      <c r="Q323" s="6">
        <v>7.0000000000000007E-2</v>
      </c>
      <c r="R323" s="6">
        <v>13.8</v>
      </c>
      <c r="T323" s="6">
        <v>0.65</v>
      </c>
      <c r="U323" s="6">
        <v>7.0000000000000007E-2</v>
      </c>
      <c r="V323" s="6">
        <v>0.11</v>
      </c>
      <c r="W323" s="6">
        <v>1.71</v>
      </c>
      <c r="X323" s="6">
        <v>3.44</v>
      </c>
      <c r="Y323" s="6">
        <v>4.1100000000000003</v>
      </c>
      <c r="Z323" s="6">
        <v>1.6E-2</v>
      </c>
      <c r="AA323" s="6">
        <v>1.2E-2</v>
      </c>
      <c r="AB323" s="6">
        <v>88.58</v>
      </c>
      <c r="AC323" s="6">
        <v>7.8</v>
      </c>
      <c r="AD323" s="6" t="s">
        <v>671</v>
      </c>
    </row>
    <row r="324" spans="1:32">
      <c r="A324" s="6" t="s">
        <v>1104</v>
      </c>
      <c r="B324" s="6" t="s">
        <v>964</v>
      </c>
      <c r="C324" s="6" t="s">
        <v>574</v>
      </c>
      <c r="D324" s="6">
        <v>900</v>
      </c>
      <c r="E324" s="6">
        <v>10</v>
      </c>
      <c r="F324" s="6">
        <f>7*24*3600</f>
        <v>604800</v>
      </c>
      <c r="G324" s="9">
        <v>1.4274849337614078E-13</v>
      </c>
      <c r="H324" s="10">
        <f t="shared" si="15"/>
        <v>0.58765394168299401</v>
      </c>
      <c r="I324" s="6">
        <v>4</v>
      </c>
      <c r="J324" s="6" t="s">
        <v>965</v>
      </c>
      <c r="K324" s="6">
        <v>27</v>
      </c>
      <c r="L324" s="6">
        <v>1</v>
      </c>
      <c r="M324" s="6">
        <v>0</v>
      </c>
      <c r="N324" s="6">
        <v>0</v>
      </c>
      <c r="O324" s="6">
        <v>0</v>
      </c>
      <c r="P324" s="6">
        <v>67.87</v>
      </c>
      <c r="Q324" s="6">
        <v>0.8</v>
      </c>
      <c r="R324" s="6">
        <v>17.010000000000002</v>
      </c>
      <c r="T324" s="6">
        <v>3.35</v>
      </c>
      <c r="U324" s="6">
        <v>0.03</v>
      </c>
      <c r="V324" s="6">
        <v>1.25</v>
      </c>
      <c r="W324" s="6">
        <v>4.5199999999999996</v>
      </c>
      <c r="X324" s="6">
        <v>3.12</v>
      </c>
      <c r="Y324" s="6">
        <v>1.66</v>
      </c>
      <c r="Z324" s="6">
        <v>0.38</v>
      </c>
      <c r="AA324" s="6">
        <v>7.0000000000000007E-2</v>
      </c>
      <c r="AB324" s="6">
        <v>90.21</v>
      </c>
      <c r="AC324" s="6">
        <v>13</v>
      </c>
      <c r="AD324" s="6" t="s">
        <v>521</v>
      </c>
    </row>
    <row r="325" spans="1:32">
      <c r="A325" s="6" t="s">
        <v>1104</v>
      </c>
      <c r="B325" s="6" t="s">
        <v>966</v>
      </c>
      <c r="C325" s="6" t="s">
        <v>574</v>
      </c>
      <c r="D325" s="6">
        <v>800</v>
      </c>
      <c r="E325" s="6">
        <v>15</v>
      </c>
      <c r="F325" s="6">
        <f>7*24*3600</f>
        <v>604800</v>
      </c>
      <c r="G325" s="9">
        <v>3.5046513928104248E-14</v>
      </c>
      <c r="H325" s="10">
        <f t="shared" si="15"/>
        <v>0.29117782624174837</v>
      </c>
      <c r="I325" s="6">
        <v>4</v>
      </c>
      <c r="J325" s="6" t="s">
        <v>967</v>
      </c>
      <c r="K325" s="6">
        <v>27</v>
      </c>
      <c r="L325" s="6">
        <v>1</v>
      </c>
      <c r="M325" s="6">
        <v>0</v>
      </c>
      <c r="N325" s="6">
        <v>0</v>
      </c>
      <c r="O325" s="6">
        <v>0</v>
      </c>
      <c r="P325" s="6">
        <v>72.63</v>
      </c>
      <c r="Q325" s="6">
        <v>0.32</v>
      </c>
      <c r="R325" s="6">
        <v>16.170000000000002</v>
      </c>
      <c r="T325" s="6">
        <v>1.77</v>
      </c>
      <c r="U325" s="6">
        <v>0.02</v>
      </c>
      <c r="V325" s="6">
        <v>0.6</v>
      </c>
      <c r="W325" s="6">
        <v>4.6100000000000003</v>
      </c>
      <c r="X325" s="6">
        <v>2.59</v>
      </c>
      <c r="Y325" s="6">
        <v>1.1299999999999999</v>
      </c>
      <c r="Z325" s="6">
        <v>0.16</v>
      </c>
      <c r="AA325" s="6">
        <v>0.05</v>
      </c>
      <c r="AB325" s="6">
        <v>88.22</v>
      </c>
      <c r="AC325" s="6">
        <v>10.199999999999999</v>
      </c>
      <c r="AD325" s="6" t="s">
        <v>521</v>
      </c>
    </row>
    <row r="326" spans="1:32">
      <c r="A326" s="6" t="s">
        <v>1104</v>
      </c>
      <c r="B326" s="6" t="s">
        <v>968</v>
      </c>
      <c r="C326" s="6" t="s">
        <v>574</v>
      </c>
      <c r="D326" s="6">
        <v>1000</v>
      </c>
      <c r="E326" s="6">
        <v>20</v>
      </c>
      <c r="F326" s="6">
        <f>7*24*3600</f>
        <v>604800</v>
      </c>
      <c r="G326" s="9">
        <v>4.6632042652511761E-13</v>
      </c>
      <c r="H326" s="10">
        <f t="shared" si="15"/>
        <v>1.0621310539898383</v>
      </c>
      <c r="I326" s="6">
        <v>1.5</v>
      </c>
      <c r="J326" s="6" t="s">
        <v>969</v>
      </c>
      <c r="K326" s="6">
        <v>44</v>
      </c>
      <c r="L326" s="6">
        <v>1</v>
      </c>
      <c r="M326" s="6">
        <v>0</v>
      </c>
      <c r="N326" s="6">
        <v>0</v>
      </c>
      <c r="O326" s="6">
        <v>0</v>
      </c>
      <c r="P326" s="6">
        <v>64.66</v>
      </c>
      <c r="Q326" s="6">
        <v>1.1499999999999999</v>
      </c>
      <c r="R326" s="6">
        <v>17.63</v>
      </c>
      <c r="T326" s="6">
        <v>3.36</v>
      </c>
      <c r="U326" s="6">
        <v>0.02</v>
      </c>
      <c r="V326" s="6">
        <v>1.53</v>
      </c>
      <c r="W326" s="6">
        <v>5.34</v>
      </c>
      <c r="X326" s="6">
        <v>4.0199999999999996</v>
      </c>
      <c r="Y326" s="6">
        <v>1.26</v>
      </c>
      <c r="Z326" s="6">
        <v>0.68</v>
      </c>
      <c r="AA326" s="6">
        <v>0.15</v>
      </c>
      <c r="AB326" s="6">
        <v>92.25</v>
      </c>
      <c r="AC326" s="6">
        <v>3.4</v>
      </c>
      <c r="AD326" s="6" t="s">
        <v>521</v>
      </c>
    </row>
    <row r="327" spans="1:32">
      <c r="A327" s="8" t="s">
        <v>1096</v>
      </c>
      <c r="B327" s="36" t="s">
        <v>898</v>
      </c>
      <c r="C327" s="8" t="s">
        <v>645</v>
      </c>
      <c r="D327" s="12">
        <v>900</v>
      </c>
      <c r="E327" s="6">
        <v>3</v>
      </c>
      <c r="F327" s="11">
        <f>4*3600*24</f>
        <v>345600</v>
      </c>
      <c r="G327" s="9">
        <v>1.4274849337614078E-13</v>
      </c>
      <c r="H327" s="10">
        <f t="shared" si="15"/>
        <v>0.44422462476001595</v>
      </c>
      <c r="I327" s="13" t="s">
        <v>41</v>
      </c>
      <c r="J327" s="6" t="s">
        <v>899</v>
      </c>
      <c r="K327" s="6">
        <v>84</v>
      </c>
      <c r="L327" s="6">
        <v>1</v>
      </c>
      <c r="M327" s="6">
        <v>1</v>
      </c>
      <c r="N327" s="6">
        <v>1</v>
      </c>
      <c r="O327" s="6">
        <v>1</v>
      </c>
      <c r="P327" s="14">
        <v>64.84</v>
      </c>
      <c r="Q327" s="14">
        <v>0.69</v>
      </c>
      <c r="R327" s="14">
        <v>20.28</v>
      </c>
      <c r="S327" s="14"/>
      <c r="T327" s="14">
        <v>1.51</v>
      </c>
      <c r="U327" s="14">
        <v>0.09</v>
      </c>
      <c r="V327" s="14">
        <v>0.04</v>
      </c>
      <c r="W327" s="14">
        <v>5.18</v>
      </c>
      <c r="X327" s="14">
        <v>3.59</v>
      </c>
      <c r="Y327" s="14">
        <v>3.26</v>
      </c>
      <c r="Z327" s="14">
        <v>0.21</v>
      </c>
      <c r="AA327" s="14"/>
      <c r="AB327" s="14">
        <v>88.47</v>
      </c>
      <c r="AC327" s="15">
        <v>8.5</v>
      </c>
      <c r="AD327" s="14" t="s">
        <v>900</v>
      </c>
    </row>
    <row r="328" spans="1:32">
      <c r="A328" s="8" t="s">
        <v>1096</v>
      </c>
      <c r="B328" s="36" t="s">
        <v>901</v>
      </c>
      <c r="C328" s="8" t="s">
        <v>645</v>
      </c>
      <c r="D328" s="12">
        <v>900</v>
      </c>
      <c r="E328" s="6">
        <v>3</v>
      </c>
      <c r="F328" s="11">
        <f>4*3600*24</f>
        <v>345600</v>
      </c>
      <c r="G328" s="9">
        <v>1.4274849337614078E-13</v>
      </c>
      <c r="H328" s="10">
        <f t="shared" si="15"/>
        <v>0.44422462476001595</v>
      </c>
      <c r="I328" s="13" t="s">
        <v>902</v>
      </c>
      <c r="J328" s="6" t="s">
        <v>903</v>
      </c>
      <c r="K328" s="6">
        <v>78</v>
      </c>
      <c r="L328" s="6">
        <v>1</v>
      </c>
      <c r="M328" s="6">
        <v>1</v>
      </c>
      <c r="N328" s="6">
        <v>1</v>
      </c>
      <c r="O328" s="6">
        <v>1</v>
      </c>
      <c r="P328" s="14">
        <v>65.56</v>
      </c>
      <c r="Q328" s="14">
        <v>0.69</v>
      </c>
      <c r="R328" s="14">
        <v>20.34</v>
      </c>
      <c r="S328" s="14"/>
      <c r="T328" s="14">
        <v>1.18</v>
      </c>
      <c r="U328" s="14">
        <v>0.06</v>
      </c>
      <c r="V328" s="14">
        <v>0</v>
      </c>
      <c r="W328" s="14">
        <v>4.4400000000000004</v>
      </c>
      <c r="X328" s="14">
        <v>3.6</v>
      </c>
      <c r="Y328" s="14">
        <v>3.99</v>
      </c>
      <c r="Z328" s="14">
        <v>0.12</v>
      </c>
      <c r="AA328" s="14"/>
      <c r="AB328" s="14">
        <v>88.87</v>
      </c>
      <c r="AC328" s="15">
        <v>8</v>
      </c>
      <c r="AD328" s="14" t="s">
        <v>900</v>
      </c>
      <c r="AF328" s="6" t="s">
        <v>1179</v>
      </c>
    </row>
    <row r="329" spans="1:32">
      <c r="A329" s="8" t="s">
        <v>1096</v>
      </c>
      <c r="B329" s="36" t="s">
        <v>904</v>
      </c>
      <c r="C329" s="8" t="s">
        <v>645</v>
      </c>
      <c r="D329" s="12">
        <v>850</v>
      </c>
      <c r="E329" s="6">
        <v>2.8</v>
      </c>
      <c r="F329" s="11">
        <f>5*3600*24</f>
        <v>432000</v>
      </c>
      <c r="G329" s="9">
        <v>7.2976735414337512E-14</v>
      </c>
      <c r="H329" s="10">
        <f t="shared" si="15"/>
        <v>0.35511096687651766</v>
      </c>
      <c r="I329" s="13" t="s">
        <v>41</v>
      </c>
      <c r="J329" s="6" t="s">
        <v>903</v>
      </c>
      <c r="K329" s="6">
        <v>65</v>
      </c>
      <c r="L329" s="6">
        <v>1</v>
      </c>
      <c r="M329" s="6">
        <v>1</v>
      </c>
      <c r="N329" s="6">
        <v>1</v>
      </c>
      <c r="O329" s="6">
        <v>1</v>
      </c>
      <c r="P329" s="14">
        <v>68.73</v>
      </c>
      <c r="Q329" s="14">
        <v>0.41</v>
      </c>
      <c r="R329" s="14">
        <v>19.600000000000001</v>
      </c>
      <c r="S329" s="14"/>
      <c r="T329" s="14">
        <v>0.99</v>
      </c>
      <c r="U329" s="14">
        <v>7.0000000000000007E-2</v>
      </c>
      <c r="V329" s="14">
        <v>0.04</v>
      </c>
      <c r="W329" s="14">
        <v>3.69</v>
      </c>
      <c r="X329" s="14">
        <v>2.62</v>
      </c>
      <c r="Y329" s="14">
        <v>3.51</v>
      </c>
      <c r="Z329" s="14">
        <v>0.09</v>
      </c>
      <c r="AA329" s="14"/>
      <c r="AB329" s="14">
        <v>85.83</v>
      </c>
      <c r="AC329" s="15">
        <v>8.5</v>
      </c>
      <c r="AD329" s="14" t="s">
        <v>900</v>
      </c>
      <c r="AF329" s="6" t="s">
        <v>1179</v>
      </c>
    </row>
    <row r="330" spans="1:32">
      <c r="A330" s="8" t="s">
        <v>1096</v>
      </c>
      <c r="B330" s="36" t="s">
        <v>905</v>
      </c>
      <c r="C330" s="8" t="s">
        <v>645</v>
      </c>
      <c r="D330" s="12">
        <v>850</v>
      </c>
      <c r="E330" s="6">
        <v>2.8</v>
      </c>
      <c r="F330" s="11">
        <f>5*3600*24</f>
        <v>432000</v>
      </c>
      <c r="G330" s="9">
        <v>7.2976735414337512E-14</v>
      </c>
      <c r="H330" s="10">
        <f t="shared" si="15"/>
        <v>0.35511096687651766</v>
      </c>
      <c r="I330" s="13" t="s">
        <v>906</v>
      </c>
      <c r="J330" s="6" t="s">
        <v>907</v>
      </c>
      <c r="K330" s="6">
        <v>60</v>
      </c>
      <c r="L330" s="6">
        <v>1</v>
      </c>
      <c r="M330" s="6">
        <v>1</v>
      </c>
      <c r="N330" s="6">
        <v>1</v>
      </c>
      <c r="O330" s="6">
        <v>1</v>
      </c>
      <c r="P330" s="14">
        <v>67.680000000000007</v>
      </c>
      <c r="Q330" s="14">
        <v>0.56999999999999995</v>
      </c>
      <c r="R330" s="14">
        <v>18.12</v>
      </c>
      <c r="S330" s="14"/>
      <c r="T330" s="14">
        <v>2.2799999999999998</v>
      </c>
      <c r="U330" s="14">
        <v>0.11</v>
      </c>
      <c r="V330" s="14">
        <v>0.31</v>
      </c>
      <c r="W330" s="14">
        <v>2.4500000000000002</v>
      </c>
      <c r="X330" s="14">
        <v>4.07</v>
      </c>
      <c r="Y330" s="14">
        <v>4.25</v>
      </c>
      <c r="Z330" s="14">
        <v>0.06</v>
      </c>
      <c r="AA330" s="14"/>
      <c r="AB330" s="14">
        <v>88.77</v>
      </c>
      <c r="AC330" s="15">
        <v>7.5</v>
      </c>
      <c r="AD330" s="14" t="s">
        <v>900</v>
      </c>
      <c r="AF330" s="6" t="s">
        <v>1179</v>
      </c>
    </row>
    <row r="331" spans="1:32">
      <c r="A331" s="8" t="s">
        <v>1096</v>
      </c>
      <c r="B331" s="36" t="s">
        <v>911</v>
      </c>
      <c r="C331" s="8" t="s">
        <v>645</v>
      </c>
      <c r="D331" s="12">
        <v>900</v>
      </c>
      <c r="E331" s="6">
        <v>3.7</v>
      </c>
      <c r="F331" s="11">
        <f>4.5*3600*24</f>
        <v>388800</v>
      </c>
      <c r="G331" s="9">
        <v>1.4274849337614078E-13</v>
      </c>
      <c r="H331" s="10">
        <f t="shared" si="15"/>
        <v>0.47117136680678523</v>
      </c>
      <c r="I331" s="13" t="s">
        <v>41</v>
      </c>
      <c r="J331" s="6" t="s">
        <v>899</v>
      </c>
      <c r="K331" s="6">
        <v>84</v>
      </c>
      <c r="L331" s="6">
        <v>1</v>
      </c>
      <c r="M331" s="6">
        <v>1</v>
      </c>
      <c r="N331" s="6">
        <v>1</v>
      </c>
      <c r="O331" s="6">
        <v>1</v>
      </c>
      <c r="P331" s="14">
        <v>65.3</v>
      </c>
      <c r="Q331" s="14">
        <v>0.5</v>
      </c>
      <c r="R331" s="14">
        <v>20.78</v>
      </c>
      <c r="S331" s="14"/>
      <c r="T331" s="14">
        <v>1.1299999999999999</v>
      </c>
      <c r="U331" s="14">
        <v>0.18</v>
      </c>
      <c r="V331" s="14">
        <v>0.09</v>
      </c>
      <c r="W331" s="14">
        <v>4.46</v>
      </c>
      <c r="X331" s="14">
        <v>4.01</v>
      </c>
      <c r="Y331" s="14">
        <v>3.48</v>
      </c>
      <c r="Z331" s="14">
        <v>7.0000000000000007E-2</v>
      </c>
      <c r="AA331" s="14"/>
      <c r="AB331" s="14">
        <v>87.58</v>
      </c>
      <c r="AC331" s="15">
        <v>9.5</v>
      </c>
      <c r="AD331" s="14" t="s">
        <v>900</v>
      </c>
    </row>
    <row r="332" spans="1:32">
      <c r="A332" s="8" t="s">
        <v>1087</v>
      </c>
      <c r="B332" s="6" t="s">
        <v>742</v>
      </c>
      <c r="C332" s="8" t="s">
        <v>645</v>
      </c>
      <c r="D332" s="6">
        <v>1020</v>
      </c>
      <c r="E332" s="6">
        <v>2</v>
      </c>
      <c r="F332" s="11">
        <f>12*3600</f>
        <v>43200</v>
      </c>
      <c r="G332" s="9">
        <v>5.7805003093367194E-13</v>
      </c>
      <c r="H332" s="10">
        <f t="shared" si="15"/>
        <v>0.31604911856440687</v>
      </c>
      <c r="I332" s="6" t="s">
        <v>743</v>
      </c>
      <c r="J332" s="6" t="s">
        <v>744</v>
      </c>
      <c r="K332" s="6">
        <v>33.299999999999997</v>
      </c>
      <c r="L332" s="6">
        <v>1</v>
      </c>
      <c r="M332" s="6">
        <v>1</v>
      </c>
      <c r="N332" s="6">
        <v>1</v>
      </c>
      <c r="O332" s="6">
        <v>1</v>
      </c>
      <c r="P332" s="6">
        <v>50.64</v>
      </c>
      <c r="Q332" s="6">
        <v>2.76</v>
      </c>
      <c r="R332" s="6">
        <v>16.55</v>
      </c>
      <c r="T332" s="6">
        <v>11.44</v>
      </c>
      <c r="U332" s="6">
        <v>0.34</v>
      </c>
      <c r="V332" s="6">
        <v>3.23</v>
      </c>
      <c r="W332" s="6">
        <v>7.85</v>
      </c>
      <c r="X332" s="6">
        <v>4.3099999999999996</v>
      </c>
      <c r="Y332" s="6">
        <v>1.62</v>
      </c>
      <c r="Z332" s="6">
        <v>1.26</v>
      </c>
      <c r="AA332" s="6">
        <v>0.05</v>
      </c>
      <c r="AC332" s="6">
        <v>1.1000000000000001</v>
      </c>
      <c r="AD332" s="6" t="s">
        <v>745</v>
      </c>
    </row>
    <row r="333" spans="1:32">
      <c r="A333" s="8" t="s">
        <v>1087</v>
      </c>
      <c r="B333" s="6" t="s">
        <v>746</v>
      </c>
      <c r="C333" s="8" t="s">
        <v>645</v>
      </c>
      <c r="D333" s="6">
        <v>1000</v>
      </c>
      <c r="E333" s="6">
        <v>2</v>
      </c>
      <c r="F333" s="11">
        <f>24*3600</f>
        <v>86400</v>
      </c>
      <c r="G333" s="9">
        <v>4.6632042652511761E-13</v>
      </c>
      <c r="H333" s="10">
        <f t="shared" si="15"/>
        <v>0.40144780408800429</v>
      </c>
      <c r="I333" s="6" t="s">
        <v>41</v>
      </c>
      <c r="J333" s="6" t="s">
        <v>747</v>
      </c>
      <c r="K333" s="6">
        <v>87.4</v>
      </c>
      <c r="L333" s="6">
        <v>1</v>
      </c>
      <c r="M333" s="6">
        <v>1</v>
      </c>
      <c r="N333" s="6">
        <v>1</v>
      </c>
      <c r="O333" s="6">
        <v>1</v>
      </c>
      <c r="P333" s="6">
        <v>49.21</v>
      </c>
      <c r="Q333" s="6">
        <v>2.92</v>
      </c>
      <c r="R333" s="6">
        <v>17.98</v>
      </c>
      <c r="T333" s="6">
        <v>9.9700000000000006</v>
      </c>
      <c r="U333" s="6">
        <v>0.25</v>
      </c>
      <c r="V333" s="6">
        <v>4.24</v>
      </c>
      <c r="W333" s="6">
        <v>10.220000000000001</v>
      </c>
      <c r="X333" s="6">
        <v>3.57</v>
      </c>
      <c r="Y333" s="6">
        <v>0.71</v>
      </c>
      <c r="Z333" s="6">
        <v>0.93</v>
      </c>
      <c r="AA333" s="6">
        <v>0.21</v>
      </c>
      <c r="AC333" s="6">
        <v>5.0999999999999996</v>
      </c>
      <c r="AD333" s="6" t="s">
        <v>745</v>
      </c>
    </row>
    <row r="334" spans="1:32">
      <c r="A334" s="8" t="s">
        <v>1087</v>
      </c>
      <c r="B334" s="6" t="s">
        <v>748</v>
      </c>
      <c r="C334" s="8" t="s">
        <v>645</v>
      </c>
      <c r="D334" s="6">
        <v>1000</v>
      </c>
      <c r="E334" s="6">
        <v>2</v>
      </c>
      <c r="F334" s="11">
        <f>24*3600</f>
        <v>86400</v>
      </c>
      <c r="G334" s="9">
        <v>4.6632042652511761E-13</v>
      </c>
      <c r="H334" s="10">
        <f t="shared" si="15"/>
        <v>0.40144780408800429</v>
      </c>
      <c r="I334" s="6" t="s">
        <v>749</v>
      </c>
      <c r="J334" s="6" t="s">
        <v>750</v>
      </c>
      <c r="K334" s="6">
        <v>56</v>
      </c>
      <c r="L334" s="6">
        <v>1</v>
      </c>
      <c r="M334" s="6">
        <v>1</v>
      </c>
      <c r="N334" s="6">
        <v>1</v>
      </c>
      <c r="O334" s="6">
        <v>1</v>
      </c>
      <c r="P334" s="6">
        <v>52.87</v>
      </c>
      <c r="Q334" s="6">
        <v>2.1800000000000002</v>
      </c>
      <c r="R334" s="6">
        <v>18.78</v>
      </c>
      <c r="T334" s="6">
        <v>8.65</v>
      </c>
      <c r="U334" s="6">
        <v>0.31</v>
      </c>
      <c r="V334" s="6">
        <v>2.99</v>
      </c>
      <c r="W334" s="6">
        <v>7.4</v>
      </c>
      <c r="X334" s="6">
        <v>4.87</v>
      </c>
      <c r="Y334" s="6">
        <v>1.33</v>
      </c>
      <c r="Z334" s="6">
        <v>0.61</v>
      </c>
      <c r="AA334" s="6">
        <v>0.09</v>
      </c>
      <c r="AC334" s="6">
        <v>3.9</v>
      </c>
      <c r="AD334" s="6" t="s">
        <v>745</v>
      </c>
    </row>
    <row r="335" spans="1:32">
      <c r="A335" s="8" t="s">
        <v>1087</v>
      </c>
      <c r="B335" s="6" t="s">
        <v>751</v>
      </c>
      <c r="C335" s="8" t="s">
        <v>645</v>
      </c>
      <c r="D335" s="6">
        <v>1000</v>
      </c>
      <c r="E335" s="6">
        <v>2</v>
      </c>
      <c r="F335" s="11">
        <f>24*3600</f>
        <v>86400</v>
      </c>
      <c r="G335" s="9">
        <v>4.6632042652511761E-13</v>
      </c>
      <c r="H335" s="10">
        <f t="shared" si="15"/>
        <v>0.40144780408800429</v>
      </c>
      <c r="I335" s="6" t="s">
        <v>752</v>
      </c>
      <c r="J335" s="6" t="s">
        <v>753</v>
      </c>
      <c r="K335" s="6">
        <v>46.6</v>
      </c>
      <c r="L335" s="6">
        <v>1</v>
      </c>
      <c r="M335" s="6">
        <v>1</v>
      </c>
      <c r="N335" s="6">
        <v>1</v>
      </c>
      <c r="O335" s="6">
        <v>1</v>
      </c>
      <c r="P335" s="6">
        <v>53.2</v>
      </c>
      <c r="Q335" s="6">
        <v>2.0299999999999998</v>
      </c>
      <c r="R335" s="6">
        <v>17.72</v>
      </c>
      <c r="T335" s="6">
        <v>10.81</v>
      </c>
      <c r="U335" s="6">
        <v>0.32</v>
      </c>
      <c r="V335" s="6">
        <v>2.4</v>
      </c>
      <c r="W335" s="6">
        <v>6.73</v>
      </c>
      <c r="X335" s="6">
        <v>4.78</v>
      </c>
      <c r="Y335" s="6">
        <v>1.25</v>
      </c>
      <c r="Z335" s="6">
        <v>0.75</v>
      </c>
      <c r="AA335" s="6">
        <v>0.08</v>
      </c>
      <c r="AC335" s="6">
        <v>3.2</v>
      </c>
      <c r="AD335" s="6" t="s">
        <v>745</v>
      </c>
    </row>
    <row r="336" spans="1:32">
      <c r="A336" s="8" t="s">
        <v>1087</v>
      </c>
      <c r="B336" s="6" t="s">
        <v>754</v>
      </c>
      <c r="C336" s="8" t="s">
        <v>645</v>
      </c>
      <c r="D336" s="6">
        <v>1000</v>
      </c>
      <c r="E336" s="6">
        <v>2</v>
      </c>
      <c r="F336" s="11">
        <f>24*3600</f>
        <v>86400</v>
      </c>
      <c r="G336" s="9">
        <v>4.6632042652511761E-13</v>
      </c>
      <c r="H336" s="10">
        <f t="shared" si="15"/>
        <v>0.40144780408800429</v>
      </c>
      <c r="I336" s="6" t="s">
        <v>755</v>
      </c>
      <c r="J336" s="6" t="s">
        <v>753</v>
      </c>
      <c r="K336" s="6">
        <v>35.4</v>
      </c>
      <c r="L336" s="6">
        <v>1</v>
      </c>
      <c r="M336" s="6">
        <v>1</v>
      </c>
      <c r="N336" s="6">
        <v>1</v>
      </c>
      <c r="O336" s="6">
        <v>1</v>
      </c>
      <c r="P336" s="6">
        <v>54.52</v>
      </c>
      <c r="Q336" s="6">
        <v>1.85</v>
      </c>
      <c r="R336" s="6">
        <v>18.510000000000002</v>
      </c>
      <c r="T336" s="6">
        <v>8.75</v>
      </c>
      <c r="U336" s="6">
        <v>0.24</v>
      </c>
      <c r="V336" s="6">
        <v>2.1800000000000002</v>
      </c>
      <c r="W336" s="6">
        <v>5.96</v>
      </c>
      <c r="X336" s="6">
        <v>5.4</v>
      </c>
      <c r="Y336" s="6">
        <v>2.13</v>
      </c>
      <c r="Z336" s="6">
        <v>0.47</v>
      </c>
      <c r="AA336" s="6">
        <v>0.03</v>
      </c>
      <c r="AC336" s="6">
        <v>2.1</v>
      </c>
      <c r="AD336" s="6" t="s">
        <v>756</v>
      </c>
    </row>
    <row r="337" spans="1:32">
      <c r="A337" s="8" t="s">
        <v>1087</v>
      </c>
      <c r="B337" s="6" t="s">
        <v>757</v>
      </c>
      <c r="C337" s="8" t="s">
        <v>645</v>
      </c>
      <c r="D337" s="6">
        <v>975</v>
      </c>
      <c r="E337" s="6">
        <v>2</v>
      </c>
      <c r="F337" s="11">
        <f>48*3600</f>
        <v>172800</v>
      </c>
      <c r="G337" s="9">
        <v>3.530850559550637E-13</v>
      </c>
      <c r="H337" s="10">
        <f t="shared" si="15"/>
        <v>0.49401658947462485</v>
      </c>
      <c r="I337" s="6" t="s">
        <v>41</v>
      </c>
      <c r="J337" s="6" t="s">
        <v>758</v>
      </c>
      <c r="K337" s="6">
        <v>51.8</v>
      </c>
      <c r="L337" s="6">
        <v>1</v>
      </c>
      <c r="M337" s="6">
        <v>1</v>
      </c>
      <c r="N337" s="6">
        <v>1</v>
      </c>
      <c r="O337" s="6">
        <v>1</v>
      </c>
      <c r="P337" s="6">
        <v>54.74</v>
      </c>
      <c r="Q337" s="6">
        <v>1.59</v>
      </c>
      <c r="R337" s="6">
        <v>18.27</v>
      </c>
      <c r="T337" s="6">
        <v>9.09</v>
      </c>
      <c r="U337" s="6">
        <v>0.42</v>
      </c>
      <c r="V337" s="6">
        <v>2.12</v>
      </c>
      <c r="W337" s="6">
        <v>7.08</v>
      </c>
      <c r="X337" s="6">
        <v>4.45</v>
      </c>
      <c r="Y337" s="6">
        <v>1.18</v>
      </c>
      <c r="Z337" s="6">
        <v>0.33</v>
      </c>
      <c r="AA337" s="6">
        <v>0.04</v>
      </c>
      <c r="AC337" s="6">
        <v>5.6</v>
      </c>
      <c r="AD337" s="6" t="s">
        <v>745</v>
      </c>
    </row>
    <row r="338" spans="1:32">
      <c r="A338" s="8" t="s">
        <v>1087</v>
      </c>
      <c r="B338" s="6" t="s">
        <v>759</v>
      </c>
      <c r="C338" s="6" t="s">
        <v>645</v>
      </c>
      <c r="D338" s="6">
        <v>975</v>
      </c>
      <c r="E338" s="6">
        <v>2</v>
      </c>
      <c r="F338" s="11">
        <f>48*3600</f>
        <v>172800</v>
      </c>
      <c r="G338" s="9">
        <v>3.530850559550637E-13</v>
      </c>
      <c r="H338" s="10">
        <f t="shared" si="15"/>
        <v>0.49401658947462485</v>
      </c>
      <c r="I338" s="6" t="s">
        <v>760</v>
      </c>
      <c r="J338" s="6" t="s">
        <v>761</v>
      </c>
      <c r="K338" s="6">
        <v>38.200000000000003</v>
      </c>
      <c r="L338" s="6">
        <v>1</v>
      </c>
      <c r="M338" s="6">
        <v>1</v>
      </c>
      <c r="N338" s="6">
        <v>1</v>
      </c>
      <c r="O338" s="6">
        <v>1</v>
      </c>
      <c r="P338" s="6">
        <v>58.49</v>
      </c>
      <c r="Q338" s="6">
        <v>1.66</v>
      </c>
      <c r="R338" s="6">
        <v>18.11</v>
      </c>
      <c r="T338" s="6">
        <v>5.94</v>
      </c>
      <c r="U338" s="6">
        <v>0.15</v>
      </c>
      <c r="V338" s="6">
        <v>1.76</v>
      </c>
      <c r="W338" s="6">
        <v>7.27</v>
      </c>
      <c r="X338" s="6">
        <v>3.46</v>
      </c>
      <c r="Y338" s="6">
        <v>1.66</v>
      </c>
      <c r="Z338" s="6">
        <v>1.51</v>
      </c>
      <c r="AA338" s="6">
        <v>0.05</v>
      </c>
      <c r="AC338" s="6">
        <v>3.7</v>
      </c>
      <c r="AD338" s="6" t="s">
        <v>756</v>
      </c>
    </row>
    <row r="339" spans="1:32">
      <c r="A339" s="8" t="s">
        <v>1093</v>
      </c>
      <c r="B339" s="6" t="s">
        <v>836</v>
      </c>
      <c r="C339" s="8" t="s">
        <v>645</v>
      </c>
      <c r="D339" s="12">
        <v>975</v>
      </c>
      <c r="E339" s="6">
        <v>1</v>
      </c>
      <c r="F339" s="11">
        <f>1.1*24*3600</f>
        <v>95040.000000000015</v>
      </c>
      <c r="G339" s="9">
        <v>3.530850559550637E-13</v>
      </c>
      <c r="H339" s="10">
        <f t="shared" si="15"/>
        <v>0.36637250834618723</v>
      </c>
      <c r="I339" s="13" t="s">
        <v>41</v>
      </c>
      <c r="J339" s="6" t="s">
        <v>837</v>
      </c>
      <c r="K339" s="6">
        <v>83</v>
      </c>
      <c r="L339" s="6">
        <v>1</v>
      </c>
      <c r="M339" s="6">
        <v>0</v>
      </c>
      <c r="N339" s="6">
        <v>0</v>
      </c>
      <c r="O339" s="6">
        <v>0</v>
      </c>
      <c r="P339" s="14">
        <v>60</v>
      </c>
      <c r="Q339" s="14">
        <v>0.28000000000000003</v>
      </c>
      <c r="R339" s="14">
        <v>13</v>
      </c>
      <c r="S339" s="14"/>
      <c r="T339" s="14">
        <v>9.8000000000000007</v>
      </c>
      <c r="U339" s="14">
        <v>0.5</v>
      </c>
      <c r="V339" s="14">
        <v>0.96</v>
      </c>
      <c r="W339" s="14">
        <v>7.4</v>
      </c>
      <c r="X339" s="14">
        <v>2</v>
      </c>
      <c r="Y339" s="14">
        <v>1.3</v>
      </c>
      <c r="Z339" s="14">
        <v>0.5</v>
      </c>
      <c r="AA339" s="14">
        <v>0.2</v>
      </c>
      <c r="AB339" s="14">
        <v>95.6</v>
      </c>
      <c r="AC339" s="15">
        <v>3.9</v>
      </c>
      <c r="AD339" s="6" t="s">
        <v>43</v>
      </c>
      <c r="AF339" s="6" t="s">
        <v>1172</v>
      </c>
    </row>
    <row r="340" spans="1:32">
      <c r="A340" s="8" t="s">
        <v>1093</v>
      </c>
      <c r="B340" s="6" t="s">
        <v>838</v>
      </c>
      <c r="C340" s="8" t="s">
        <v>645</v>
      </c>
      <c r="D340" s="12">
        <v>950</v>
      </c>
      <c r="E340" s="6">
        <v>1</v>
      </c>
      <c r="F340" s="11">
        <f>24*3600</f>
        <v>86400</v>
      </c>
      <c r="G340" s="9">
        <v>2.6432360916877484E-13</v>
      </c>
      <c r="H340" s="10">
        <f t="shared" si="15"/>
        <v>0.30224202111673448</v>
      </c>
      <c r="I340" s="13" t="s">
        <v>41</v>
      </c>
      <c r="J340" s="6" t="s">
        <v>839</v>
      </c>
      <c r="K340" s="6">
        <v>71</v>
      </c>
      <c r="L340" s="6">
        <v>1</v>
      </c>
      <c r="M340" s="6">
        <v>0</v>
      </c>
      <c r="N340" s="6">
        <v>0</v>
      </c>
      <c r="O340" s="6">
        <v>0</v>
      </c>
      <c r="P340" s="14">
        <v>65</v>
      </c>
      <c r="Q340" s="14">
        <v>0.23</v>
      </c>
      <c r="R340" s="14">
        <v>12.3</v>
      </c>
      <c r="S340" s="14"/>
      <c r="T340" s="14">
        <v>7.5</v>
      </c>
      <c r="U340" s="14">
        <v>0.4</v>
      </c>
      <c r="V340" s="14">
        <v>0.62</v>
      </c>
      <c r="W340" s="14">
        <v>6.2</v>
      </c>
      <c r="X340" s="14">
        <v>2</v>
      </c>
      <c r="Y340" s="14">
        <v>1.32</v>
      </c>
      <c r="Z340" s="14">
        <v>0.3</v>
      </c>
      <c r="AA340" s="14">
        <v>0.1</v>
      </c>
      <c r="AB340" s="14">
        <v>96</v>
      </c>
      <c r="AC340" s="15">
        <v>4.0599999999999996</v>
      </c>
      <c r="AD340" s="6" t="s">
        <v>43</v>
      </c>
      <c r="AF340" s="6" t="s">
        <v>1172</v>
      </c>
    </row>
    <row r="341" spans="1:32">
      <c r="A341" s="6" t="s">
        <v>1057</v>
      </c>
      <c r="B341" s="6">
        <v>99</v>
      </c>
      <c r="C341" s="6" t="s">
        <v>645</v>
      </c>
      <c r="D341" s="6">
        <v>800</v>
      </c>
      <c r="E341" s="6">
        <v>10</v>
      </c>
      <c r="F341" s="6">
        <v>1036800</v>
      </c>
      <c r="G341" s="9">
        <v>3.5046513928104248E-14</v>
      </c>
      <c r="H341" s="10">
        <f t="shared" si="15"/>
        <v>0.38124126555586024</v>
      </c>
      <c r="I341" s="6" t="s">
        <v>41</v>
      </c>
      <c r="J341" s="6" t="s">
        <v>340</v>
      </c>
      <c r="K341" s="6">
        <v>29.6</v>
      </c>
      <c r="L341" s="6">
        <v>1</v>
      </c>
      <c r="M341" s="6">
        <v>1</v>
      </c>
      <c r="N341" s="6">
        <v>1</v>
      </c>
      <c r="O341" s="6">
        <v>1</v>
      </c>
      <c r="P341" s="6">
        <v>68.72</v>
      </c>
      <c r="Q341" s="6">
        <v>0.61</v>
      </c>
      <c r="R341" s="6">
        <v>17.059999999999999</v>
      </c>
      <c r="T341" s="6">
        <v>2.65</v>
      </c>
      <c r="U341" s="6">
        <v>7.0000000000000007E-2</v>
      </c>
      <c r="V341" s="6">
        <v>0.47</v>
      </c>
      <c r="W341" s="6">
        <v>5.73</v>
      </c>
      <c r="X341" s="6">
        <v>4.07</v>
      </c>
      <c r="Y341" s="6">
        <v>0.34</v>
      </c>
      <c r="Z341" s="6">
        <v>0.14000000000000001</v>
      </c>
      <c r="AA341" s="6">
        <v>0.1</v>
      </c>
      <c r="AB341" s="6">
        <v>88.3</v>
      </c>
      <c r="AC341" s="6">
        <v>12.6</v>
      </c>
      <c r="AD341" s="6" t="s">
        <v>341</v>
      </c>
      <c r="AF341" s="6" t="s">
        <v>1173</v>
      </c>
    </row>
    <row r="342" spans="1:32">
      <c r="A342" s="6" t="s">
        <v>1057</v>
      </c>
      <c r="B342" s="6">
        <v>70</v>
      </c>
      <c r="C342" s="6" t="s">
        <v>645</v>
      </c>
      <c r="D342" s="6">
        <v>800</v>
      </c>
      <c r="E342" s="6">
        <v>12</v>
      </c>
      <c r="F342" s="6">
        <v>867600</v>
      </c>
      <c r="G342" s="9">
        <v>3.5046513928104248E-14</v>
      </c>
      <c r="H342" s="10">
        <f t="shared" si="15"/>
        <v>0.34874836477909538</v>
      </c>
      <c r="I342" s="6" t="s">
        <v>41</v>
      </c>
      <c r="J342" s="6" t="s">
        <v>340</v>
      </c>
      <c r="K342" s="6">
        <v>25.4</v>
      </c>
      <c r="L342" s="6">
        <v>1</v>
      </c>
      <c r="M342" s="6">
        <v>1</v>
      </c>
      <c r="N342" s="6">
        <v>1</v>
      </c>
      <c r="O342" s="6">
        <v>1</v>
      </c>
      <c r="P342" s="6">
        <v>72.59</v>
      </c>
      <c r="Q342" s="6">
        <v>0.26</v>
      </c>
      <c r="R342" s="6">
        <v>15.77</v>
      </c>
      <c r="T342" s="6">
        <v>1.98</v>
      </c>
      <c r="U342" s="6">
        <v>0.06</v>
      </c>
      <c r="V342" s="6">
        <v>0.36</v>
      </c>
      <c r="W342" s="6">
        <v>4.3</v>
      </c>
      <c r="X342" s="6">
        <v>4.04</v>
      </c>
      <c r="Y342" s="6">
        <v>0.45</v>
      </c>
      <c r="Z342" s="6">
        <v>0.11</v>
      </c>
      <c r="AA342" s="6">
        <v>0.08</v>
      </c>
      <c r="AB342" s="6">
        <v>89.85</v>
      </c>
      <c r="AC342" s="6">
        <v>12.2</v>
      </c>
      <c r="AD342" s="6" t="s">
        <v>341</v>
      </c>
      <c r="AF342" s="6" t="s">
        <v>1173</v>
      </c>
    </row>
    <row r="343" spans="1:32">
      <c r="A343" s="6" t="s">
        <v>1057</v>
      </c>
      <c r="B343" s="6">
        <v>71</v>
      </c>
      <c r="C343" s="6" t="s">
        <v>645</v>
      </c>
      <c r="D343" s="6">
        <v>800</v>
      </c>
      <c r="E343" s="6">
        <v>14</v>
      </c>
      <c r="F343" s="6">
        <v>939600</v>
      </c>
      <c r="G343" s="9">
        <v>3.5046513928104248E-14</v>
      </c>
      <c r="H343" s="10">
        <f t="shared" si="15"/>
        <v>0.36293087213323005</v>
      </c>
      <c r="I343" s="6" t="s">
        <v>41</v>
      </c>
      <c r="J343" s="6" t="s">
        <v>342</v>
      </c>
      <c r="K343" s="6">
        <v>16.600000000000001</v>
      </c>
      <c r="L343" s="6">
        <v>1</v>
      </c>
      <c r="M343" s="6">
        <v>1</v>
      </c>
      <c r="N343" s="6">
        <v>1</v>
      </c>
      <c r="O343" s="6">
        <v>1</v>
      </c>
      <c r="P343" s="6">
        <v>73.36</v>
      </c>
      <c r="Q343" s="6">
        <v>0.22</v>
      </c>
      <c r="R343" s="6">
        <v>15.61</v>
      </c>
      <c r="T343" s="6">
        <v>1.55</v>
      </c>
      <c r="U343" s="6">
        <v>0.01</v>
      </c>
      <c r="V343" s="6">
        <v>0.32</v>
      </c>
      <c r="W343" s="6">
        <v>3.41</v>
      </c>
      <c r="X343" s="6">
        <v>4.8899999999999997</v>
      </c>
      <c r="Y343" s="6">
        <v>0.49</v>
      </c>
      <c r="Z343" s="6">
        <v>0.04</v>
      </c>
      <c r="AA343" s="6">
        <v>0.03</v>
      </c>
      <c r="AB343" s="6">
        <v>89.65</v>
      </c>
      <c r="AC343" s="6">
        <v>20</v>
      </c>
      <c r="AD343" s="6" t="s">
        <v>341</v>
      </c>
      <c r="AF343" s="6" t="s">
        <v>1173</v>
      </c>
    </row>
    <row r="344" spans="1:32">
      <c r="A344" s="6" t="s">
        <v>1057</v>
      </c>
      <c r="B344" s="6">
        <v>73</v>
      </c>
      <c r="C344" s="6" t="s">
        <v>645</v>
      </c>
      <c r="D344" s="6">
        <v>800</v>
      </c>
      <c r="E344" s="6">
        <v>16</v>
      </c>
      <c r="F344" s="6">
        <v>1018800</v>
      </c>
      <c r="G344" s="9">
        <v>3.5046513928104248E-14</v>
      </c>
      <c r="H344" s="10">
        <f t="shared" si="15"/>
        <v>0.37791738986160778</v>
      </c>
      <c r="I344" s="6" t="s">
        <v>41</v>
      </c>
      <c r="J344" s="6" t="s">
        <v>343</v>
      </c>
      <c r="K344" s="6">
        <v>25</v>
      </c>
      <c r="L344" s="6">
        <v>1</v>
      </c>
      <c r="M344" s="6">
        <v>1</v>
      </c>
      <c r="N344" s="6">
        <v>1</v>
      </c>
      <c r="O344" s="6">
        <v>1</v>
      </c>
      <c r="P344" s="6">
        <v>73.34</v>
      </c>
      <c r="Q344" s="6">
        <v>0.21</v>
      </c>
      <c r="R344" s="6">
        <v>15.91</v>
      </c>
      <c r="T344" s="6">
        <v>1.35</v>
      </c>
      <c r="U344" s="6">
        <v>0.02</v>
      </c>
      <c r="V344" s="6">
        <v>0.3</v>
      </c>
      <c r="W344" s="6">
        <v>2.88</v>
      </c>
      <c r="X344" s="6">
        <v>5.05</v>
      </c>
      <c r="Y344" s="6">
        <v>0.65</v>
      </c>
      <c r="Z344" s="6">
        <v>0.13</v>
      </c>
      <c r="AA344" s="6">
        <v>0.06</v>
      </c>
      <c r="AB344" s="6">
        <v>90.44</v>
      </c>
      <c r="AC344" s="6">
        <v>16.3</v>
      </c>
      <c r="AD344" s="6" t="s">
        <v>341</v>
      </c>
      <c r="AF344" s="6" t="s">
        <v>1173</v>
      </c>
    </row>
    <row r="345" spans="1:32">
      <c r="A345" s="6" t="s">
        <v>1057</v>
      </c>
      <c r="B345" s="6">
        <v>75</v>
      </c>
      <c r="C345" s="6" t="s">
        <v>645</v>
      </c>
      <c r="D345" s="6">
        <v>800</v>
      </c>
      <c r="E345" s="6">
        <v>18</v>
      </c>
      <c r="F345" s="6">
        <v>781200</v>
      </c>
      <c r="G345" s="9">
        <v>3.5046513928104248E-14</v>
      </c>
      <c r="H345" s="10">
        <f t="shared" si="15"/>
        <v>0.33092800836819503</v>
      </c>
      <c r="I345" s="6" t="s">
        <v>41</v>
      </c>
      <c r="J345" s="6" t="s">
        <v>343</v>
      </c>
      <c r="K345" s="6">
        <v>21.6</v>
      </c>
      <c r="L345" s="6">
        <v>1</v>
      </c>
      <c r="M345" s="6">
        <v>1</v>
      </c>
      <c r="N345" s="6">
        <v>1</v>
      </c>
      <c r="O345" s="6">
        <v>1</v>
      </c>
      <c r="P345" s="6">
        <v>74.430000000000007</v>
      </c>
      <c r="Q345" s="6">
        <v>0.21</v>
      </c>
      <c r="R345" s="6">
        <v>15.71</v>
      </c>
      <c r="T345" s="6">
        <v>0.91</v>
      </c>
      <c r="U345" s="6">
        <v>0.03</v>
      </c>
      <c r="V345" s="6">
        <v>0.2</v>
      </c>
      <c r="W345" s="6">
        <v>1.89</v>
      </c>
      <c r="X345" s="6">
        <v>5.58</v>
      </c>
      <c r="Y345" s="6">
        <v>0.88</v>
      </c>
      <c r="Z345" s="6">
        <v>0.11</v>
      </c>
      <c r="AA345" s="6">
        <v>0.06</v>
      </c>
      <c r="AB345" s="6">
        <v>90.79</v>
      </c>
      <c r="AC345" s="6">
        <v>15.1</v>
      </c>
      <c r="AD345" s="6" t="s">
        <v>341</v>
      </c>
      <c r="AF345" s="6" t="s">
        <v>1173</v>
      </c>
    </row>
    <row r="346" spans="1:32">
      <c r="A346" s="6" t="s">
        <v>1057</v>
      </c>
      <c r="B346" s="6">
        <v>146</v>
      </c>
      <c r="C346" s="6" t="s">
        <v>645</v>
      </c>
      <c r="D346" s="6">
        <v>800</v>
      </c>
      <c r="E346" s="6">
        <v>20</v>
      </c>
      <c r="F346" s="6">
        <v>1116000</v>
      </c>
      <c r="G346" s="9">
        <v>3.5046513928104248E-14</v>
      </c>
      <c r="H346" s="10">
        <f t="shared" si="15"/>
        <v>0.39553462323171829</v>
      </c>
      <c r="I346" s="6" t="s">
        <v>41</v>
      </c>
      <c r="J346" s="6" t="s">
        <v>344</v>
      </c>
      <c r="K346" s="6">
        <v>22.2</v>
      </c>
      <c r="L346" s="6">
        <v>1</v>
      </c>
      <c r="M346" s="6">
        <v>1</v>
      </c>
      <c r="N346" s="6">
        <v>1</v>
      </c>
      <c r="O346" s="6">
        <v>1</v>
      </c>
      <c r="P346" s="6">
        <v>73.89</v>
      </c>
      <c r="Q346" s="6">
        <v>0.25</v>
      </c>
      <c r="R346" s="6">
        <v>15.63</v>
      </c>
      <c r="T346" s="6">
        <v>0.94</v>
      </c>
      <c r="U346" s="6">
        <v>0.02</v>
      </c>
      <c r="V346" s="6">
        <v>0.17</v>
      </c>
      <c r="W346" s="6">
        <v>1.56</v>
      </c>
      <c r="X346" s="6">
        <v>6.35</v>
      </c>
      <c r="Y346" s="6">
        <v>0.96</v>
      </c>
      <c r="Z346" s="6">
        <v>0.1</v>
      </c>
      <c r="AA346" s="6">
        <v>0.05</v>
      </c>
      <c r="AB346" s="6">
        <v>88.15</v>
      </c>
      <c r="AC346" s="6">
        <v>20.2</v>
      </c>
      <c r="AD346" s="6" t="s">
        <v>341</v>
      </c>
      <c r="AF346" s="6" t="s">
        <v>1173</v>
      </c>
    </row>
    <row r="347" spans="1:32">
      <c r="A347" s="6" t="s">
        <v>1057</v>
      </c>
      <c r="B347" s="6">
        <v>53</v>
      </c>
      <c r="C347" s="6" t="s">
        <v>645</v>
      </c>
      <c r="D347" s="6">
        <v>900</v>
      </c>
      <c r="E347" s="6">
        <v>8</v>
      </c>
      <c r="F347" s="6">
        <v>356400</v>
      </c>
      <c r="G347" s="9">
        <v>1.4274849337614078E-13</v>
      </c>
      <c r="H347" s="10">
        <f t="shared" si="15"/>
        <v>0.45111223897942104</v>
      </c>
      <c r="I347" s="6" t="s">
        <v>41</v>
      </c>
      <c r="J347" s="6" t="s">
        <v>346</v>
      </c>
      <c r="K347" s="6">
        <v>34.799999999999997</v>
      </c>
      <c r="L347" s="6">
        <v>1</v>
      </c>
      <c r="M347" s="6">
        <v>1</v>
      </c>
      <c r="N347" s="6">
        <v>1</v>
      </c>
      <c r="O347" s="6">
        <v>1</v>
      </c>
      <c r="P347" s="6">
        <v>64.03</v>
      </c>
      <c r="Q347" s="6">
        <v>0.62</v>
      </c>
      <c r="R347" s="6">
        <v>18.37</v>
      </c>
      <c r="T347" s="6">
        <v>5.27</v>
      </c>
      <c r="U347" s="6">
        <v>0.12</v>
      </c>
      <c r="V347" s="6">
        <v>0.7</v>
      </c>
      <c r="W347" s="6">
        <v>6.29</v>
      </c>
      <c r="X347" s="6">
        <v>3.7</v>
      </c>
      <c r="Y347" s="6">
        <v>0.36</v>
      </c>
      <c r="Z347" s="6">
        <v>0.4</v>
      </c>
      <c r="AA347" s="6">
        <v>7.0000000000000007E-2</v>
      </c>
      <c r="AB347" s="6">
        <v>89.64</v>
      </c>
      <c r="AC347" s="6">
        <v>10</v>
      </c>
      <c r="AD347" s="6" t="s">
        <v>341</v>
      </c>
      <c r="AF347" s="6" t="s">
        <v>1173</v>
      </c>
    </row>
    <row r="348" spans="1:32">
      <c r="A348" s="6" t="s">
        <v>1057</v>
      </c>
      <c r="B348" s="6">
        <v>55</v>
      </c>
      <c r="C348" s="6" t="s">
        <v>645</v>
      </c>
      <c r="D348" s="6">
        <v>900</v>
      </c>
      <c r="E348" s="6">
        <v>10</v>
      </c>
      <c r="F348" s="6">
        <v>342000</v>
      </c>
      <c r="G348" s="9">
        <v>1.4274849337614078E-13</v>
      </c>
      <c r="H348" s="10">
        <f t="shared" si="15"/>
        <v>0.44190489807034339</v>
      </c>
      <c r="I348" s="6" t="s">
        <v>41</v>
      </c>
      <c r="J348" s="6" t="s">
        <v>346</v>
      </c>
      <c r="K348" s="6">
        <v>33.6</v>
      </c>
      <c r="L348" s="6">
        <v>1</v>
      </c>
      <c r="M348" s="6">
        <v>1</v>
      </c>
      <c r="N348" s="6">
        <v>1</v>
      </c>
      <c r="O348" s="6">
        <v>1</v>
      </c>
      <c r="P348" s="6">
        <v>64.88</v>
      </c>
      <c r="Q348" s="6">
        <v>0.67</v>
      </c>
      <c r="R348" s="6">
        <v>18.05</v>
      </c>
      <c r="T348" s="6">
        <v>4.8099999999999996</v>
      </c>
      <c r="U348" s="6">
        <v>0.09</v>
      </c>
      <c r="V348" s="6">
        <v>0.91</v>
      </c>
      <c r="W348" s="6">
        <v>6.02</v>
      </c>
      <c r="X348" s="6">
        <v>3.84</v>
      </c>
      <c r="Y348" s="6">
        <v>0.38</v>
      </c>
      <c r="Z348" s="6">
        <v>0.34</v>
      </c>
      <c r="AA348" s="6">
        <v>0.05</v>
      </c>
      <c r="AB348" s="6">
        <v>89.79</v>
      </c>
      <c r="AC348" s="6">
        <v>10.6</v>
      </c>
      <c r="AD348" s="6" t="s">
        <v>341</v>
      </c>
      <c r="AF348" s="6" t="s">
        <v>1173</v>
      </c>
    </row>
    <row r="349" spans="1:32">
      <c r="A349" s="6" t="s">
        <v>1057</v>
      </c>
      <c r="B349" s="6">
        <v>57</v>
      </c>
      <c r="C349" s="6" t="s">
        <v>645</v>
      </c>
      <c r="D349" s="6">
        <v>900</v>
      </c>
      <c r="E349" s="6">
        <v>12</v>
      </c>
      <c r="F349" s="6">
        <v>334800</v>
      </c>
      <c r="G349" s="9">
        <v>1.4274849337614078E-13</v>
      </c>
      <c r="H349" s="10">
        <f t="shared" si="15"/>
        <v>0.43722852414878849</v>
      </c>
      <c r="I349" s="6" t="s">
        <v>41</v>
      </c>
      <c r="J349" s="6" t="s">
        <v>347</v>
      </c>
      <c r="K349" s="6">
        <v>32.6</v>
      </c>
      <c r="L349" s="6">
        <v>1</v>
      </c>
      <c r="M349" s="6">
        <v>1</v>
      </c>
      <c r="N349" s="6">
        <v>1</v>
      </c>
      <c r="O349" s="6">
        <v>1</v>
      </c>
      <c r="P349" s="6">
        <v>65.69</v>
      </c>
      <c r="Q349" s="6">
        <v>0.79</v>
      </c>
      <c r="R349" s="6">
        <v>18.46</v>
      </c>
      <c r="T349" s="6">
        <v>3.65</v>
      </c>
      <c r="U349" s="6">
        <v>0.06</v>
      </c>
      <c r="V349" s="6">
        <v>0.64</v>
      </c>
      <c r="W349" s="6">
        <v>5.19</v>
      </c>
      <c r="X349" s="6">
        <v>4.51</v>
      </c>
      <c r="Y349" s="6">
        <v>0.41</v>
      </c>
      <c r="Z349" s="6">
        <v>0.4</v>
      </c>
      <c r="AA349" s="6">
        <v>0.06</v>
      </c>
      <c r="AB349" s="6">
        <v>89.22</v>
      </c>
      <c r="AC349" s="6">
        <v>11.1</v>
      </c>
      <c r="AD349" s="6" t="s">
        <v>341</v>
      </c>
      <c r="AF349" s="6" t="s">
        <v>1173</v>
      </c>
    </row>
    <row r="350" spans="1:32">
      <c r="A350" s="6" t="s">
        <v>1057</v>
      </c>
      <c r="B350" s="6">
        <v>59</v>
      </c>
      <c r="C350" s="6" t="s">
        <v>645</v>
      </c>
      <c r="D350" s="6">
        <v>900</v>
      </c>
      <c r="E350" s="6">
        <v>14</v>
      </c>
      <c r="F350" s="6">
        <v>262800</v>
      </c>
      <c r="G350" s="9">
        <v>1.4274849337614078E-13</v>
      </c>
      <c r="H350" s="10">
        <f t="shared" si="15"/>
        <v>0.38737219342255219</v>
      </c>
      <c r="I350" s="6" t="s">
        <v>41</v>
      </c>
      <c r="J350" s="6" t="s">
        <v>343</v>
      </c>
      <c r="K350" s="6">
        <v>29.1</v>
      </c>
      <c r="L350" s="6">
        <v>1</v>
      </c>
      <c r="M350" s="6">
        <v>1</v>
      </c>
      <c r="N350" s="6">
        <v>1</v>
      </c>
      <c r="O350" s="6">
        <v>1</v>
      </c>
      <c r="P350" s="6">
        <v>67.64</v>
      </c>
      <c r="Q350" s="6">
        <v>0.65</v>
      </c>
      <c r="R350" s="6">
        <v>17.440000000000001</v>
      </c>
      <c r="T350" s="6">
        <v>2.99</v>
      </c>
      <c r="U350" s="6">
        <v>0.05</v>
      </c>
      <c r="V350" s="6">
        <v>0.7</v>
      </c>
      <c r="W350" s="6">
        <v>3.08</v>
      </c>
      <c r="X350" s="6">
        <v>6.36</v>
      </c>
      <c r="Y350" s="6">
        <v>0.64</v>
      </c>
      <c r="Z350" s="6">
        <v>0.26</v>
      </c>
      <c r="AA350" s="6">
        <v>7.0000000000000007E-2</v>
      </c>
      <c r="AB350" s="6">
        <v>91.44</v>
      </c>
      <c r="AC350" s="6">
        <v>14.4</v>
      </c>
      <c r="AD350" s="6" t="s">
        <v>341</v>
      </c>
      <c r="AF350" s="6" t="s">
        <v>1173</v>
      </c>
    </row>
    <row r="351" spans="1:32">
      <c r="A351" s="6" t="s">
        <v>1057</v>
      </c>
      <c r="B351" s="6">
        <v>61</v>
      </c>
      <c r="C351" s="6" t="s">
        <v>645</v>
      </c>
      <c r="D351" s="6">
        <v>900</v>
      </c>
      <c r="E351" s="6">
        <v>16</v>
      </c>
      <c r="F351" s="6">
        <v>327600</v>
      </c>
      <c r="G351" s="9">
        <v>1.4274849337614078E-13</v>
      </c>
      <c r="H351" s="10">
        <f t="shared" si="15"/>
        <v>0.43250159042493114</v>
      </c>
      <c r="I351" s="6" t="s">
        <v>41</v>
      </c>
      <c r="J351" s="6" t="s">
        <v>344</v>
      </c>
      <c r="K351" s="6">
        <v>26.8</v>
      </c>
      <c r="L351" s="6">
        <v>1</v>
      </c>
      <c r="M351" s="6">
        <v>1</v>
      </c>
      <c r="N351" s="6">
        <v>1</v>
      </c>
      <c r="O351" s="6">
        <v>1</v>
      </c>
      <c r="P351" s="6">
        <v>69.86</v>
      </c>
      <c r="Q351" s="6">
        <v>0.52</v>
      </c>
      <c r="R351" s="6">
        <v>17.059999999999999</v>
      </c>
      <c r="T351" s="6">
        <v>2.35</v>
      </c>
      <c r="U351" s="6">
        <v>0.04</v>
      </c>
      <c r="V351" s="6">
        <v>0.45</v>
      </c>
      <c r="W351" s="6">
        <v>2.58</v>
      </c>
      <c r="X351" s="6">
        <v>5.92</v>
      </c>
      <c r="Y351" s="6">
        <v>0.82</v>
      </c>
      <c r="Z351" s="6">
        <v>0.14000000000000001</v>
      </c>
      <c r="AA351" s="6">
        <v>0.06</v>
      </c>
      <c r="AB351" s="6">
        <v>88.67</v>
      </c>
      <c r="AC351" s="6">
        <v>15.7</v>
      </c>
      <c r="AD351" s="6" t="s">
        <v>341</v>
      </c>
      <c r="AF351" s="6" t="s">
        <v>1173</v>
      </c>
    </row>
    <row r="352" spans="1:32">
      <c r="A352" s="6" t="s">
        <v>1057</v>
      </c>
      <c r="B352" s="6">
        <v>64</v>
      </c>
      <c r="C352" s="6" t="s">
        <v>645</v>
      </c>
      <c r="D352" s="6">
        <v>900</v>
      </c>
      <c r="E352" s="6">
        <v>18</v>
      </c>
      <c r="F352" s="6">
        <v>432000</v>
      </c>
      <c r="G352" s="9">
        <v>1.4274849337614078E-13</v>
      </c>
      <c r="H352" s="10">
        <f t="shared" si="15"/>
        <v>0.49665822912136592</v>
      </c>
      <c r="I352" s="6" t="s">
        <v>41</v>
      </c>
      <c r="J352" s="6" t="s">
        <v>344</v>
      </c>
      <c r="K352" s="6">
        <v>27.5</v>
      </c>
      <c r="L352" s="6">
        <v>1</v>
      </c>
      <c r="M352" s="6">
        <v>1</v>
      </c>
      <c r="N352" s="6">
        <v>1</v>
      </c>
      <c r="O352" s="6">
        <v>1</v>
      </c>
      <c r="P352" s="6">
        <v>72.47</v>
      </c>
      <c r="Q352" s="6">
        <v>0.5</v>
      </c>
      <c r="R352" s="6">
        <v>17.14</v>
      </c>
      <c r="T352" s="6">
        <v>1.48</v>
      </c>
      <c r="U352" s="6">
        <v>0.01</v>
      </c>
      <c r="V352" s="6">
        <v>0.27</v>
      </c>
      <c r="W352" s="6">
        <v>2.4300000000000002</v>
      </c>
      <c r="X352" s="6">
        <v>4.4800000000000004</v>
      </c>
      <c r="Y352" s="6">
        <v>0.75</v>
      </c>
      <c r="Z352" s="6">
        <v>0.23</v>
      </c>
      <c r="AA352" s="6">
        <v>0.18</v>
      </c>
      <c r="AB352" s="6">
        <v>87.93</v>
      </c>
      <c r="AC352" s="6">
        <v>16</v>
      </c>
      <c r="AD352" s="6" t="s">
        <v>341</v>
      </c>
      <c r="AF352" s="6" t="s">
        <v>1173</v>
      </c>
    </row>
    <row r="353" spans="1:30">
      <c r="A353" s="6" t="s">
        <v>1034</v>
      </c>
      <c r="B353" s="6" t="s">
        <v>68</v>
      </c>
      <c r="C353" s="6" t="s">
        <v>645</v>
      </c>
      <c r="D353" s="6">
        <v>950</v>
      </c>
      <c r="E353" s="6">
        <v>2</v>
      </c>
      <c r="F353" s="6">
        <f>71*3600</f>
        <v>255600</v>
      </c>
      <c r="G353" s="9">
        <v>2.6432360916877484E-13</v>
      </c>
      <c r="H353" s="10">
        <f t="shared" si="15"/>
        <v>0.5198504188842743</v>
      </c>
      <c r="I353" s="6" t="s">
        <v>41</v>
      </c>
      <c r="J353" s="6" t="s">
        <v>69</v>
      </c>
      <c r="K353" s="6">
        <v>67</v>
      </c>
      <c r="L353" s="6">
        <v>1</v>
      </c>
      <c r="M353" s="6">
        <v>1</v>
      </c>
      <c r="N353" s="6">
        <v>1</v>
      </c>
      <c r="O353" s="6">
        <v>1</v>
      </c>
      <c r="P353" s="6">
        <v>56.9</v>
      </c>
      <c r="Q353" s="6">
        <v>0.82</v>
      </c>
      <c r="R353" s="6">
        <v>18.600000000000001</v>
      </c>
      <c r="T353" s="6">
        <v>6.29</v>
      </c>
      <c r="U353" s="6">
        <v>0.18</v>
      </c>
      <c r="V353" s="6">
        <v>2.68</v>
      </c>
      <c r="W353" s="6">
        <v>7.23</v>
      </c>
      <c r="X353" s="6">
        <v>5.07</v>
      </c>
      <c r="Y353" s="6">
        <v>1.48</v>
      </c>
      <c r="Z353" s="6">
        <v>0.77</v>
      </c>
      <c r="AA353" s="6">
        <v>0.03</v>
      </c>
      <c r="AB353" s="6">
        <v>94.4</v>
      </c>
      <c r="AC353" s="6">
        <v>6.1</v>
      </c>
      <c r="AD353" s="6" t="s">
        <v>43</v>
      </c>
    </row>
    <row r="354" spans="1:30">
      <c r="A354" s="6" t="s">
        <v>1034</v>
      </c>
      <c r="B354" s="6" t="s">
        <v>70</v>
      </c>
      <c r="C354" s="6" t="s">
        <v>645</v>
      </c>
      <c r="D354" s="6">
        <v>925</v>
      </c>
      <c r="E354" s="6">
        <v>2</v>
      </c>
      <c r="F354" s="6">
        <f>66*3600</f>
        <v>237600</v>
      </c>
      <c r="G354" s="9">
        <v>1.9549928676947054E-13</v>
      </c>
      <c r="H354" s="10">
        <f t="shared" si="15"/>
        <v>0.43104816685111286</v>
      </c>
      <c r="I354" s="6" t="s">
        <v>41</v>
      </c>
      <c r="J354" s="6" t="s">
        <v>69</v>
      </c>
      <c r="K354" s="6">
        <v>51</v>
      </c>
      <c r="L354" s="6">
        <v>1</v>
      </c>
      <c r="M354" s="6">
        <v>1</v>
      </c>
      <c r="N354" s="6">
        <v>1</v>
      </c>
      <c r="O354" s="6">
        <v>1</v>
      </c>
      <c r="P354" s="6">
        <v>60</v>
      </c>
      <c r="Q354" s="6">
        <v>0.57999999999999996</v>
      </c>
      <c r="R354" s="6">
        <v>18.899999999999999</v>
      </c>
      <c r="T354" s="6">
        <v>5.27</v>
      </c>
      <c r="U354" s="6">
        <v>0.19</v>
      </c>
      <c r="V354" s="6">
        <v>1.76</v>
      </c>
      <c r="W354" s="6">
        <v>5.66</v>
      </c>
      <c r="X354" s="6">
        <v>5.44</v>
      </c>
      <c r="Y354" s="6">
        <v>1.78</v>
      </c>
      <c r="Z354" s="6">
        <v>0.37</v>
      </c>
      <c r="AA354" s="6">
        <v>0.04</v>
      </c>
      <c r="AB354" s="6">
        <v>93.9</v>
      </c>
      <c r="AC354" s="6">
        <v>6.29</v>
      </c>
      <c r="AD354" s="6" t="s">
        <v>43</v>
      </c>
    </row>
    <row r="355" spans="1:30">
      <c r="A355" s="6" t="s">
        <v>1034</v>
      </c>
      <c r="B355" s="6" t="s">
        <v>71</v>
      </c>
      <c r="C355" s="6" t="s">
        <v>645</v>
      </c>
      <c r="D355" s="6">
        <v>800</v>
      </c>
      <c r="E355" s="6">
        <v>2</v>
      </c>
      <c r="F355" s="6">
        <f>23*24*3600</f>
        <v>1987200</v>
      </c>
      <c r="G355" s="9">
        <v>3.5046513928104248E-14</v>
      </c>
      <c r="H355" s="10">
        <f t="shared" si="15"/>
        <v>0.5278046323325658</v>
      </c>
      <c r="I355" s="6" t="s">
        <v>41</v>
      </c>
      <c r="J355" s="6" t="s">
        <v>72</v>
      </c>
      <c r="L355" s="6">
        <v>1</v>
      </c>
      <c r="M355" s="6">
        <v>1</v>
      </c>
      <c r="N355" s="6">
        <v>1</v>
      </c>
      <c r="O355" s="6">
        <v>1</v>
      </c>
      <c r="P355" s="6">
        <v>73.099999999999994</v>
      </c>
      <c r="Q355" s="6">
        <v>0.19</v>
      </c>
      <c r="R355" s="6">
        <v>15</v>
      </c>
      <c r="T355" s="6">
        <v>1.58</v>
      </c>
      <c r="U355" s="6">
        <v>0.08</v>
      </c>
      <c r="V355" s="6">
        <v>0.19</v>
      </c>
      <c r="W355" s="6">
        <v>1.57</v>
      </c>
      <c r="X355" s="6">
        <v>3.74</v>
      </c>
      <c r="Y355" s="6">
        <v>4.5</v>
      </c>
      <c r="Z355" s="6">
        <v>0.05</v>
      </c>
      <c r="AA355" s="6">
        <v>0.01</v>
      </c>
      <c r="AB355" s="6">
        <v>91.3</v>
      </c>
      <c r="AC355" s="6">
        <v>6.33</v>
      </c>
      <c r="AD355" s="6" t="s">
        <v>43</v>
      </c>
    </row>
    <row r="356" spans="1:30">
      <c r="A356" s="6" t="s">
        <v>1033</v>
      </c>
      <c r="B356" s="6">
        <v>1578</v>
      </c>
      <c r="C356" s="6" t="s">
        <v>645</v>
      </c>
      <c r="D356" s="6">
        <v>975</v>
      </c>
      <c r="E356" s="6">
        <v>7</v>
      </c>
      <c r="F356" s="6">
        <f t="shared" ref="F356:F387" si="16">4*3600*24</f>
        <v>345600</v>
      </c>
      <c r="G356" s="9">
        <v>3.530850559550637E-13</v>
      </c>
      <c r="H356" s="10">
        <f t="shared" si="15"/>
        <v>0.69864496087231609</v>
      </c>
      <c r="I356" s="6">
        <v>2.3199999999999998</v>
      </c>
      <c r="J356" s="8" t="s">
        <v>46</v>
      </c>
      <c r="K356" s="6">
        <v>31</v>
      </c>
      <c r="L356" s="6">
        <v>1</v>
      </c>
      <c r="M356" s="6">
        <v>1</v>
      </c>
      <c r="N356" s="6">
        <v>1</v>
      </c>
      <c r="O356" s="6">
        <v>1</v>
      </c>
      <c r="P356" s="6">
        <v>57.1</v>
      </c>
      <c r="Q356" s="6">
        <v>1.01</v>
      </c>
      <c r="R356" s="6">
        <v>18.7</v>
      </c>
      <c r="T356" s="6">
        <v>7.55</v>
      </c>
      <c r="U356" s="6">
        <v>0.25</v>
      </c>
      <c r="V356" s="6">
        <v>2.3199999999999998</v>
      </c>
      <c r="W356" s="6">
        <v>5.53</v>
      </c>
      <c r="X356" s="6">
        <v>4.26</v>
      </c>
      <c r="Y356" s="6">
        <v>2.29</v>
      </c>
      <c r="Z356" s="6">
        <v>0.91</v>
      </c>
      <c r="AA356" s="6">
        <v>0.09</v>
      </c>
      <c r="AB356" s="6">
        <v>93.5</v>
      </c>
      <c r="AC356" s="6">
        <v>5.6515700000000004</v>
      </c>
      <c r="AD356" s="6" t="s">
        <v>1120</v>
      </c>
    </row>
    <row r="357" spans="1:30">
      <c r="A357" s="6" t="s">
        <v>1033</v>
      </c>
      <c r="B357" s="6">
        <v>1580</v>
      </c>
      <c r="C357" s="6" t="s">
        <v>645</v>
      </c>
      <c r="D357" s="6">
        <v>950</v>
      </c>
      <c r="E357" s="6">
        <v>7</v>
      </c>
      <c r="F357" s="6">
        <f t="shared" si="16"/>
        <v>345600</v>
      </c>
      <c r="G357" s="9">
        <v>2.6432360916877484E-13</v>
      </c>
      <c r="H357" s="10">
        <f t="shared" si="15"/>
        <v>0.60448404223346897</v>
      </c>
      <c r="I357" s="6">
        <v>2.3199999999999998</v>
      </c>
      <c r="J357" s="8" t="s">
        <v>48</v>
      </c>
      <c r="K357" s="6">
        <v>25</v>
      </c>
      <c r="L357" s="6">
        <v>1</v>
      </c>
      <c r="M357" s="6">
        <v>1</v>
      </c>
      <c r="N357" s="6">
        <v>1</v>
      </c>
      <c r="O357" s="6">
        <v>1</v>
      </c>
      <c r="P357" s="6">
        <v>57.9</v>
      </c>
      <c r="Q357" s="6">
        <v>0.79</v>
      </c>
      <c r="R357" s="6">
        <v>18.100000000000001</v>
      </c>
      <c r="T357" s="6">
        <v>8.32</v>
      </c>
      <c r="U357" s="6">
        <v>0.16</v>
      </c>
      <c r="V357" s="6">
        <v>1.83</v>
      </c>
      <c r="W357" s="6">
        <v>4.7</v>
      </c>
      <c r="X357" s="6">
        <v>4.68</v>
      </c>
      <c r="Y357" s="6">
        <v>2.65</v>
      </c>
      <c r="Z357" s="6">
        <v>0.7</v>
      </c>
      <c r="AA357" s="6">
        <v>7.0000000000000007E-2</v>
      </c>
      <c r="AB357" s="6">
        <v>94.8</v>
      </c>
      <c r="AC357" s="6">
        <v>6.8982299999999999</v>
      </c>
      <c r="AD357" s="6" t="s">
        <v>49</v>
      </c>
    </row>
    <row r="358" spans="1:30">
      <c r="A358" s="6" t="s">
        <v>1033</v>
      </c>
      <c r="B358" s="6">
        <v>1582</v>
      </c>
      <c r="C358" s="6" t="s">
        <v>645</v>
      </c>
      <c r="D358" s="6">
        <v>925</v>
      </c>
      <c r="E358" s="6">
        <v>7</v>
      </c>
      <c r="F358" s="6">
        <f t="shared" si="16"/>
        <v>345600</v>
      </c>
      <c r="G358" s="9">
        <v>1.9549928676947054E-13</v>
      </c>
      <c r="H358" s="10">
        <f t="shared" si="15"/>
        <v>0.51986364946023689</v>
      </c>
      <c r="I358" s="6">
        <v>2.3199999999999998</v>
      </c>
      <c r="J358" s="6" t="s">
        <v>48</v>
      </c>
      <c r="K358" s="6">
        <v>22</v>
      </c>
      <c r="L358" s="6">
        <v>1</v>
      </c>
      <c r="M358" s="6">
        <v>1</v>
      </c>
      <c r="N358" s="6">
        <v>1</v>
      </c>
      <c r="O358" s="6">
        <v>1</v>
      </c>
      <c r="P358" s="6">
        <v>59.7</v>
      </c>
      <c r="Q358" s="6">
        <v>0.56000000000000005</v>
      </c>
      <c r="R358" s="6">
        <v>18.3</v>
      </c>
      <c r="T358" s="6">
        <v>7.09</v>
      </c>
      <c r="U358" s="6">
        <v>0.22</v>
      </c>
      <c r="V358" s="6">
        <v>1.45</v>
      </c>
      <c r="W358" s="6">
        <v>4.43</v>
      </c>
      <c r="X358" s="6">
        <v>4.76</v>
      </c>
      <c r="Y358" s="6">
        <v>2.8</v>
      </c>
      <c r="Z358" s="6">
        <v>0.57999999999999996</v>
      </c>
      <c r="AA358" s="6">
        <v>7.0000000000000007E-2</v>
      </c>
      <c r="AB358" s="6">
        <v>93.9</v>
      </c>
      <c r="AC358" s="6">
        <v>7.7141500000000001</v>
      </c>
      <c r="AD358" s="6" t="s">
        <v>49</v>
      </c>
    </row>
    <row r="359" spans="1:30">
      <c r="A359" s="6" t="s">
        <v>1033</v>
      </c>
      <c r="B359" s="6">
        <v>1583</v>
      </c>
      <c r="C359" s="6" t="s">
        <v>645</v>
      </c>
      <c r="D359" s="6">
        <v>900</v>
      </c>
      <c r="E359" s="6">
        <v>7</v>
      </c>
      <c r="F359" s="6">
        <f t="shared" si="16"/>
        <v>345600</v>
      </c>
      <c r="G359" s="9">
        <v>1.4274849337614078E-13</v>
      </c>
      <c r="H359" s="10">
        <f t="shared" si="15"/>
        <v>0.44422462476001595</v>
      </c>
      <c r="I359" s="6">
        <v>2.3199999999999998</v>
      </c>
      <c r="J359" s="6" t="s">
        <v>48</v>
      </c>
      <c r="K359" s="6">
        <v>17</v>
      </c>
      <c r="L359" s="6">
        <v>1</v>
      </c>
      <c r="M359" s="6">
        <v>1</v>
      </c>
      <c r="N359" s="6">
        <v>1</v>
      </c>
      <c r="O359" s="6">
        <v>1</v>
      </c>
      <c r="P359" s="6">
        <v>64.400000000000006</v>
      </c>
      <c r="Q359" s="6">
        <v>0.41</v>
      </c>
      <c r="R359" s="6">
        <v>17.399999999999999</v>
      </c>
      <c r="T359" s="6">
        <v>5.21</v>
      </c>
      <c r="U359" s="6">
        <v>0.14000000000000001</v>
      </c>
      <c r="V359" s="6">
        <v>0.84</v>
      </c>
      <c r="W359" s="6">
        <v>3.03</v>
      </c>
      <c r="X359" s="6">
        <v>4.72</v>
      </c>
      <c r="Y359" s="6">
        <v>3.43</v>
      </c>
      <c r="Z359" s="6">
        <v>0.33</v>
      </c>
      <c r="AA359" s="6">
        <v>0.06</v>
      </c>
      <c r="AB359" s="6">
        <v>93.6</v>
      </c>
      <c r="AC359" s="6">
        <v>9.07925</v>
      </c>
      <c r="AD359" s="6" t="s">
        <v>49</v>
      </c>
    </row>
    <row r="360" spans="1:30">
      <c r="A360" s="6" t="s">
        <v>1033</v>
      </c>
      <c r="B360" s="6">
        <v>1584</v>
      </c>
      <c r="C360" s="6" t="s">
        <v>645</v>
      </c>
      <c r="D360" s="6">
        <v>875</v>
      </c>
      <c r="E360" s="6">
        <v>7</v>
      </c>
      <c r="F360" s="6">
        <f t="shared" si="16"/>
        <v>345600</v>
      </c>
      <c r="G360" s="9">
        <v>1.028135457036711E-13</v>
      </c>
      <c r="H360" s="10">
        <f t="shared" si="15"/>
        <v>0.37700059095544525</v>
      </c>
      <c r="I360" s="6">
        <v>2.3199999999999998</v>
      </c>
      <c r="J360" s="6" t="s">
        <v>48</v>
      </c>
      <c r="K360" s="6">
        <v>15</v>
      </c>
      <c r="L360" s="6">
        <v>1</v>
      </c>
      <c r="M360" s="6">
        <v>1</v>
      </c>
      <c r="N360" s="6">
        <v>1</v>
      </c>
      <c r="O360" s="6">
        <v>1</v>
      </c>
      <c r="P360" s="6">
        <v>66.400000000000006</v>
      </c>
      <c r="Q360" s="6">
        <v>0.21</v>
      </c>
      <c r="R360" s="6">
        <v>17.3</v>
      </c>
      <c r="T360" s="6">
        <v>4.28</v>
      </c>
      <c r="U360" s="6">
        <v>0.08</v>
      </c>
      <c r="V360" s="6">
        <v>0.6</v>
      </c>
      <c r="W360" s="6">
        <v>2.5</v>
      </c>
      <c r="X360" s="6">
        <v>4.68</v>
      </c>
      <c r="Y360" s="6">
        <v>3.66</v>
      </c>
      <c r="Z360" s="6">
        <v>0.23</v>
      </c>
      <c r="AA360" s="6">
        <v>0.08</v>
      </c>
      <c r="AB360" s="6">
        <v>93.2</v>
      </c>
      <c r="AC360" s="6">
        <v>10.037699999999999</v>
      </c>
      <c r="AD360" s="6" t="s">
        <v>49</v>
      </c>
    </row>
    <row r="361" spans="1:30">
      <c r="A361" s="6" t="s">
        <v>1033</v>
      </c>
      <c r="B361" s="6">
        <v>1586</v>
      </c>
      <c r="C361" s="6" t="s">
        <v>645</v>
      </c>
      <c r="D361" s="6">
        <v>850</v>
      </c>
      <c r="E361" s="6">
        <v>7</v>
      </c>
      <c r="F361" s="6">
        <f t="shared" si="16"/>
        <v>345600</v>
      </c>
      <c r="G361" s="9">
        <v>7.2976735414337512E-14</v>
      </c>
      <c r="H361" s="10">
        <f t="shared" si="15"/>
        <v>0.31762090459662784</v>
      </c>
      <c r="I361" s="6">
        <v>2.3199999999999998</v>
      </c>
      <c r="J361" s="6" t="s">
        <v>50</v>
      </c>
      <c r="K361" s="6">
        <v>12</v>
      </c>
      <c r="L361" s="6">
        <v>1</v>
      </c>
      <c r="M361" s="6">
        <v>1</v>
      </c>
      <c r="N361" s="6">
        <v>1</v>
      </c>
      <c r="O361" s="6">
        <v>1</v>
      </c>
      <c r="P361" s="6">
        <v>68.7</v>
      </c>
      <c r="Q361" s="6">
        <v>0.23</v>
      </c>
      <c r="R361" s="6">
        <v>17</v>
      </c>
      <c r="T361" s="6">
        <v>2.92</v>
      </c>
      <c r="U361" s="6">
        <v>0.11</v>
      </c>
      <c r="V361" s="6">
        <v>0.37</v>
      </c>
      <c r="W361" s="6">
        <v>2.02</v>
      </c>
      <c r="X361" s="6">
        <v>4.55</v>
      </c>
      <c r="Y361" s="6">
        <v>3.82</v>
      </c>
      <c r="Z361" s="6">
        <v>0.12</v>
      </c>
      <c r="AA361" s="6">
        <v>0.08</v>
      </c>
      <c r="AB361" s="6">
        <v>91.5</v>
      </c>
      <c r="AC361" s="6">
        <v>10.6576</v>
      </c>
      <c r="AD361" s="6" t="s">
        <v>49</v>
      </c>
    </row>
    <row r="362" spans="1:30">
      <c r="A362" s="6" t="s">
        <v>1033</v>
      </c>
      <c r="B362" s="6">
        <v>1591</v>
      </c>
      <c r="C362" s="6" t="s">
        <v>645</v>
      </c>
      <c r="D362" s="6">
        <v>825</v>
      </c>
      <c r="E362" s="6">
        <v>7</v>
      </c>
      <c r="F362" s="6">
        <f t="shared" si="16"/>
        <v>345600</v>
      </c>
      <c r="G362" s="9">
        <v>5.0996514572634554E-14</v>
      </c>
      <c r="H362" s="10">
        <f t="shared" si="15"/>
        <v>0.26551380707076239</v>
      </c>
      <c r="I362" s="6">
        <v>2.3199999999999998</v>
      </c>
      <c r="J362" s="6" t="s">
        <v>51</v>
      </c>
      <c r="K362" s="6">
        <v>12</v>
      </c>
      <c r="L362" s="6">
        <v>1</v>
      </c>
      <c r="M362" s="6">
        <v>1</v>
      </c>
      <c r="N362" s="6">
        <v>1</v>
      </c>
      <c r="O362" s="6">
        <v>1</v>
      </c>
      <c r="P362" s="6">
        <v>70.900000000000006</v>
      </c>
      <c r="Q362" s="6">
        <v>0.11</v>
      </c>
      <c r="R362" s="6">
        <v>16.2</v>
      </c>
      <c r="T362" s="6">
        <v>2.36</v>
      </c>
      <c r="U362" s="6">
        <v>0.08</v>
      </c>
      <c r="V362" s="6">
        <v>0.28999999999999998</v>
      </c>
      <c r="W362" s="6">
        <v>1.76</v>
      </c>
      <c r="X362" s="6">
        <v>4.13</v>
      </c>
      <c r="Y362" s="6">
        <v>3.93</v>
      </c>
      <c r="Z362" s="6">
        <v>0.14000000000000001</v>
      </c>
      <c r="AA362" s="6">
        <v>0.08</v>
      </c>
      <c r="AB362" s="6">
        <v>91</v>
      </c>
      <c r="AC362" s="6">
        <v>10.962999999999999</v>
      </c>
      <c r="AD362" s="6" t="s">
        <v>49</v>
      </c>
    </row>
    <row r="363" spans="1:30">
      <c r="A363" s="6" t="s">
        <v>1033</v>
      </c>
      <c r="B363" s="6">
        <v>1616</v>
      </c>
      <c r="C363" s="6" t="s">
        <v>645</v>
      </c>
      <c r="D363" s="6">
        <v>900</v>
      </c>
      <c r="E363" s="6">
        <v>7</v>
      </c>
      <c r="F363" s="6">
        <f t="shared" si="16"/>
        <v>345600</v>
      </c>
      <c r="G363" s="9">
        <v>1.4274849337614078E-13</v>
      </c>
      <c r="H363" s="10">
        <f t="shared" si="15"/>
        <v>0.44422462476001595</v>
      </c>
      <c r="I363" s="6">
        <v>2.3199999999999998</v>
      </c>
      <c r="J363" s="6" t="s">
        <v>48</v>
      </c>
      <c r="K363" s="6">
        <v>16</v>
      </c>
      <c r="L363" s="6">
        <v>1</v>
      </c>
      <c r="M363" s="6">
        <v>1</v>
      </c>
      <c r="N363" s="6">
        <v>1</v>
      </c>
      <c r="O363" s="6">
        <v>1</v>
      </c>
      <c r="P363" s="6">
        <v>65.5</v>
      </c>
      <c r="Q363" s="6">
        <v>0.32</v>
      </c>
      <c r="R363" s="6">
        <v>17.399999999999999</v>
      </c>
      <c r="T363" s="6">
        <v>4.6399999999999997</v>
      </c>
      <c r="U363" s="6">
        <v>0.15</v>
      </c>
      <c r="V363" s="6">
        <v>0.71</v>
      </c>
      <c r="W363" s="6">
        <v>2.89</v>
      </c>
      <c r="X363" s="6">
        <v>4.5599999999999996</v>
      </c>
      <c r="Y363" s="6">
        <v>3.44</v>
      </c>
      <c r="Z363" s="6">
        <v>0.24</v>
      </c>
      <c r="AA363" s="6">
        <v>0.05</v>
      </c>
      <c r="AB363" s="6">
        <v>93.3</v>
      </c>
      <c r="AC363" s="6">
        <v>9.5372400000000006</v>
      </c>
      <c r="AD363" s="6" t="s">
        <v>49</v>
      </c>
    </row>
    <row r="364" spans="1:30">
      <c r="A364" s="6" t="s">
        <v>1033</v>
      </c>
      <c r="B364" s="6">
        <v>1603</v>
      </c>
      <c r="C364" s="6" t="s">
        <v>645</v>
      </c>
      <c r="D364" s="6">
        <v>975</v>
      </c>
      <c r="E364" s="6">
        <v>7</v>
      </c>
      <c r="F364" s="6">
        <f t="shared" si="16"/>
        <v>345600</v>
      </c>
      <c r="G364" s="9">
        <v>3.530850559550637E-13</v>
      </c>
      <c r="H364" s="10">
        <f t="shared" si="15"/>
        <v>0.69864496087231609</v>
      </c>
      <c r="I364" s="6">
        <v>2.3199999999999998</v>
      </c>
      <c r="J364" s="6" t="s">
        <v>52</v>
      </c>
      <c r="K364" s="6">
        <v>27</v>
      </c>
      <c r="L364" s="6">
        <v>1</v>
      </c>
      <c r="M364" s="6">
        <v>1</v>
      </c>
      <c r="N364" s="6">
        <v>1</v>
      </c>
      <c r="O364" s="6">
        <v>1</v>
      </c>
      <c r="P364" s="6">
        <v>57.4</v>
      </c>
      <c r="Q364" s="6">
        <v>0.94</v>
      </c>
      <c r="R364" s="6">
        <v>17.399999999999999</v>
      </c>
      <c r="T364" s="6">
        <v>8.86</v>
      </c>
      <c r="U364" s="6">
        <v>0.19</v>
      </c>
      <c r="V364" s="6">
        <v>2.13</v>
      </c>
      <c r="W364" s="6">
        <v>4.99</v>
      </c>
      <c r="X364" s="6">
        <v>4.45</v>
      </c>
      <c r="Y364" s="6">
        <v>2.61</v>
      </c>
      <c r="Z364" s="6">
        <v>0.85</v>
      </c>
      <c r="AA364" s="6">
        <v>7.0000000000000007E-2</v>
      </c>
      <c r="AB364" s="6">
        <v>94</v>
      </c>
      <c r="AC364" s="6">
        <v>7.0342399999999996</v>
      </c>
      <c r="AD364" s="6" t="s">
        <v>49</v>
      </c>
    </row>
    <row r="365" spans="1:30">
      <c r="A365" s="6" t="s">
        <v>1033</v>
      </c>
      <c r="B365" s="6">
        <v>1604</v>
      </c>
      <c r="C365" s="6" t="s">
        <v>645</v>
      </c>
      <c r="D365" s="6">
        <v>925</v>
      </c>
      <c r="E365" s="6">
        <v>7</v>
      </c>
      <c r="F365" s="6">
        <f t="shared" si="16"/>
        <v>345600</v>
      </c>
      <c r="G365" s="9">
        <v>1.9549928676947054E-13</v>
      </c>
      <c r="H365" s="10">
        <f t="shared" si="15"/>
        <v>0.51986364946023689</v>
      </c>
      <c r="I365" s="6">
        <v>2.3199999999999998</v>
      </c>
      <c r="J365" s="6" t="s">
        <v>52</v>
      </c>
      <c r="K365" s="6">
        <v>24</v>
      </c>
      <c r="L365" s="6">
        <v>1</v>
      </c>
      <c r="M365" s="6">
        <v>1</v>
      </c>
      <c r="N365" s="6">
        <v>1</v>
      </c>
      <c r="O365" s="6">
        <v>1</v>
      </c>
      <c r="P365" s="6">
        <v>60.3</v>
      </c>
      <c r="Q365" s="6">
        <v>0.71</v>
      </c>
      <c r="R365" s="6">
        <v>17.600000000000001</v>
      </c>
      <c r="T365" s="6">
        <v>6.99</v>
      </c>
      <c r="U365" s="6">
        <v>0.23</v>
      </c>
      <c r="V365" s="6">
        <v>1.65</v>
      </c>
      <c r="W365" s="6">
        <v>4.25</v>
      </c>
      <c r="X365" s="6">
        <v>4.63</v>
      </c>
      <c r="Y365" s="6">
        <v>2.94</v>
      </c>
      <c r="Z365" s="6">
        <v>0.57999999999999996</v>
      </c>
      <c r="AA365" s="6">
        <v>0.06</v>
      </c>
      <c r="AB365" s="6">
        <v>95</v>
      </c>
      <c r="AC365" s="6">
        <v>7.68438</v>
      </c>
      <c r="AD365" s="6" t="s">
        <v>49</v>
      </c>
    </row>
    <row r="366" spans="1:30">
      <c r="A366" s="6" t="s">
        <v>1033</v>
      </c>
      <c r="B366" s="6">
        <v>1612</v>
      </c>
      <c r="C366" s="6" t="s">
        <v>645</v>
      </c>
      <c r="D366" s="6">
        <v>900</v>
      </c>
      <c r="E366" s="6">
        <v>7</v>
      </c>
      <c r="F366" s="6">
        <f t="shared" si="16"/>
        <v>345600</v>
      </c>
      <c r="G366" s="9">
        <v>1.4274849337614078E-13</v>
      </c>
      <c r="H366" s="10">
        <f t="shared" si="15"/>
        <v>0.44422462476001595</v>
      </c>
      <c r="I366" s="6">
        <v>2.3199999999999998</v>
      </c>
      <c r="J366" s="6" t="s">
        <v>53</v>
      </c>
      <c r="K366" s="6">
        <v>13</v>
      </c>
      <c r="L366" s="6">
        <v>1</v>
      </c>
      <c r="M366" s="6">
        <v>1</v>
      </c>
      <c r="N366" s="6">
        <v>1</v>
      </c>
      <c r="O366" s="6">
        <v>1</v>
      </c>
      <c r="P366" s="6">
        <v>67.8</v>
      </c>
      <c r="Q366" s="6">
        <v>0.4</v>
      </c>
      <c r="R366" s="6">
        <v>17.100000000000001</v>
      </c>
      <c r="T366" s="6">
        <v>3.47</v>
      </c>
      <c r="U366" s="6">
        <v>0.1</v>
      </c>
      <c r="V366" s="6">
        <v>0.7</v>
      </c>
      <c r="W366" s="6">
        <v>2.62</v>
      </c>
      <c r="X366" s="6">
        <v>3.92</v>
      </c>
      <c r="Y366" s="6">
        <v>3.5</v>
      </c>
      <c r="Z366" s="6">
        <v>0.24</v>
      </c>
      <c r="AA366" s="6">
        <v>0.05</v>
      </c>
      <c r="AB366" s="6">
        <v>93.1</v>
      </c>
      <c r="AC366" s="6">
        <v>10.976000000000001</v>
      </c>
      <c r="AD366" s="6" t="s">
        <v>49</v>
      </c>
    </row>
    <row r="367" spans="1:30">
      <c r="A367" s="6" t="s">
        <v>1033</v>
      </c>
      <c r="B367" s="6">
        <v>1598</v>
      </c>
      <c r="C367" s="6" t="s">
        <v>645</v>
      </c>
      <c r="D367" s="6">
        <v>900</v>
      </c>
      <c r="E367" s="6">
        <v>7</v>
      </c>
      <c r="F367" s="6">
        <f t="shared" si="16"/>
        <v>345600</v>
      </c>
      <c r="G367" s="9">
        <v>1.4274849337614078E-13</v>
      </c>
      <c r="H367" s="10">
        <f t="shared" si="15"/>
        <v>0.44422462476001595</v>
      </c>
      <c r="I367" s="6">
        <v>2.3199999999999998</v>
      </c>
      <c r="J367" s="6" t="s">
        <v>53</v>
      </c>
      <c r="K367" s="6">
        <v>16</v>
      </c>
      <c r="L367" s="6">
        <v>1</v>
      </c>
      <c r="M367" s="6">
        <v>1</v>
      </c>
      <c r="N367" s="6">
        <v>1</v>
      </c>
      <c r="O367" s="6">
        <v>1</v>
      </c>
      <c r="P367" s="6">
        <v>67.099999999999994</v>
      </c>
      <c r="Q367" s="6">
        <v>0.26</v>
      </c>
      <c r="R367" s="6">
        <v>16.7</v>
      </c>
      <c r="T367" s="6">
        <v>3.79</v>
      </c>
      <c r="U367" s="6">
        <v>0.11</v>
      </c>
      <c r="V367" s="6">
        <v>0.71</v>
      </c>
      <c r="W367" s="6">
        <v>2.52</v>
      </c>
      <c r="X367" s="6">
        <v>4.5999999999999996</v>
      </c>
      <c r="Y367" s="6">
        <v>3.89</v>
      </c>
      <c r="Z367" s="6">
        <v>0.24</v>
      </c>
      <c r="AA367" s="6">
        <v>0.04</v>
      </c>
      <c r="AB367" s="6">
        <v>93</v>
      </c>
      <c r="AC367" s="6">
        <v>9.1810100000000006</v>
      </c>
      <c r="AD367" s="6" t="s">
        <v>49</v>
      </c>
    </row>
    <row r="368" spans="1:30">
      <c r="A368" s="6" t="s">
        <v>1033</v>
      </c>
      <c r="B368" s="6">
        <v>1610</v>
      </c>
      <c r="C368" s="6" t="s">
        <v>645</v>
      </c>
      <c r="D368" s="6">
        <v>875</v>
      </c>
      <c r="E368" s="6">
        <v>7</v>
      </c>
      <c r="F368" s="6">
        <f t="shared" si="16"/>
        <v>345600</v>
      </c>
      <c r="G368" s="9">
        <v>1.028135457036711E-13</v>
      </c>
      <c r="H368" s="10">
        <f t="shared" si="15"/>
        <v>0.37700059095544525</v>
      </c>
      <c r="I368" s="6">
        <v>2.3199999999999998</v>
      </c>
      <c r="J368" s="6" t="s">
        <v>53</v>
      </c>
      <c r="K368" s="6">
        <v>13</v>
      </c>
      <c r="L368" s="6">
        <v>1</v>
      </c>
      <c r="M368" s="6">
        <v>1</v>
      </c>
      <c r="N368" s="6">
        <v>1</v>
      </c>
      <c r="O368" s="6">
        <v>1</v>
      </c>
      <c r="P368" s="6">
        <v>67.7</v>
      </c>
      <c r="Q368" s="6">
        <v>0.32</v>
      </c>
      <c r="R368" s="6">
        <v>17.100000000000001</v>
      </c>
      <c r="T368" s="6">
        <v>3.98</v>
      </c>
      <c r="U368" s="6">
        <v>0.1</v>
      </c>
      <c r="V368" s="6">
        <v>0.55000000000000004</v>
      </c>
      <c r="W368" s="6">
        <v>2.42</v>
      </c>
      <c r="X368" s="6">
        <v>3.88</v>
      </c>
      <c r="Y368" s="6">
        <v>3.64</v>
      </c>
      <c r="Z368" s="6">
        <v>0.22</v>
      </c>
      <c r="AA368" s="6">
        <v>0.11</v>
      </c>
      <c r="AB368" s="6">
        <v>93.1</v>
      </c>
      <c r="AC368" s="6">
        <v>10.9541</v>
      </c>
      <c r="AD368" s="6" t="s">
        <v>49</v>
      </c>
    </row>
    <row r="369" spans="1:30">
      <c r="A369" s="6" t="s">
        <v>1033</v>
      </c>
      <c r="B369" s="6">
        <v>1602</v>
      </c>
      <c r="C369" s="6" t="s">
        <v>645</v>
      </c>
      <c r="D369" s="6">
        <v>850</v>
      </c>
      <c r="E369" s="6">
        <v>7</v>
      </c>
      <c r="F369" s="6">
        <f t="shared" si="16"/>
        <v>345600</v>
      </c>
      <c r="G369" s="9">
        <v>7.2976735414337512E-14</v>
      </c>
      <c r="H369" s="10">
        <f t="shared" si="15"/>
        <v>0.31762090459662784</v>
      </c>
      <c r="I369" s="6">
        <v>2.3199999999999998</v>
      </c>
      <c r="J369" s="6" t="s">
        <v>53</v>
      </c>
      <c r="K369" s="6">
        <v>15</v>
      </c>
      <c r="L369" s="6">
        <v>1</v>
      </c>
      <c r="M369" s="6">
        <v>1</v>
      </c>
      <c r="N369" s="6">
        <v>1</v>
      </c>
      <c r="O369" s="6">
        <v>1</v>
      </c>
      <c r="P369" s="6">
        <v>70.3</v>
      </c>
      <c r="Q369" s="6">
        <v>0.22</v>
      </c>
      <c r="R369" s="6">
        <v>15.8</v>
      </c>
      <c r="T369" s="6">
        <v>2.4700000000000002</v>
      </c>
      <c r="U369" s="6">
        <v>7.0000000000000007E-2</v>
      </c>
      <c r="V369" s="6">
        <v>0.5</v>
      </c>
      <c r="W369" s="6">
        <v>2.1</v>
      </c>
      <c r="X369" s="6">
        <v>4.26</v>
      </c>
      <c r="Y369" s="6">
        <v>4.05</v>
      </c>
      <c r="Z369" s="6">
        <v>0.14000000000000001</v>
      </c>
      <c r="AA369" s="6">
        <v>0.09</v>
      </c>
      <c r="AB369" s="6">
        <v>92.9</v>
      </c>
      <c r="AC369" s="6">
        <v>10.084099999999999</v>
      </c>
      <c r="AD369" s="6" t="s">
        <v>49</v>
      </c>
    </row>
    <row r="370" spans="1:30">
      <c r="A370" s="6" t="s">
        <v>1033</v>
      </c>
      <c r="B370" s="6">
        <v>1611</v>
      </c>
      <c r="C370" s="6" t="s">
        <v>645</v>
      </c>
      <c r="D370" s="6">
        <v>825</v>
      </c>
      <c r="E370" s="6">
        <v>7</v>
      </c>
      <c r="F370" s="6">
        <f t="shared" si="16"/>
        <v>345600</v>
      </c>
      <c r="G370" s="9">
        <v>5.0996514572634554E-14</v>
      </c>
      <c r="H370" s="10">
        <f t="shared" si="15"/>
        <v>0.26551380707076239</v>
      </c>
      <c r="I370" s="6">
        <v>2.3199999999999998</v>
      </c>
      <c r="J370" s="6" t="s">
        <v>54</v>
      </c>
      <c r="K370" s="6">
        <v>12</v>
      </c>
      <c r="L370" s="6">
        <v>1</v>
      </c>
      <c r="M370" s="6">
        <v>1</v>
      </c>
      <c r="N370" s="6">
        <v>1</v>
      </c>
      <c r="O370" s="6">
        <v>1</v>
      </c>
      <c r="P370" s="6">
        <v>70.5</v>
      </c>
      <c r="Q370" s="6">
        <v>0.23</v>
      </c>
      <c r="R370" s="6">
        <v>16.600000000000001</v>
      </c>
      <c r="T370" s="6">
        <v>2.72</v>
      </c>
      <c r="U370" s="6">
        <v>0.11</v>
      </c>
      <c r="V370" s="6">
        <v>0.36</v>
      </c>
      <c r="W370" s="6">
        <v>1.89</v>
      </c>
      <c r="X370" s="6">
        <v>3.59</v>
      </c>
      <c r="Y370" s="6">
        <v>3.74</v>
      </c>
      <c r="Z370" s="6">
        <v>0.15</v>
      </c>
      <c r="AA370" s="6">
        <v>0.11</v>
      </c>
      <c r="AB370" s="6">
        <v>91.8</v>
      </c>
      <c r="AC370" s="6">
        <v>11.096299999999999</v>
      </c>
      <c r="AD370" s="6" t="s">
        <v>49</v>
      </c>
    </row>
    <row r="371" spans="1:30">
      <c r="A371" s="6" t="s">
        <v>1033</v>
      </c>
      <c r="B371" s="6">
        <v>1690</v>
      </c>
      <c r="C371" s="6" t="s">
        <v>645</v>
      </c>
      <c r="D371" s="6">
        <v>875</v>
      </c>
      <c r="E371" s="6">
        <v>7</v>
      </c>
      <c r="F371" s="6">
        <f t="shared" si="16"/>
        <v>345600</v>
      </c>
      <c r="G371" s="9">
        <v>1.028135457036711E-13</v>
      </c>
      <c r="H371" s="10">
        <f t="shared" si="15"/>
        <v>0.37700059095544525</v>
      </c>
      <c r="I371" s="6">
        <v>2.3199999999999998</v>
      </c>
      <c r="J371" s="6" t="s">
        <v>55</v>
      </c>
      <c r="K371" s="6">
        <v>13</v>
      </c>
      <c r="L371" s="6">
        <v>1</v>
      </c>
      <c r="M371" s="6">
        <v>1</v>
      </c>
      <c r="N371" s="6">
        <v>1</v>
      </c>
      <c r="O371" s="6">
        <v>1</v>
      </c>
      <c r="P371" s="6">
        <v>70.7</v>
      </c>
      <c r="Q371" s="6">
        <v>0.3</v>
      </c>
      <c r="R371" s="6">
        <v>15.9</v>
      </c>
      <c r="T371" s="6">
        <v>2.37</v>
      </c>
      <c r="U371" s="6">
        <v>0.08</v>
      </c>
      <c r="V371" s="6">
        <v>0.46</v>
      </c>
      <c r="W371" s="6">
        <v>2.04</v>
      </c>
      <c r="X371" s="6">
        <v>3.92</v>
      </c>
      <c r="Y371" s="6">
        <v>4.09</v>
      </c>
      <c r="Z371" s="6">
        <v>0.11</v>
      </c>
      <c r="AA371" s="6">
        <v>0.05</v>
      </c>
      <c r="AB371" s="6">
        <v>93.2</v>
      </c>
      <c r="AC371" s="6">
        <v>11.0273</v>
      </c>
      <c r="AD371" s="6" t="s">
        <v>49</v>
      </c>
    </row>
    <row r="372" spans="1:30">
      <c r="A372" s="6" t="s">
        <v>1033</v>
      </c>
      <c r="B372" s="6">
        <v>1694</v>
      </c>
      <c r="C372" s="6" t="s">
        <v>645</v>
      </c>
      <c r="D372" s="6">
        <v>850</v>
      </c>
      <c r="E372" s="6">
        <v>7</v>
      </c>
      <c r="F372" s="6">
        <f t="shared" si="16"/>
        <v>345600</v>
      </c>
      <c r="G372" s="9">
        <v>7.2976735414337512E-14</v>
      </c>
      <c r="H372" s="10">
        <f t="shared" si="15"/>
        <v>0.31762090459662784</v>
      </c>
      <c r="I372" s="6">
        <v>2.3199999999999998</v>
      </c>
      <c r="J372" s="6" t="s">
        <v>55</v>
      </c>
      <c r="K372" s="6">
        <v>12</v>
      </c>
      <c r="L372" s="6">
        <v>1</v>
      </c>
      <c r="M372" s="6">
        <v>1</v>
      </c>
      <c r="N372" s="6">
        <v>1</v>
      </c>
      <c r="O372" s="6">
        <v>1</v>
      </c>
      <c r="P372" s="6">
        <v>71.599999999999994</v>
      </c>
      <c r="Q372" s="6">
        <v>0.35</v>
      </c>
      <c r="R372" s="6">
        <v>15.4</v>
      </c>
      <c r="T372" s="6">
        <v>1.91</v>
      </c>
      <c r="U372" s="6">
        <v>0.03</v>
      </c>
      <c r="V372" s="6">
        <v>0.42</v>
      </c>
      <c r="W372" s="6">
        <v>1.93</v>
      </c>
      <c r="X372" s="6">
        <v>3.62</v>
      </c>
      <c r="Y372" s="6">
        <v>4.32</v>
      </c>
      <c r="Z372" s="6">
        <v>0.24</v>
      </c>
      <c r="AA372" s="6">
        <v>0.25</v>
      </c>
      <c r="AB372" s="6">
        <v>92.3</v>
      </c>
      <c r="AC372" s="6">
        <v>11.466900000000001</v>
      </c>
      <c r="AD372" s="6" t="s">
        <v>49</v>
      </c>
    </row>
    <row r="373" spans="1:30">
      <c r="A373" s="6" t="s">
        <v>1033</v>
      </c>
      <c r="B373" s="6">
        <v>1666</v>
      </c>
      <c r="C373" s="6" t="s">
        <v>645</v>
      </c>
      <c r="D373" s="6">
        <v>925</v>
      </c>
      <c r="E373" s="6">
        <v>7</v>
      </c>
      <c r="F373" s="6">
        <f t="shared" si="16"/>
        <v>345600</v>
      </c>
      <c r="G373" s="9">
        <v>1.9549928676947054E-13</v>
      </c>
      <c r="H373" s="10">
        <f t="shared" si="15"/>
        <v>0.51986364946023689</v>
      </c>
      <c r="I373" s="6">
        <v>2.3199999999999998</v>
      </c>
      <c r="J373" s="6" t="s">
        <v>56</v>
      </c>
      <c r="K373" s="6">
        <v>15</v>
      </c>
      <c r="L373" s="6">
        <v>1</v>
      </c>
      <c r="M373" s="6">
        <v>1</v>
      </c>
      <c r="N373" s="6">
        <v>1</v>
      </c>
      <c r="O373" s="6">
        <v>1</v>
      </c>
      <c r="P373" s="6">
        <v>71.400000000000006</v>
      </c>
      <c r="Q373" s="6">
        <v>0.32</v>
      </c>
      <c r="R373" s="6">
        <v>15.3</v>
      </c>
      <c r="T373" s="6">
        <v>1.43</v>
      </c>
      <c r="U373" s="6">
        <v>0.1</v>
      </c>
      <c r="V373" s="6">
        <v>0.77</v>
      </c>
      <c r="W373" s="6">
        <v>1.81</v>
      </c>
      <c r="X373" s="6">
        <v>3.9</v>
      </c>
      <c r="Y373" s="6">
        <v>4.75</v>
      </c>
      <c r="Z373" s="6">
        <v>0.16</v>
      </c>
      <c r="AA373" s="6">
        <v>0.09</v>
      </c>
      <c r="AB373" s="6">
        <v>93.8</v>
      </c>
      <c r="AC373" s="6">
        <v>10.6404</v>
      </c>
      <c r="AD373" s="6" t="s">
        <v>49</v>
      </c>
    </row>
    <row r="374" spans="1:30">
      <c r="A374" s="6" t="s">
        <v>1033</v>
      </c>
      <c r="B374" s="6">
        <v>1617</v>
      </c>
      <c r="C374" s="6" t="s">
        <v>645</v>
      </c>
      <c r="D374" s="6">
        <v>900</v>
      </c>
      <c r="E374" s="6">
        <v>7</v>
      </c>
      <c r="F374" s="6">
        <f t="shared" si="16"/>
        <v>345600</v>
      </c>
      <c r="G374" s="9">
        <v>1.4274849337614078E-13</v>
      </c>
      <c r="H374" s="10">
        <f t="shared" si="15"/>
        <v>0.44422462476001595</v>
      </c>
      <c r="I374" s="6">
        <v>2.3199999999999998</v>
      </c>
      <c r="J374" s="6" t="s">
        <v>57</v>
      </c>
      <c r="K374" s="6">
        <v>14</v>
      </c>
      <c r="L374" s="6">
        <v>1</v>
      </c>
      <c r="M374" s="6">
        <v>1</v>
      </c>
      <c r="N374" s="6">
        <v>1</v>
      </c>
      <c r="O374" s="6">
        <v>1</v>
      </c>
      <c r="P374" s="6">
        <v>72.099999999999994</v>
      </c>
      <c r="Q374" s="6">
        <v>0.15</v>
      </c>
      <c r="R374" s="6">
        <v>14.9</v>
      </c>
      <c r="T374" s="6">
        <v>1.67</v>
      </c>
      <c r="U374" s="6">
        <v>0.03</v>
      </c>
      <c r="V374" s="6">
        <v>0.54</v>
      </c>
      <c r="W374" s="6">
        <v>1.5</v>
      </c>
      <c r="X374" s="6">
        <v>3.93</v>
      </c>
      <c r="Y374" s="6">
        <v>4.99</v>
      </c>
      <c r="Z374" s="6">
        <v>0.1</v>
      </c>
      <c r="AA374" s="6">
        <v>0.04</v>
      </c>
      <c r="AB374" s="6">
        <v>94.9</v>
      </c>
      <c r="AC374" s="6">
        <v>10.939299999999999</v>
      </c>
      <c r="AD374" s="6" t="s">
        <v>49</v>
      </c>
    </row>
    <row r="375" spans="1:30">
      <c r="A375" s="6" t="s">
        <v>1033</v>
      </c>
      <c r="B375" s="6">
        <v>1627</v>
      </c>
      <c r="C375" s="6" t="s">
        <v>645</v>
      </c>
      <c r="D375" s="6">
        <v>875</v>
      </c>
      <c r="E375" s="6">
        <v>7</v>
      </c>
      <c r="F375" s="6">
        <f t="shared" si="16"/>
        <v>345600</v>
      </c>
      <c r="G375" s="9">
        <v>1.028135457036711E-13</v>
      </c>
      <c r="H375" s="10">
        <f t="shared" si="15"/>
        <v>0.37700059095544525</v>
      </c>
      <c r="I375" s="6">
        <v>2.3199999999999998</v>
      </c>
      <c r="J375" s="6" t="s">
        <v>57</v>
      </c>
      <c r="K375" s="6">
        <v>12</v>
      </c>
      <c r="L375" s="6">
        <v>1</v>
      </c>
      <c r="M375" s="6">
        <v>1</v>
      </c>
      <c r="N375" s="6">
        <v>1</v>
      </c>
      <c r="O375" s="6">
        <v>1</v>
      </c>
      <c r="P375" s="6">
        <v>73.7</v>
      </c>
      <c r="Q375" s="6">
        <v>0.13</v>
      </c>
      <c r="R375" s="6">
        <v>14.1</v>
      </c>
      <c r="T375" s="6">
        <v>1.18</v>
      </c>
      <c r="U375" s="6">
        <v>0.1</v>
      </c>
      <c r="V375" s="6">
        <v>0.46</v>
      </c>
      <c r="W375" s="6">
        <v>1.42</v>
      </c>
      <c r="X375" s="6">
        <v>3.64</v>
      </c>
      <c r="Y375" s="6">
        <v>4.99</v>
      </c>
      <c r="Z375" s="6">
        <v>0.11</v>
      </c>
      <c r="AA375" s="6">
        <v>7.0000000000000007E-2</v>
      </c>
      <c r="AB375" s="6">
        <v>94.7</v>
      </c>
      <c r="AC375" s="6">
        <v>11.8286</v>
      </c>
      <c r="AD375" s="6" t="s">
        <v>49</v>
      </c>
    </row>
    <row r="376" spans="1:30">
      <c r="A376" s="6" t="s">
        <v>1033</v>
      </c>
      <c r="B376" s="6">
        <v>1624</v>
      </c>
      <c r="C376" s="6" t="s">
        <v>645</v>
      </c>
      <c r="D376" s="6">
        <v>850</v>
      </c>
      <c r="E376" s="6">
        <v>7</v>
      </c>
      <c r="F376" s="6">
        <f t="shared" si="16"/>
        <v>345600</v>
      </c>
      <c r="G376" s="9">
        <v>7.2976735414337512E-14</v>
      </c>
      <c r="H376" s="10">
        <f t="shared" si="15"/>
        <v>0.31762090459662784</v>
      </c>
      <c r="I376" s="6">
        <v>2.3199999999999998</v>
      </c>
      <c r="J376" s="6" t="s">
        <v>58</v>
      </c>
      <c r="K376" s="6">
        <v>10</v>
      </c>
      <c r="L376" s="6">
        <v>1</v>
      </c>
      <c r="M376" s="6">
        <v>1</v>
      </c>
      <c r="N376" s="6">
        <v>1</v>
      </c>
      <c r="O376" s="6">
        <v>1</v>
      </c>
      <c r="P376" s="6">
        <v>74.2</v>
      </c>
      <c r="Q376" s="6">
        <v>0.16</v>
      </c>
      <c r="R376" s="6">
        <v>14</v>
      </c>
      <c r="T376" s="6">
        <v>1.06</v>
      </c>
      <c r="U376" s="6">
        <v>0.05</v>
      </c>
      <c r="V376" s="6">
        <v>0.48</v>
      </c>
      <c r="W376" s="6">
        <v>1.39</v>
      </c>
      <c r="X376" s="6">
        <v>3.6</v>
      </c>
      <c r="Y376" s="6">
        <v>4.92</v>
      </c>
      <c r="Z376" s="6">
        <v>7.0000000000000007E-2</v>
      </c>
      <c r="AA376" s="6">
        <v>0.06</v>
      </c>
      <c r="AB376" s="6">
        <v>94.7</v>
      </c>
      <c r="AC376" s="6">
        <v>12.4994</v>
      </c>
      <c r="AD376" s="6" t="s">
        <v>49</v>
      </c>
    </row>
    <row r="377" spans="1:30">
      <c r="A377" s="6" t="s">
        <v>1033</v>
      </c>
      <c r="B377" s="6">
        <v>1619</v>
      </c>
      <c r="C377" s="6" t="s">
        <v>645</v>
      </c>
      <c r="D377" s="6">
        <v>825</v>
      </c>
      <c r="E377" s="6">
        <v>7</v>
      </c>
      <c r="F377" s="6">
        <f t="shared" si="16"/>
        <v>345600</v>
      </c>
      <c r="G377" s="9">
        <v>5.0996514572634554E-14</v>
      </c>
      <c r="H377" s="10">
        <f t="shared" si="15"/>
        <v>0.26551380707076239</v>
      </c>
      <c r="I377" s="6">
        <v>2.3199999999999998</v>
      </c>
      <c r="J377" s="6" t="s">
        <v>59</v>
      </c>
      <c r="K377" s="6">
        <v>12</v>
      </c>
      <c r="L377" s="6">
        <v>1</v>
      </c>
      <c r="M377" s="6">
        <v>1</v>
      </c>
      <c r="N377" s="6">
        <v>1</v>
      </c>
      <c r="O377" s="6">
        <v>1</v>
      </c>
      <c r="P377" s="6">
        <v>74.8</v>
      </c>
      <c r="Q377" s="6">
        <v>0.2</v>
      </c>
      <c r="R377" s="6">
        <v>13.6</v>
      </c>
      <c r="T377" s="6">
        <v>1.06</v>
      </c>
      <c r="U377" s="6">
        <v>0.11</v>
      </c>
      <c r="V377" s="6">
        <v>0.47</v>
      </c>
      <c r="W377" s="6">
        <v>1.42</v>
      </c>
      <c r="X377" s="6">
        <v>3.36</v>
      </c>
      <c r="Y377" s="6">
        <v>4.68</v>
      </c>
      <c r="Z377" s="6">
        <v>0.18</v>
      </c>
      <c r="AA377" s="6">
        <v>7.0000000000000007E-2</v>
      </c>
      <c r="AB377" s="6">
        <v>92.9</v>
      </c>
      <c r="AC377" s="6">
        <v>11.7934</v>
      </c>
      <c r="AD377" s="6" t="s">
        <v>49</v>
      </c>
    </row>
    <row r="378" spans="1:30">
      <c r="A378" s="6" t="s">
        <v>1033</v>
      </c>
      <c r="B378" s="6">
        <v>1660</v>
      </c>
      <c r="C378" s="6" t="s">
        <v>645</v>
      </c>
      <c r="D378" s="6">
        <v>925</v>
      </c>
      <c r="E378" s="6">
        <v>7</v>
      </c>
      <c r="F378" s="6">
        <f t="shared" si="16"/>
        <v>345600</v>
      </c>
      <c r="G378" s="9">
        <v>1.9549928676947054E-13</v>
      </c>
      <c r="H378" s="10">
        <f t="shared" si="15"/>
        <v>0.51986364946023689</v>
      </c>
      <c r="I378" s="6">
        <v>2.33</v>
      </c>
      <c r="J378" s="6" t="s">
        <v>60</v>
      </c>
      <c r="K378" s="6">
        <v>29</v>
      </c>
      <c r="L378" s="6">
        <v>1</v>
      </c>
      <c r="M378" s="6">
        <v>1</v>
      </c>
      <c r="N378" s="6">
        <v>1</v>
      </c>
      <c r="O378" s="6">
        <v>1</v>
      </c>
      <c r="P378" s="6">
        <v>61.3</v>
      </c>
      <c r="Q378" s="6">
        <v>0.4</v>
      </c>
      <c r="R378" s="6">
        <v>18.100000000000001</v>
      </c>
      <c r="T378" s="6">
        <v>6.57</v>
      </c>
      <c r="U378" s="6">
        <v>0.18</v>
      </c>
      <c r="V378" s="6">
        <v>1.22</v>
      </c>
      <c r="W378" s="6">
        <v>3.8</v>
      </c>
      <c r="X378" s="6">
        <v>4.08</v>
      </c>
      <c r="Y378" s="6">
        <v>3.7</v>
      </c>
      <c r="Z378" s="6">
        <v>0.56999999999999995</v>
      </c>
      <c r="AA378" s="6">
        <v>0.1</v>
      </c>
      <c r="AB378" s="6">
        <v>93.6</v>
      </c>
      <c r="AC378" s="6">
        <v>6.2943899999999999</v>
      </c>
      <c r="AD378" s="6" t="s">
        <v>49</v>
      </c>
    </row>
    <row r="379" spans="1:30">
      <c r="A379" s="6" t="s">
        <v>1033</v>
      </c>
      <c r="B379" s="6">
        <v>1672</v>
      </c>
      <c r="C379" s="6" t="s">
        <v>645</v>
      </c>
      <c r="D379" s="6">
        <v>900</v>
      </c>
      <c r="E379" s="6">
        <v>7</v>
      </c>
      <c r="F379" s="6">
        <f t="shared" si="16"/>
        <v>345600</v>
      </c>
      <c r="G379" s="9">
        <v>1.4274849337614078E-13</v>
      </c>
      <c r="H379" s="10">
        <f t="shared" si="15"/>
        <v>0.44422462476001595</v>
      </c>
      <c r="I379" s="6">
        <v>2.33</v>
      </c>
      <c r="J379" s="6" t="s">
        <v>51</v>
      </c>
      <c r="K379" s="6">
        <v>29</v>
      </c>
      <c r="L379" s="6">
        <v>1</v>
      </c>
      <c r="M379" s="6">
        <v>1</v>
      </c>
      <c r="N379" s="6">
        <v>1</v>
      </c>
      <c r="O379" s="6">
        <v>1</v>
      </c>
      <c r="P379" s="6">
        <v>63.6</v>
      </c>
      <c r="Q379" s="6">
        <v>0.22</v>
      </c>
      <c r="R379" s="6">
        <v>18.600000000000001</v>
      </c>
      <c r="T379" s="6">
        <v>4.8499999999999996</v>
      </c>
      <c r="U379" s="6">
        <v>0.16</v>
      </c>
      <c r="V379" s="6">
        <v>0.92</v>
      </c>
      <c r="W379" s="6">
        <v>3.43</v>
      </c>
      <c r="X379" s="6">
        <v>4.24</v>
      </c>
      <c r="Y379" s="6">
        <v>3.69</v>
      </c>
      <c r="Z379" s="6">
        <v>0.31</v>
      </c>
      <c r="AA379" s="6">
        <v>0.05</v>
      </c>
      <c r="AB379" s="6">
        <v>93</v>
      </c>
      <c r="AC379" s="6">
        <v>6.08772</v>
      </c>
      <c r="AD379" s="6" t="s">
        <v>49</v>
      </c>
    </row>
    <row r="380" spans="1:30">
      <c r="A380" s="6" t="s">
        <v>1033</v>
      </c>
      <c r="B380" s="6">
        <v>1667</v>
      </c>
      <c r="C380" s="6" t="s">
        <v>645</v>
      </c>
      <c r="D380" s="6">
        <v>875</v>
      </c>
      <c r="E380" s="6">
        <v>7</v>
      </c>
      <c r="F380" s="6">
        <f t="shared" si="16"/>
        <v>345600</v>
      </c>
      <c r="G380" s="9">
        <v>1.028135457036711E-13</v>
      </c>
      <c r="H380" s="10">
        <f t="shared" si="15"/>
        <v>0.37700059095544525</v>
      </c>
      <c r="I380" s="6">
        <v>2.33</v>
      </c>
      <c r="J380" s="6" t="s">
        <v>61</v>
      </c>
      <c r="K380" s="6">
        <v>21</v>
      </c>
      <c r="L380" s="6">
        <v>1</v>
      </c>
      <c r="M380" s="6">
        <v>1</v>
      </c>
      <c r="N380" s="6">
        <v>1</v>
      </c>
      <c r="O380" s="6">
        <v>1</v>
      </c>
      <c r="P380" s="6">
        <v>65.5</v>
      </c>
      <c r="Q380" s="6">
        <v>0.27</v>
      </c>
      <c r="R380" s="6">
        <v>17.5</v>
      </c>
      <c r="T380" s="6">
        <v>4.68</v>
      </c>
      <c r="U380" s="6">
        <v>0.15</v>
      </c>
      <c r="V380" s="6">
        <v>0.77</v>
      </c>
      <c r="W380" s="6">
        <v>3.04</v>
      </c>
      <c r="X380" s="6">
        <v>4.0199999999999996</v>
      </c>
      <c r="Y380" s="6">
        <v>3.74</v>
      </c>
      <c r="Z380" s="6">
        <v>0.3</v>
      </c>
      <c r="AA380" s="6">
        <v>0.13</v>
      </c>
      <c r="AB380" s="6">
        <v>92.1</v>
      </c>
      <c r="AC380" s="6">
        <v>8.2189800000000002</v>
      </c>
      <c r="AD380" s="6" t="s">
        <v>49</v>
      </c>
    </row>
    <row r="381" spans="1:30">
      <c r="A381" s="6" t="s">
        <v>1033</v>
      </c>
      <c r="B381" s="6">
        <v>1662</v>
      </c>
      <c r="C381" s="6" t="s">
        <v>645</v>
      </c>
      <c r="D381" s="6">
        <v>850</v>
      </c>
      <c r="E381" s="6">
        <v>7</v>
      </c>
      <c r="F381" s="6">
        <f t="shared" si="16"/>
        <v>345600</v>
      </c>
      <c r="G381" s="9">
        <v>7.2976735414337512E-14</v>
      </c>
      <c r="H381" s="10">
        <f t="shared" si="15"/>
        <v>0.31762090459662784</v>
      </c>
      <c r="I381" s="6">
        <v>2.33</v>
      </c>
      <c r="J381" s="6" t="s">
        <v>61</v>
      </c>
      <c r="K381" s="6">
        <v>22</v>
      </c>
      <c r="L381" s="6">
        <v>1</v>
      </c>
      <c r="M381" s="6">
        <v>1</v>
      </c>
      <c r="N381" s="6">
        <v>1</v>
      </c>
      <c r="O381" s="6">
        <v>1</v>
      </c>
      <c r="P381" s="6">
        <v>66.900000000000006</v>
      </c>
      <c r="Q381" s="6">
        <v>0.19</v>
      </c>
      <c r="R381" s="6">
        <v>17.3</v>
      </c>
      <c r="T381" s="6">
        <v>4.45</v>
      </c>
      <c r="U381" s="6">
        <v>0.13</v>
      </c>
      <c r="V381" s="6">
        <v>0.53</v>
      </c>
      <c r="W381" s="6">
        <v>2.66</v>
      </c>
      <c r="X381" s="6">
        <v>4</v>
      </c>
      <c r="Y381" s="6">
        <v>3.5</v>
      </c>
      <c r="Z381" s="6">
        <v>0.24</v>
      </c>
      <c r="AA381" s="6">
        <v>0.11</v>
      </c>
      <c r="AB381" s="6">
        <v>91.1</v>
      </c>
      <c r="AC381" s="6">
        <v>8.0837400000000006</v>
      </c>
      <c r="AD381" s="6" t="s">
        <v>49</v>
      </c>
    </row>
    <row r="382" spans="1:30">
      <c r="A382" s="6" t="s">
        <v>1033</v>
      </c>
      <c r="B382" s="6">
        <v>1661</v>
      </c>
      <c r="C382" s="6" t="s">
        <v>645</v>
      </c>
      <c r="D382" s="6">
        <v>825</v>
      </c>
      <c r="E382" s="6">
        <v>7</v>
      </c>
      <c r="F382" s="6">
        <f t="shared" si="16"/>
        <v>345600</v>
      </c>
      <c r="G382" s="9">
        <v>5.0996514572634554E-14</v>
      </c>
      <c r="H382" s="10">
        <f t="shared" si="15"/>
        <v>0.26551380707076239</v>
      </c>
      <c r="I382" s="6">
        <v>2.33</v>
      </c>
      <c r="J382" s="6" t="s">
        <v>61</v>
      </c>
      <c r="K382" s="6">
        <v>18</v>
      </c>
      <c r="L382" s="6">
        <v>1</v>
      </c>
      <c r="M382" s="6">
        <v>1</v>
      </c>
      <c r="N382" s="6">
        <v>1</v>
      </c>
      <c r="O382" s="6">
        <v>1</v>
      </c>
      <c r="P382" s="6">
        <v>70</v>
      </c>
      <c r="Q382" s="6">
        <v>0.21</v>
      </c>
      <c r="R382" s="6">
        <v>16.399999999999999</v>
      </c>
      <c r="T382" s="6">
        <v>3.02</v>
      </c>
      <c r="U382" s="6">
        <v>0.12</v>
      </c>
      <c r="V382" s="6">
        <v>0.34</v>
      </c>
      <c r="W382" s="6">
        <v>2.14</v>
      </c>
      <c r="X382" s="6">
        <v>3.9</v>
      </c>
      <c r="Y382" s="6">
        <v>3.77</v>
      </c>
      <c r="Z382" s="6">
        <v>0.12</v>
      </c>
      <c r="AA382" s="6">
        <v>0.09</v>
      </c>
      <c r="AB382" s="6">
        <v>91.2</v>
      </c>
      <c r="AC382" s="6">
        <v>9.5428300000000004</v>
      </c>
      <c r="AD382" s="6" t="s">
        <v>49</v>
      </c>
    </row>
    <row r="383" spans="1:30">
      <c r="A383" s="6" t="s">
        <v>1033</v>
      </c>
      <c r="B383" s="6">
        <v>1606</v>
      </c>
      <c r="C383" s="6" t="s">
        <v>645</v>
      </c>
      <c r="D383" s="6">
        <v>950</v>
      </c>
      <c r="E383" s="6">
        <v>7</v>
      </c>
      <c r="F383" s="6">
        <f t="shared" si="16"/>
        <v>345600</v>
      </c>
      <c r="G383" s="9">
        <v>2.6432360916877484E-13</v>
      </c>
      <c r="H383" s="10">
        <f t="shared" si="15"/>
        <v>0.60448404223346897</v>
      </c>
      <c r="I383" s="6">
        <v>2.33</v>
      </c>
      <c r="J383" s="6" t="s">
        <v>54</v>
      </c>
      <c r="K383" s="6">
        <v>34</v>
      </c>
      <c r="L383" s="6">
        <v>1</v>
      </c>
      <c r="M383" s="6">
        <v>1</v>
      </c>
      <c r="N383" s="6">
        <v>1</v>
      </c>
      <c r="O383" s="6">
        <v>1</v>
      </c>
      <c r="P383" s="6">
        <v>60.2</v>
      </c>
      <c r="Q383" s="6">
        <v>0.61</v>
      </c>
      <c r="R383" s="6">
        <v>18.899999999999999</v>
      </c>
      <c r="T383" s="6">
        <v>5.29</v>
      </c>
      <c r="U383" s="6">
        <v>0.15</v>
      </c>
      <c r="V383" s="6">
        <v>1.79</v>
      </c>
      <c r="W383" s="6">
        <v>4.12</v>
      </c>
      <c r="X383" s="6">
        <v>3.59</v>
      </c>
      <c r="Y383" s="6">
        <v>4.55</v>
      </c>
      <c r="Z383" s="6">
        <v>0.71</v>
      </c>
      <c r="AA383" s="6">
        <v>7.0000000000000007E-2</v>
      </c>
      <c r="AB383" s="6">
        <v>95.1</v>
      </c>
      <c r="AC383" s="6">
        <v>5.3510900000000001</v>
      </c>
      <c r="AD383" s="6" t="s">
        <v>49</v>
      </c>
    </row>
    <row r="384" spans="1:30">
      <c r="A384" s="6" t="s">
        <v>1033</v>
      </c>
      <c r="B384" s="6">
        <v>1596</v>
      </c>
      <c r="C384" s="6" t="s">
        <v>645</v>
      </c>
      <c r="D384" s="6">
        <v>900</v>
      </c>
      <c r="E384" s="6">
        <v>7</v>
      </c>
      <c r="F384" s="6">
        <f t="shared" si="16"/>
        <v>345600</v>
      </c>
      <c r="G384" s="9">
        <v>1.4274849337614078E-13</v>
      </c>
      <c r="H384" s="10">
        <f t="shared" si="15"/>
        <v>0.44422462476001595</v>
      </c>
      <c r="I384" s="6">
        <v>2.33</v>
      </c>
      <c r="J384" s="6" t="s">
        <v>54</v>
      </c>
      <c r="K384" s="6">
        <v>23</v>
      </c>
      <c r="L384" s="6">
        <v>1</v>
      </c>
      <c r="M384" s="6">
        <v>1</v>
      </c>
      <c r="N384" s="6">
        <v>1</v>
      </c>
      <c r="O384" s="6">
        <v>1</v>
      </c>
      <c r="P384" s="6">
        <v>67.599999999999994</v>
      </c>
      <c r="Q384" s="6">
        <v>0.28999999999999998</v>
      </c>
      <c r="R384" s="6">
        <v>16.899999999999999</v>
      </c>
      <c r="T384" s="6">
        <v>3.26</v>
      </c>
      <c r="U384" s="6">
        <v>0.09</v>
      </c>
      <c r="V384" s="6">
        <v>0.69</v>
      </c>
      <c r="W384" s="6">
        <v>2.58</v>
      </c>
      <c r="X384" s="6">
        <v>3.62</v>
      </c>
      <c r="Y384" s="6">
        <v>4.8099999999999996</v>
      </c>
      <c r="Z384" s="6">
        <v>0.2</v>
      </c>
      <c r="AA384" s="6">
        <v>0.05</v>
      </c>
      <c r="AB384" s="6">
        <v>93.8</v>
      </c>
      <c r="AC384" s="6">
        <v>6.4517600000000002</v>
      </c>
      <c r="AD384" s="6" t="s">
        <v>49</v>
      </c>
    </row>
    <row r="385" spans="1:30">
      <c r="A385" s="6" t="s">
        <v>1033</v>
      </c>
      <c r="B385" s="6">
        <v>1607</v>
      </c>
      <c r="C385" s="6" t="s">
        <v>645</v>
      </c>
      <c r="D385" s="6">
        <v>850</v>
      </c>
      <c r="E385" s="6">
        <v>7</v>
      </c>
      <c r="F385" s="6">
        <f t="shared" si="16"/>
        <v>345600</v>
      </c>
      <c r="G385" s="9">
        <v>7.2976735414337512E-14</v>
      </c>
      <c r="H385" s="10">
        <f t="shared" si="15"/>
        <v>0.31762090459662784</v>
      </c>
      <c r="I385" s="6">
        <v>2.33</v>
      </c>
      <c r="J385" s="6" t="s">
        <v>54</v>
      </c>
      <c r="K385" s="6">
        <v>20</v>
      </c>
      <c r="L385" s="6">
        <v>1</v>
      </c>
      <c r="M385" s="6">
        <v>1</v>
      </c>
      <c r="N385" s="6">
        <v>1</v>
      </c>
      <c r="O385" s="6">
        <v>1</v>
      </c>
      <c r="P385" s="6">
        <v>68.3</v>
      </c>
      <c r="Q385" s="6">
        <v>0.24</v>
      </c>
      <c r="R385" s="6">
        <v>16.8</v>
      </c>
      <c r="T385" s="6">
        <v>3.36</v>
      </c>
      <c r="U385" s="6">
        <v>0.12</v>
      </c>
      <c r="V385" s="6">
        <v>0.53</v>
      </c>
      <c r="W385" s="6">
        <v>2.4900000000000002</v>
      </c>
      <c r="X385" s="6">
        <v>3.43</v>
      </c>
      <c r="Y385" s="6">
        <v>4.3899999999999997</v>
      </c>
      <c r="Z385" s="6">
        <v>0.21</v>
      </c>
      <c r="AA385" s="6">
        <v>0.05</v>
      </c>
      <c r="AB385" s="6">
        <v>92.5</v>
      </c>
      <c r="AC385" s="6">
        <v>7.2251099999999999</v>
      </c>
      <c r="AD385" s="6" t="s">
        <v>49</v>
      </c>
    </row>
    <row r="386" spans="1:30">
      <c r="A386" s="6" t="s">
        <v>1033</v>
      </c>
      <c r="B386" s="6">
        <v>1697</v>
      </c>
      <c r="C386" s="6" t="s">
        <v>645</v>
      </c>
      <c r="D386" s="6">
        <v>875</v>
      </c>
      <c r="E386" s="6">
        <v>7</v>
      </c>
      <c r="F386" s="6">
        <f t="shared" si="16"/>
        <v>345600</v>
      </c>
      <c r="G386" s="9">
        <v>1.028135457036711E-13</v>
      </c>
      <c r="H386" s="10">
        <f t="shared" ref="H386:H442" si="17">2*SQRT(G386*F386)*1000</f>
        <v>0.37700059095544525</v>
      </c>
      <c r="I386" s="6">
        <v>2.33</v>
      </c>
      <c r="J386" s="6" t="s">
        <v>54</v>
      </c>
      <c r="K386" s="6">
        <v>20</v>
      </c>
      <c r="L386" s="6">
        <v>1</v>
      </c>
      <c r="M386" s="6">
        <v>1</v>
      </c>
      <c r="N386" s="6">
        <v>1</v>
      </c>
      <c r="O386" s="6">
        <v>1</v>
      </c>
      <c r="P386" s="6">
        <v>69.599999999999994</v>
      </c>
      <c r="Q386" s="6">
        <v>0.25</v>
      </c>
      <c r="R386" s="6">
        <v>16.2</v>
      </c>
      <c r="T386" s="6">
        <v>2.4</v>
      </c>
      <c r="U386" s="6">
        <v>0.1</v>
      </c>
      <c r="V386" s="6">
        <v>0.59</v>
      </c>
      <c r="W386" s="6">
        <v>2.25</v>
      </c>
      <c r="X386" s="6">
        <v>3.56</v>
      </c>
      <c r="Y386" s="6">
        <v>4.7</v>
      </c>
      <c r="Z386" s="6">
        <v>0.19</v>
      </c>
      <c r="AA386" s="6">
        <v>0.14000000000000001</v>
      </c>
      <c r="AB386" s="6">
        <v>94.6</v>
      </c>
      <c r="AC386" s="6">
        <v>7.2596299999999996</v>
      </c>
      <c r="AD386" s="6" t="s">
        <v>49</v>
      </c>
    </row>
    <row r="387" spans="1:30">
      <c r="A387" s="6" t="s">
        <v>1033</v>
      </c>
      <c r="B387" s="6">
        <v>1693</v>
      </c>
      <c r="C387" s="6" t="s">
        <v>645</v>
      </c>
      <c r="D387" s="6">
        <v>850</v>
      </c>
      <c r="E387" s="6">
        <v>7</v>
      </c>
      <c r="F387" s="6">
        <f t="shared" si="16"/>
        <v>345600</v>
      </c>
      <c r="G387" s="9">
        <v>7.2976735414337512E-14</v>
      </c>
      <c r="H387" s="10">
        <f t="shared" si="17"/>
        <v>0.31762090459662784</v>
      </c>
      <c r="I387" s="6">
        <v>2.33</v>
      </c>
      <c r="J387" s="6" t="s">
        <v>54</v>
      </c>
      <c r="K387" s="6">
        <v>19</v>
      </c>
      <c r="L387" s="6">
        <v>1</v>
      </c>
      <c r="M387" s="6">
        <v>1</v>
      </c>
      <c r="N387" s="6">
        <v>1</v>
      </c>
      <c r="O387" s="6">
        <v>1</v>
      </c>
      <c r="P387" s="6">
        <v>71.2</v>
      </c>
      <c r="Q387" s="6">
        <v>0.19</v>
      </c>
      <c r="R387" s="6">
        <v>15.5</v>
      </c>
      <c r="T387" s="6">
        <v>2.06</v>
      </c>
      <c r="U387" s="6">
        <v>0.06</v>
      </c>
      <c r="V387" s="6">
        <v>0.47</v>
      </c>
      <c r="W387" s="6">
        <v>2.12</v>
      </c>
      <c r="X387" s="6">
        <v>3.47</v>
      </c>
      <c r="Y387" s="6">
        <v>4.63</v>
      </c>
      <c r="Z387" s="6">
        <v>0.16</v>
      </c>
      <c r="AA387" s="6">
        <v>0.19</v>
      </c>
      <c r="AB387" s="6">
        <v>92.8</v>
      </c>
      <c r="AC387" s="6">
        <v>7.49796</v>
      </c>
      <c r="AD387" s="6" t="s">
        <v>49</v>
      </c>
    </row>
    <row r="388" spans="1:30">
      <c r="A388" s="6" t="s">
        <v>1033</v>
      </c>
      <c r="B388" s="6">
        <v>1723</v>
      </c>
      <c r="C388" s="6" t="s">
        <v>645</v>
      </c>
      <c r="D388" s="6">
        <v>925</v>
      </c>
      <c r="E388" s="6">
        <v>7</v>
      </c>
      <c r="F388" s="6">
        <f t="shared" ref="F388:F404" si="18">4*3600*24</f>
        <v>345600</v>
      </c>
      <c r="G388" s="9">
        <v>1.9549928676947054E-13</v>
      </c>
      <c r="H388" s="10">
        <f t="shared" si="17"/>
        <v>0.51986364946023689</v>
      </c>
      <c r="I388" s="6">
        <v>2.33</v>
      </c>
      <c r="J388" s="6" t="s">
        <v>59</v>
      </c>
      <c r="K388" s="6">
        <v>23</v>
      </c>
      <c r="L388" s="6">
        <v>1</v>
      </c>
      <c r="M388" s="6">
        <v>1</v>
      </c>
      <c r="N388" s="6">
        <v>1</v>
      </c>
      <c r="O388" s="6">
        <v>1</v>
      </c>
      <c r="P388" s="6">
        <v>68.599999999999994</v>
      </c>
      <c r="Q388" s="6">
        <v>0.35</v>
      </c>
      <c r="R388" s="6">
        <v>16.3</v>
      </c>
      <c r="T388" s="6">
        <v>2.2000000000000002</v>
      </c>
      <c r="U388" s="6">
        <v>0.1</v>
      </c>
      <c r="V388" s="6">
        <v>0.85</v>
      </c>
      <c r="W388" s="6">
        <v>2.27</v>
      </c>
      <c r="X388" s="6">
        <v>3.5</v>
      </c>
      <c r="Y388" s="6">
        <v>5.45</v>
      </c>
      <c r="Z388" s="6">
        <v>0.2</v>
      </c>
      <c r="AA388" s="6">
        <v>0.06</v>
      </c>
      <c r="AB388" s="6">
        <v>94.4</v>
      </c>
      <c r="AC388" s="6">
        <v>7.0302499999999997</v>
      </c>
      <c r="AD388" s="6" t="s">
        <v>49</v>
      </c>
    </row>
    <row r="389" spans="1:30">
      <c r="A389" s="6" t="s">
        <v>1033</v>
      </c>
      <c r="B389" s="6">
        <v>1657</v>
      </c>
      <c r="C389" s="6" t="s">
        <v>645</v>
      </c>
      <c r="D389" s="6">
        <v>900</v>
      </c>
      <c r="E389" s="6">
        <v>7</v>
      </c>
      <c r="F389" s="6">
        <f t="shared" si="18"/>
        <v>345600</v>
      </c>
      <c r="G389" s="9">
        <v>1.4274849337614078E-13</v>
      </c>
      <c r="H389" s="10">
        <f t="shared" si="17"/>
        <v>0.44422462476001595</v>
      </c>
      <c r="I389" s="6">
        <v>2.33</v>
      </c>
      <c r="J389" s="6" t="s">
        <v>58</v>
      </c>
      <c r="K389" s="6">
        <v>21</v>
      </c>
      <c r="L389" s="6">
        <v>1</v>
      </c>
      <c r="M389" s="6">
        <v>1</v>
      </c>
      <c r="N389" s="6">
        <v>1</v>
      </c>
      <c r="O389" s="6">
        <v>1</v>
      </c>
      <c r="P389" s="6">
        <v>71.2</v>
      </c>
      <c r="Q389" s="6">
        <v>0.12</v>
      </c>
      <c r="R389" s="6">
        <v>15.4</v>
      </c>
      <c r="T389" s="6">
        <v>1.24</v>
      </c>
      <c r="U389" s="6">
        <v>0.1</v>
      </c>
      <c r="V389" s="6">
        <v>0.71</v>
      </c>
      <c r="W389" s="6">
        <v>1.61</v>
      </c>
      <c r="X389" s="6">
        <v>3.37</v>
      </c>
      <c r="Y389" s="6">
        <v>5.94</v>
      </c>
      <c r="Z389" s="6">
        <v>0.12</v>
      </c>
      <c r="AA389" s="6">
        <v>7.0000000000000007E-2</v>
      </c>
      <c r="AB389" s="6">
        <v>95.1</v>
      </c>
      <c r="AC389" s="6">
        <v>7.7103999999999999</v>
      </c>
      <c r="AD389" s="6" t="s">
        <v>49</v>
      </c>
    </row>
    <row r="390" spans="1:30">
      <c r="A390" s="6" t="s">
        <v>1033</v>
      </c>
      <c r="B390" s="6">
        <v>1659</v>
      </c>
      <c r="C390" s="6" t="s">
        <v>645</v>
      </c>
      <c r="D390" s="6">
        <v>875</v>
      </c>
      <c r="E390" s="6">
        <v>7</v>
      </c>
      <c r="F390" s="6">
        <f t="shared" si="18"/>
        <v>345600</v>
      </c>
      <c r="G390" s="9">
        <v>1.028135457036711E-13</v>
      </c>
      <c r="H390" s="10">
        <f t="shared" si="17"/>
        <v>0.37700059095544525</v>
      </c>
      <c r="I390" s="6">
        <v>2.33</v>
      </c>
      <c r="J390" s="6" t="s">
        <v>58</v>
      </c>
      <c r="K390" s="6">
        <v>19</v>
      </c>
      <c r="L390" s="6">
        <v>1</v>
      </c>
      <c r="M390" s="6">
        <v>1</v>
      </c>
      <c r="N390" s="6">
        <v>1</v>
      </c>
      <c r="O390" s="6">
        <v>1</v>
      </c>
      <c r="P390" s="6">
        <v>72.8</v>
      </c>
      <c r="Q390" s="6">
        <v>0.17</v>
      </c>
      <c r="R390" s="6">
        <v>14.5</v>
      </c>
      <c r="T390" s="6">
        <v>1.29</v>
      </c>
      <c r="U390" s="6">
        <v>0.1</v>
      </c>
      <c r="V390" s="6">
        <v>0.56000000000000005</v>
      </c>
      <c r="W390" s="6">
        <v>1.48</v>
      </c>
      <c r="X390" s="6">
        <v>3.22</v>
      </c>
      <c r="Y390" s="6">
        <v>5.64</v>
      </c>
      <c r="Z390" s="6">
        <v>0.1</v>
      </c>
      <c r="AA390" s="6">
        <v>0.06</v>
      </c>
      <c r="AB390" s="6">
        <v>94</v>
      </c>
      <c r="AC390" s="6">
        <v>8.1548400000000001</v>
      </c>
      <c r="AD390" s="6" t="s">
        <v>49</v>
      </c>
    </row>
    <row r="391" spans="1:30">
      <c r="A391" s="6" t="s">
        <v>1033</v>
      </c>
      <c r="B391" s="6">
        <v>1665</v>
      </c>
      <c r="C391" s="6" t="s">
        <v>645</v>
      </c>
      <c r="D391" s="6">
        <v>850</v>
      </c>
      <c r="E391" s="6">
        <v>7</v>
      </c>
      <c r="F391" s="6">
        <f t="shared" si="18"/>
        <v>345600</v>
      </c>
      <c r="G391" s="9">
        <v>7.2976735414337512E-14</v>
      </c>
      <c r="H391" s="10">
        <f t="shared" si="17"/>
        <v>0.31762090459662784</v>
      </c>
      <c r="I391" s="6">
        <v>2.33</v>
      </c>
      <c r="J391" s="6" t="s">
        <v>58</v>
      </c>
      <c r="K391" s="6">
        <v>19</v>
      </c>
      <c r="L391" s="6">
        <v>1</v>
      </c>
      <c r="M391" s="6">
        <v>1</v>
      </c>
      <c r="N391" s="6">
        <v>1</v>
      </c>
      <c r="O391" s="6">
        <v>1</v>
      </c>
      <c r="P391" s="6">
        <v>73.5</v>
      </c>
      <c r="Q391" s="6">
        <v>0.14000000000000001</v>
      </c>
      <c r="R391" s="6">
        <v>14.7</v>
      </c>
      <c r="T391" s="6">
        <v>1</v>
      </c>
      <c r="U391" s="6">
        <v>0.13</v>
      </c>
      <c r="V391" s="6">
        <v>0.57999999999999996</v>
      </c>
      <c r="W391" s="6">
        <v>1.51</v>
      </c>
      <c r="X391" s="6">
        <v>3.21</v>
      </c>
      <c r="Y391" s="6">
        <v>5.1100000000000003</v>
      </c>
      <c r="Z391" s="6">
        <v>7.0000000000000007E-2</v>
      </c>
      <c r="AA391" s="6">
        <v>0.09</v>
      </c>
      <c r="AB391" s="6">
        <v>94</v>
      </c>
      <c r="AC391" s="6">
        <v>7.9068300000000002</v>
      </c>
      <c r="AD391" s="6" t="s">
        <v>49</v>
      </c>
    </row>
    <row r="392" spans="1:30">
      <c r="A392" s="6" t="s">
        <v>1033</v>
      </c>
      <c r="B392" s="6">
        <v>1652</v>
      </c>
      <c r="C392" s="6" t="s">
        <v>645</v>
      </c>
      <c r="D392" s="6">
        <v>825</v>
      </c>
      <c r="E392" s="6">
        <v>7</v>
      </c>
      <c r="F392" s="6">
        <f t="shared" si="18"/>
        <v>345600</v>
      </c>
      <c r="G392" s="9">
        <v>5.0996514572634554E-14</v>
      </c>
      <c r="H392" s="10">
        <f t="shared" si="17"/>
        <v>0.26551380707076239</v>
      </c>
      <c r="I392" s="6">
        <v>2.33</v>
      </c>
      <c r="J392" s="6" t="s">
        <v>58</v>
      </c>
      <c r="K392" s="6">
        <v>17</v>
      </c>
      <c r="L392" s="6">
        <v>1</v>
      </c>
      <c r="M392" s="6">
        <v>1</v>
      </c>
      <c r="N392" s="6">
        <v>1</v>
      </c>
      <c r="O392" s="6">
        <v>1</v>
      </c>
      <c r="P392" s="6">
        <v>74.7</v>
      </c>
      <c r="Q392" s="6">
        <v>0.06</v>
      </c>
      <c r="R392" s="6">
        <v>14.1</v>
      </c>
      <c r="T392" s="6">
        <v>0.99</v>
      </c>
      <c r="U392" s="6">
        <v>7.0000000000000007E-2</v>
      </c>
      <c r="V392" s="6">
        <v>0.32</v>
      </c>
      <c r="W392" s="6">
        <v>1.34</v>
      </c>
      <c r="X392" s="6">
        <v>2.82</v>
      </c>
      <c r="Y392" s="6">
        <v>5.39</v>
      </c>
      <c r="Z392" s="6">
        <v>0.16</v>
      </c>
      <c r="AA392" s="6">
        <v>0.01</v>
      </c>
      <c r="AB392" s="6">
        <v>93.3</v>
      </c>
      <c r="AC392" s="6">
        <v>8.7056199999999997</v>
      </c>
      <c r="AD392" s="6" t="s">
        <v>49</v>
      </c>
    </row>
    <row r="393" spans="1:30">
      <c r="A393" s="6" t="s">
        <v>1033</v>
      </c>
      <c r="B393" s="6">
        <v>1635</v>
      </c>
      <c r="C393" s="6" t="s">
        <v>645</v>
      </c>
      <c r="D393" s="6">
        <v>825</v>
      </c>
      <c r="E393" s="6">
        <v>7</v>
      </c>
      <c r="F393" s="6">
        <f t="shared" si="18"/>
        <v>345600</v>
      </c>
      <c r="G393" s="9">
        <v>5.0996514572634554E-14</v>
      </c>
      <c r="H393" s="10">
        <f t="shared" si="17"/>
        <v>0.26551380707076239</v>
      </c>
      <c r="I393" s="6">
        <v>1.68</v>
      </c>
      <c r="J393" s="6" t="s">
        <v>62</v>
      </c>
      <c r="K393" s="6">
        <v>21</v>
      </c>
      <c r="L393" s="6">
        <v>1</v>
      </c>
      <c r="M393" s="6">
        <v>1</v>
      </c>
      <c r="N393" s="6">
        <v>1</v>
      </c>
      <c r="O393" s="6">
        <v>1</v>
      </c>
      <c r="P393" s="6">
        <v>73.8</v>
      </c>
      <c r="Q393" s="6">
        <v>0.2</v>
      </c>
      <c r="R393" s="6">
        <v>14.4</v>
      </c>
      <c r="T393" s="6">
        <v>1.76</v>
      </c>
      <c r="U393" s="6">
        <v>0.03</v>
      </c>
      <c r="V393" s="6">
        <v>0.47</v>
      </c>
      <c r="W393" s="6">
        <v>2.5499999999999998</v>
      </c>
      <c r="X393" s="6">
        <v>2.75</v>
      </c>
      <c r="Y393" s="6">
        <v>3.97</v>
      </c>
      <c r="Z393" s="6">
        <v>7.0000000000000007E-2</v>
      </c>
      <c r="AA393" s="6">
        <v>0.12</v>
      </c>
      <c r="AB393" s="6">
        <v>91.4</v>
      </c>
      <c r="AC393" s="6">
        <v>5.2839</v>
      </c>
      <c r="AD393" s="6" t="s">
        <v>49</v>
      </c>
    </row>
    <row r="394" spans="1:30">
      <c r="A394" s="6" t="s">
        <v>1033</v>
      </c>
      <c r="B394" s="6">
        <v>1641</v>
      </c>
      <c r="C394" s="6" t="s">
        <v>645</v>
      </c>
      <c r="D394" s="6">
        <v>925</v>
      </c>
      <c r="E394" s="6">
        <v>7</v>
      </c>
      <c r="F394" s="6">
        <f t="shared" si="18"/>
        <v>345600</v>
      </c>
      <c r="G394" s="9">
        <v>1.9549928676947054E-13</v>
      </c>
      <c r="H394" s="10">
        <f t="shared" si="17"/>
        <v>0.51986364946023689</v>
      </c>
      <c r="I394" s="6">
        <v>1.68</v>
      </c>
      <c r="J394" s="6" t="s">
        <v>63</v>
      </c>
      <c r="K394" s="6">
        <v>33</v>
      </c>
      <c r="L394" s="6">
        <v>1</v>
      </c>
      <c r="M394" s="6">
        <v>1</v>
      </c>
      <c r="N394" s="6">
        <v>1</v>
      </c>
      <c r="O394" s="6">
        <v>1</v>
      </c>
      <c r="P394" s="6">
        <v>63.5</v>
      </c>
      <c r="Q394" s="6">
        <v>0.78</v>
      </c>
      <c r="R394" s="6">
        <v>17.3</v>
      </c>
      <c r="T394" s="6">
        <v>5.34</v>
      </c>
      <c r="U394" s="6">
        <v>0.12</v>
      </c>
      <c r="V394" s="6">
        <v>1.4</v>
      </c>
      <c r="W394" s="6">
        <v>4.62</v>
      </c>
      <c r="X394" s="6">
        <v>3.47</v>
      </c>
      <c r="Y394" s="6">
        <v>3.06</v>
      </c>
      <c r="Z394" s="6">
        <v>0.32</v>
      </c>
      <c r="AA394" s="6">
        <v>0.06</v>
      </c>
      <c r="AB394" s="6">
        <v>92.5</v>
      </c>
      <c r="AC394" s="6">
        <v>4.3167900000000001</v>
      </c>
      <c r="AD394" s="6" t="s">
        <v>47</v>
      </c>
    </row>
    <row r="395" spans="1:30">
      <c r="A395" s="6" t="s">
        <v>1033</v>
      </c>
      <c r="B395" s="6">
        <v>1649</v>
      </c>
      <c r="C395" s="6" t="s">
        <v>645</v>
      </c>
      <c r="D395" s="6">
        <v>900</v>
      </c>
      <c r="E395" s="6">
        <v>7</v>
      </c>
      <c r="F395" s="6">
        <f t="shared" si="18"/>
        <v>345600</v>
      </c>
      <c r="G395" s="9">
        <v>1.4274849337614078E-13</v>
      </c>
      <c r="H395" s="10">
        <f t="shared" si="17"/>
        <v>0.44422462476001595</v>
      </c>
      <c r="I395" s="6">
        <v>1.68</v>
      </c>
      <c r="J395" s="6" t="s">
        <v>63</v>
      </c>
      <c r="K395" s="6">
        <v>29</v>
      </c>
      <c r="L395" s="6">
        <v>1</v>
      </c>
      <c r="M395" s="6">
        <v>1</v>
      </c>
      <c r="N395" s="6">
        <v>1</v>
      </c>
      <c r="O395" s="6">
        <v>1</v>
      </c>
      <c r="P395" s="6">
        <v>67.2</v>
      </c>
      <c r="Q395" s="6">
        <v>0.57999999999999996</v>
      </c>
      <c r="R395" s="6">
        <v>16.8</v>
      </c>
      <c r="T395" s="6">
        <v>3.75</v>
      </c>
      <c r="U395" s="6">
        <v>0.08</v>
      </c>
      <c r="V395" s="6">
        <v>0.89</v>
      </c>
      <c r="W395" s="6">
        <v>3.96</v>
      </c>
      <c r="X395" s="6">
        <v>3.22</v>
      </c>
      <c r="Y395" s="6">
        <v>3.28</v>
      </c>
      <c r="Z395" s="6">
        <v>0.18</v>
      </c>
      <c r="AA395" s="6">
        <v>0.05</v>
      </c>
      <c r="AB395" s="6">
        <v>92.5</v>
      </c>
      <c r="AC395" s="6">
        <v>4.3701699999999999</v>
      </c>
      <c r="AD395" s="6" t="s">
        <v>47</v>
      </c>
    </row>
    <row r="396" spans="1:30">
      <c r="A396" s="6" t="s">
        <v>1033</v>
      </c>
      <c r="B396" s="6">
        <v>1650</v>
      </c>
      <c r="C396" s="6" t="s">
        <v>645</v>
      </c>
      <c r="D396" s="6">
        <v>875</v>
      </c>
      <c r="E396" s="6">
        <v>7</v>
      </c>
      <c r="F396" s="6">
        <f t="shared" si="18"/>
        <v>345600</v>
      </c>
      <c r="G396" s="9">
        <v>1.028135457036711E-13</v>
      </c>
      <c r="H396" s="10">
        <f t="shared" si="17"/>
        <v>0.37700059095544525</v>
      </c>
      <c r="I396" s="6">
        <v>1.68</v>
      </c>
      <c r="J396" s="6" t="s">
        <v>63</v>
      </c>
      <c r="K396" s="6">
        <v>28</v>
      </c>
      <c r="L396" s="6">
        <v>1</v>
      </c>
      <c r="M396" s="6">
        <v>1</v>
      </c>
      <c r="N396" s="6">
        <v>1</v>
      </c>
      <c r="O396" s="6">
        <v>1</v>
      </c>
      <c r="P396" s="6">
        <v>68.7</v>
      </c>
      <c r="Q396" s="6">
        <v>0.41</v>
      </c>
      <c r="R396" s="6">
        <v>16.399999999999999</v>
      </c>
      <c r="T396" s="6">
        <v>3.18</v>
      </c>
      <c r="U396" s="6">
        <v>7.0000000000000007E-2</v>
      </c>
      <c r="V396" s="6">
        <v>0.75</v>
      </c>
      <c r="W396" s="6">
        <v>3.57</v>
      </c>
      <c r="X396" s="6">
        <v>3.19</v>
      </c>
      <c r="Y396" s="6">
        <v>3.53</v>
      </c>
      <c r="Z396" s="6">
        <v>0.14000000000000001</v>
      </c>
      <c r="AA396" s="6">
        <v>0.04</v>
      </c>
      <c r="AB396" s="6">
        <v>92.2</v>
      </c>
      <c r="AC396" s="6">
        <v>4.43208</v>
      </c>
      <c r="AD396" s="6" t="s">
        <v>47</v>
      </c>
    </row>
    <row r="397" spans="1:30">
      <c r="A397" s="6" t="s">
        <v>1033</v>
      </c>
      <c r="B397" s="6">
        <v>1644</v>
      </c>
      <c r="C397" s="6" t="s">
        <v>645</v>
      </c>
      <c r="D397" s="6">
        <v>850</v>
      </c>
      <c r="E397" s="6">
        <v>7</v>
      </c>
      <c r="F397" s="6">
        <f t="shared" si="18"/>
        <v>345600</v>
      </c>
      <c r="G397" s="9">
        <v>7.2976735414337512E-14</v>
      </c>
      <c r="H397" s="10">
        <f t="shared" si="17"/>
        <v>0.31762090459662784</v>
      </c>
      <c r="I397" s="6">
        <v>1.68</v>
      </c>
      <c r="J397" s="6" t="s">
        <v>63</v>
      </c>
      <c r="K397" s="6">
        <v>25</v>
      </c>
      <c r="L397" s="6">
        <v>1</v>
      </c>
      <c r="M397" s="6">
        <v>1</v>
      </c>
      <c r="N397" s="6">
        <v>1</v>
      </c>
      <c r="O397" s="6">
        <v>1</v>
      </c>
      <c r="P397" s="6">
        <v>71.3</v>
      </c>
      <c r="Q397" s="6">
        <v>0.33</v>
      </c>
      <c r="R397" s="6">
        <v>15.5</v>
      </c>
      <c r="T397" s="6">
        <v>2.39</v>
      </c>
      <c r="U397" s="6">
        <v>0.1</v>
      </c>
      <c r="V397" s="6">
        <v>0.64</v>
      </c>
      <c r="W397" s="6">
        <v>2.98</v>
      </c>
      <c r="X397" s="6">
        <v>2.92</v>
      </c>
      <c r="Y397" s="6">
        <v>3.72</v>
      </c>
      <c r="Z397" s="6">
        <v>7.0000000000000007E-2</v>
      </c>
      <c r="AA397" s="6">
        <v>0.04</v>
      </c>
      <c r="AB397" s="6">
        <v>91.5</v>
      </c>
      <c r="AC397" s="6">
        <v>4.45892</v>
      </c>
      <c r="AD397" s="6" t="s">
        <v>47</v>
      </c>
    </row>
    <row r="398" spans="1:30">
      <c r="A398" s="6" t="s">
        <v>1033</v>
      </c>
      <c r="B398" s="6">
        <v>1642</v>
      </c>
      <c r="C398" s="6" t="s">
        <v>645</v>
      </c>
      <c r="D398" s="6">
        <v>825</v>
      </c>
      <c r="E398" s="6">
        <v>7</v>
      </c>
      <c r="F398" s="6">
        <f t="shared" si="18"/>
        <v>345600</v>
      </c>
      <c r="G398" s="9">
        <v>5.0996514572634554E-14</v>
      </c>
      <c r="H398" s="10">
        <f t="shared" si="17"/>
        <v>0.26551380707076239</v>
      </c>
      <c r="I398" s="6">
        <v>1.68</v>
      </c>
      <c r="J398" s="6" t="s">
        <v>63</v>
      </c>
      <c r="K398" s="6">
        <v>22</v>
      </c>
      <c r="L398" s="6">
        <v>1</v>
      </c>
      <c r="M398" s="6">
        <v>1</v>
      </c>
      <c r="N398" s="6">
        <v>1</v>
      </c>
      <c r="O398" s="6">
        <v>1</v>
      </c>
      <c r="P398" s="6">
        <v>73.099999999999994</v>
      </c>
      <c r="Q398" s="6">
        <v>0.27</v>
      </c>
      <c r="R398" s="6">
        <v>14.7</v>
      </c>
      <c r="T398" s="6">
        <v>2.0099999999999998</v>
      </c>
      <c r="U398" s="6">
        <v>0.09</v>
      </c>
      <c r="V398" s="6">
        <v>0.49</v>
      </c>
      <c r="W398" s="6">
        <v>2.58</v>
      </c>
      <c r="X398" s="6">
        <v>2.75</v>
      </c>
      <c r="Y398" s="6">
        <v>3.93</v>
      </c>
      <c r="Z398" s="6">
        <v>0.05</v>
      </c>
      <c r="AA398" s="6">
        <v>0.03</v>
      </c>
      <c r="AB398" s="6">
        <v>91.3</v>
      </c>
      <c r="AC398" s="6">
        <v>4.5934299999999997</v>
      </c>
      <c r="AD398" s="6" t="s">
        <v>47</v>
      </c>
    </row>
    <row r="399" spans="1:30">
      <c r="A399" s="6" t="s">
        <v>1033</v>
      </c>
      <c r="B399" s="6">
        <v>1695</v>
      </c>
      <c r="C399" s="6" t="s">
        <v>645</v>
      </c>
      <c r="D399" s="6">
        <v>875</v>
      </c>
      <c r="E399" s="6">
        <v>7</v>
      </c>
      <c r="F399" s="6">
        <f t="shared" si="18"/>
        <v>345600</v>
      </c>
      <c r="G399" s="9">
        <v>1.028135457036711E-13</v>
      </c>
      <c r="H399" s="10">
        <f t="shared" si="17"/>
        <v>0.37700059095544525</v>
      </c>
      <c r="I399" s="6">
        <v>1.68</v>
      </c>
      <c r="J399" s="6" t="s">
        <v>64</v>
      </c>
      <c r="K399" s="6">
        <v>26</v>
      </c>
      <c r="L399" s="6">
        <v>1</v>
      </c>
      <c r="M399" s="6">
        <v>1</v>
      </c>
      <c r="N399" s="6">
        <v>1</v>
      </c>
      <c r="O399" s="6">
        <v>1</v>
      </c>
      <c r="P399" s="6">
        <v>71.900000000000006</v>
      </c>
      <c r="Q399" s="6">
        <v>0.41</v>
      </c>
      <c r="R399" s="6">
        <v>14.8</v>
      </c>
      <c r="T399" s="6">
        <v>2.4900000000000002</v>
      </c>
      <c r="U399" s="6">
        <v>0.05</v>
      </c>
      <c r="V399" s="6">
        <v>0.6</v>
      </c>
      <c r="W399" s="6">
        <v>2.84</v>
      </c>
      <c r="X399" s="6">
        <v>2.87</v>
      </c>
      <c r="Y399" s="6">
        <v>3.78</v>
      </c>
      <c r="Z399" s="6">
        <v>0.11</v>
      </c>
      <c r="AA399" s="6">
        <v>0.09</v>
      </c>
      <c r="AB399" s="6">
        <v>93.2</v>
      </c>
      <c r="AC399" s="6">
        <v>4.76877</v>
      </c>
      <c r="AD399" s="6" t="s">
        <v>47</v>
      </c>
    </row>
    <row r="400" spans="1:30">
      <c r="A400" s="6" t="s">
        <v>1033</v>
      </c>
      <c r="B400" s="6">
        <v>1637</v>
      </c>
      <c r="C400" s="6" t="s">
        <v>645</v>
      </c>
      <c r="D400" s="6">
        <v>925</v>
      </c>
      <c r="E400" s="6">
        <v>7</v>
      </c>
      <c r="F400" s="6">
        <f t="shared" si="18"/>
        <v>345600</v>
      </c>
      <c r="G400" s="9">
        <v>1.9549928676947054E-13</v>
      </c>
      <c r="H400" s="10">
        <f t="shared" si="17"/>
        <v>0.51986364946023689</v>
      </c>
      <c r="I400" s="6">
        <v>1.68</v>
      </c>
      <c r="J400" s="6" t="s">
        <v>65</v>
      </c>
      <c r="K400" s="6">
        <v>25</v>
      </c>
      <c r="L400" s="6">
        <v>1</v>
      </c>
      <c r="M400" s="6">
        <v>1</v>
      </c>
      <c r="N400" s="6">
        <v>1</v>
      </c>
      <c r="O400" s="6">
        <v>1</v>
      </c>
      <c r="P400" s="6">
        <v>73.400000000000006</v>
      </c>
      <c r="Q400" s="6">
        <v>0.31</v>
      </c>
      <c r="R400" s="6">
        <v>14.3</v>
      </c>
      <c r="T400" s="6">
        <v>1.18</v>
      </c>
      <c r="U400" s="6">
        <v>0.08</v>
      </c>
      <c r="V400" s="6">
        <v>0.92</v>
      </c>
      <c r="W400" s="6">
        <v>2.5299999999999998</v>
      </c>
      <c r="X400" s="6">
        <v>3.11</v>
      </c>
      <c r="Y400" s="6">
        <v>3.96</v>
      </c>
      <c r="Z400" s="6">
        <v>0.12</v>
      </c>
      <c r="AA400" s="6">
        <v>0.05</v>
      </c>
      <c r="AB400" s="6">
        <v>94.9</v>
      </c>
      <c r="AC400" s="6">
        <v>5.7967599999999999</v>
      </c>
      <c r="AD400" s="6" t="s">
        <v>49</v>
      </c>
    </row>
    <row r="401" spans="1:32">
      <c r="A401" s="6" t="s">
        <v>1033</v>
      </c>
      <c r="B401" s="6">
        <v>1668</v>
      </c>
      <c r="C401" s="6" t="s">
        <v>645</v>
      </c>
      <c r="D401" s="6">
        <v>900</v>
      </c>
      <c r="E401" s="6">
        <v>7</v>
      </c>
      <c r="F401" s="6">
        <f t="shared" si="18"/>
        <v>345600</v>
      </c>
      <c r="G401" s="9">
        <v>1.4274849337614078E-13</v>
      </c>
      <c r="H401" s="10">
        <f t="shared" si="17"/>
        <v>0.44422462476001595</v>
      </c>
      <c r="I401" s="6">
        <v>1.68</v>
      </c>
      <c r="J401" s="6" t="s">
        <v>65</v>
      </c>
      <c r="K401" s="6">
        <v>21</v>
      </c>
      <c r="L401" s="6">
        <v>1</v>
      </c>
      <c r="M401" s="6">
        <v>1</v>
      </c>
      <c r="N401" s="6">
        <v>1</v>
      </c>
      <c r="O401" s="6">
        <v>1</v>
      </c>
      <c r="P401" s="6">
        <v>74.900000000000006</v>
      </c>
      <c r="Q401" s="6">
        <v>0.36</v>
      </c>
      <c r="R401" s="6">
        <v>13.4</v>
      </c>
      <c r="T401" s="6">
        <v>1.07</v>
      </c>
      <c r="U401" s="6">
        <v>7.0000000000000007E-2</v>
      </c>
      <c r="V401" s="6">
        <v>0.69</v>
      </c>
      <c r="W401" s="6">
        <v>2.12</v>
      </c>
      <c r="X401" s="6">
        <v>2.88</v>
      </c>
      <c r="Y401" s="6">
        <v>4.21</v>
      </c>
      <c r="Z401" s="6">
        <v>0.18</v>
      </c>
      <c r="AA401" s="6">
        <v>0.09</v>
      </c>
      <c r="AB401" s="6">
        <v>93.6</v>
      </c>
      <c r="AC401" s="6">
        <v>7.4968599999999999</v>
      </c>
      <c r="AD401" s="6" t="s">
        <v>49</v>
      </c>
    </row>
    <row r="402" spans="1:32">
      <c r="A402" s="6" t="s">
        <v>1033</v>
      </c>
      <c r="B402" s="6">
        <v>1669</v>
      </c>
      <c r="C402" s="6" t="s">
        <v>645</v>
      </c>
      <c r="D402" s="6">
        <v>875</v>
      </c>
      <c r="E402" s="6">
        <v>7</v>
      </c>
      <c r="F402" s="6">
        <f t="shared" si="18"/>
        <v>345600</v>
      </c>
      <c r="G402" s="9">
        <v>1.028135457036711E-13</v>
      </c>
      <c r="H402" s="10">
        <f t="shared" si="17"/>
        <v>0.37700059095544525</v>
      </c>
      <c r="I402" s="6">
        <v>1.68</v>
      </c>
      <c r="J402" s="6" t="s">
        <v>65</v>
      </c>
      <c r="K402" s="6">
        <v>21</v>
      </c>
      <c r="L402" s="6">
        <v>1</v>
      </c>
      <c r="M402" s="6">
        <v>1</v>
      </c>
      <c r="N402" s="6">
        <v>1</v>
      </c>
      <c r="O402" s="6">
        <v>1</v>
      </c>
      <c r="P402" s="6">
        <v>75.900000000000006</v>
      </c>
      <c r="Q402" s="6">
        <v>0.26</v>
      </c>
      <c r="R402" s="6">
        <v>13</v>
      </c>
      <c r="T402" s="6">
        <v>0.92</v>
      </c>
      <c r="U402" s="6">
        <v>0.05</v>
      </c>
      <c r="V402" s="6">
        <v>0.59</v>
      </c>
      <c r="W402" s="6">
        <v>1.78</v>
      </c>
      <c r="X402" s="6">
        <v>2.81</v>
      </c>
      <c r="Y402" s="6">
        <v>4.5</v>
      </c>
      <c r="Z402" s="6">
        <v>0.1</v>
      </c>
      <c r="AA402" s="6">
        <v>0.08</v>
      </c>
      <c r="AB402" s="6">
        <v>93.5</v>
      </c>
      <c r="AC402" s="6">
        <v>7.3377600000000003</v>
      </c>
      <c r="AD402" s="6" t="s">
        <v>49</v>
      </c>
    </row>
    <row r="403" spans="1:32">
      <c r="A403" s="6" t="s">
        <v>1033</v>
      </c>
      <c r="B403" s="6">
        <v>1640</v>
      </c>
      <c r="C403" s="6" t="s">
        <v>645</v>
      </c>
      <c r="D403" s="6">
        <v>850</v>
      </c>
      <c r="E403" s="6">
        <v>7</v>
      </c>
      <c r="F403" s="6">
        <f t="shared" si="18"/>
        <v>345600</v>
      </c>
      <c r="G403" s="9">
        <v>7.2976735414337512E-14</v>
      </c>
      <c r="H403" s="10">
        <f t="shared" si="17"/>
        <v>0.31762090459662784</v>
      </c>
      <c r="I403" s="6">
        <v>1.68</v>
      </c>
      <c r="J403" s="6" t="s">
        <v>66</v>
      </c>
      <c r="K403" s="6">
        <v>19</v>
      </c>
      <c r="L403" s="6">
        <v>1</v>
      </c>
      <c r="M403" s="6">
        <v>1</v>
      </c>
      <c r="N403" s="6">
        <v>1</v>
      </c>
      <c r="O403" s="6">
        <v>1</v>
      </c>
      <c r="P403" s="6">
        <v>75.599999999999994</v>
      </c>
      <c r="Q403" s="6">
        <v>0.13</v>
      </c>
      <c r="R403" s="6">
        <v>13.5</v>
      </c>
      <c r="T403" s="6">
        <v>0.81</v>
      </c>
      <c r="U403" s="6">
        <v>0.05</v>
      </c>
      <c r="V403" s="6">
        <v>0.44</v>
      </c>
      <c r="W403" s="6">
        <v>1.46</v>
      </c>
      <c r="X403" s="6">
        <v>2.79</v>
      </c>
      <c r="Y403" s="6">
        <v>5.08</v>
      </c>
      <c r="Z403" s="6">
        <v>0.09</v>
      </c>
      <c r="AA403" s="6">
        <v>0.03</v>
      </c>
      <c r="AB403" s="6">
        <v>93.7</v>
      </c>
      <c r="AC403" s="6">
        <v>7.1745700000000001</v>
      </c>
      <c r="AD403" s="6" t="s">
        <v>49</v>
      </c>
    </row>
    <row r="404" spans="1:32">
      <c r="A404" s="6" t="s">
        <v>1033</v>
      </c>
      <c r="B404" s="6">
        <v>1673</v>
      </c>
      <c r="C404" s="6" t="s">
        <v>645</v>
      </c>
      <c r="D404" s="6">
        <v>825</v>
      </c>
      <c r="E404" s="6">
        <v>7</v>
      </c>
      <c r="F404" s="6">
        <f t="shared" si="18"/>
        <v>345600</v>
      </c>
      <c r="G404" s="9">
        <v>5.0996514572634554E-14</v>
      </c>
      <c r="H404" s="10">
        <f t="shared" si="17"/>
        <v>0.26551380707076239</v>
      </c>
      <c r="I404" s="6">
        <v>1.68</v>
      </c>
      <c r="J404" s="6" t="s">
        <v>67</v>
      </c>
      <c r="K404" s="6">
        <v>19</v>
      </c>
      <c r="L404" s="6">
        <v>1</v>
      </c>
      <c r="M404" s="6">
        <v>1</v>
      </c>
      <c r="N404" s="6">
        <v>1</v>
      </c>
      <c r="O404" s="6">
        <v>1</v>
      </c>
      <c r="P404" s="6">
        <v>75.3</v>
      </c>
      <c r="Q404" s="6">
        <v>0.13</v>
      </c>
      <c r="R404" s="6">
        <v>13.7</v>
      </c>
      <c r="T404" s="6">
        <v>1.1299999999999999</v>
      </c>
      <c r="U404" s="6">
        <v>0.03</v>
      </c>
      <c r="V404" s="6">
        <v>0.41</v>
      </c>
      <c r="W404" s="6">
        <v>1.66</v>
      </c>
      <c r="X404" s="6">
        <v>2.69</v>
      </c>
      <c r="Y404" s="6">
        <v>4.92</v>
      </c>
      <c r="Z404" s="6">
        <v>0.03</v>
      </c>
      <c r="AA404" s="6">
        <v>0.02</v>
      </c>
      <c r="AB404" s="6">
        <v>93.2</v>
      </c>
      <c r="AC404" s="6">
        <v>5.4624499999999996</v>
      </c>
      <c r="AD404" s="6" t="s">
        <v>49</v>
      </c>
    </row>
    <row r="405" spans="1:32">
      <c r="A405" s="6" t="s">
        <v>1054</v>
      </c>
      <c r="B405" s="6" t="s">
        <v>289</v>
      </c>
      <c r="C405" s="6" t="s">
        <v>645</v>
      </c>
      <c r="D405" s="6">
        <v>900</v>
      </c>
      <c r="E405" s="6">
        <v>3</v>
      </c>
      <c r="F405" s="8">
        <f>168*3600</f>
        <v>604800</v>
      </c>
      <c r="G405" s="9">
        <v>1.4274849337614078E-13</v>
      </c>
      <c r="H405" s="10">
        <f t="shared" si="17"/>
        <v>0.58765394168299401</v>
      </c>
      <c r="I405" s="6" t="s">
        <v>290</v>
      </c>
      <c r="J405" s="6" t="s">
        <v>291</v>
      </c>
      <c r="K405" s="6">
        <v>54.6</v>
      </c>
      <c r="L405" s="6">
        <v>1</v>
      </c>
      <c r="M405" s="6">
        <v>1</v>
      </c>
      <c r="N405" s="6">
        <v>1</v>
      </c>
      <c r="O405" s="6">
        <v>1</v>
      </c>
      <c r="P405" s="6">
        <v>65.09</v>
      </c>
      <c r="Q405" s="6">
        <v>0.35</v>
      </c>
      <c r="R405" s="6">
        <v>14.84</v>
      </c>
      <c r="T405" s="6">
        <v>2.3199999999999998</v>
      </c>
      <c r="U405" s="6">
        <v>0.12</v>
      </c>
      <c r="V405" s="6">
        <v>1.01</v>
      </c>
      <c r="W405" s="6">
        <v>3.15</v>
      </c>
      <c r="X405" s="6">
        <v>3.95</v>
      </c>
      <c r="Y405" s="6">
        <v>2.56</v>
      </c>
      <c r="Z405" s="6">
        <v>0.16</v>
      </c>
      <c r="AA405" s="6">
        <v>0.06</v>
      </c>
      <c r="AB405" s="6">
        <v>93.55</v>
      </c>
      <c r="AC405" s="6">
        <v>6.13</v>
      </c>
      <c r="AD405" s="6" t="s">
        <v>275</v>
      </c>
    </row>
    <row r="406" spans="1:32">
      <c r="A406" s="6" t="s">
        <v>1054</v>
      </c>
      <c r="B406" s="6" t="s">
        <v>292</v>
      </c>
      <c r="C406" s="6" t="s">
        <v>645</v>
      </c>
      <c r="D406" s="6">
        <v>900</v>
      </c>
      <c r="E406" s="6">
        <v>3</v>
      </c>
      <c r="F406" s="8">
        <f>168*3600</f>
        <v>604800</v>
      </c>
      <c r="G406" s="9">
        <v>1.4274849337614078E-13</v>
      </c>
      <c r="H406" s="10">
        <f t="shared" si="17"/>
        <v>0.58765394168299401</v>
      </c>
      <c r="I406" s="6" t="s">
        <v>293</v>
      </c>
      <c r="J406" s="6" t="s">
        <v>294</v>
      </c>
      <c r="K406" s="6">
        <v>41.2</v>
      </c>
      <c r="L406" s="6">
        <v>1</v>
      </c>
      <c r="M406" s="6">
        <v>1</v>
      </c>
      <c r="N406" s="6">
        <v>1</v>
      </c>
      <c r="O406" s="6">
        <v>1</v>
      </c>
      <c r="P406" s="6">
        <v>67.75</v>
      </c>
      <c r="Q406" s="6">
        <v>0.4</v>
      </c>
      <c r="R406" s="6">
        <v>14.47</v>
      </c>
      <c r="T406" s="6">
        <v>2</v>
      </c>
      <c r="U406" s="6">
        <v>0.03</v>
      </c>
      <c r="V406" s="6">
        <v>0.73</v>
      </c>
      <c r="W406" s="6">
        <v>2.5099999999999998</v>
      </c>
      <c r="X406" s="6">
        <v>3.5</v>
      </c>
      <c r="Y406" s="6">
        <v>3.23</v>
      </c>
      <c r="Z406" s="6">
        <v>0.15</v>
      </c>
      <c r="AA406" s="6">
        <v>0.05</v>
      </c>
      <c r="AB406" s="6">
        <v>94.77</v>
      </c>
      <c r="AC406" s="6">
        <v>4.92</v>
      </c>
      <c r="AD406" s="6" t="s">
        <v>275</v>
      </c>
    </row>
    <row r="407" spans="1:32">
      <c r="A407" s="6" t="s">
        <v>1054</v>
      </c>
      <c r="B407" s="6" t="s">
        <v>295</v>
      </c>
      <c r="C407" s="6" t="s">
        <v>645</v>
      </c>
      <c r="D407" s="6">
        <v>900</v>
      </c>
      <c r="E407" s="6">
        <v>3</v>
      </c>
      <c r="F407" s="8">
        <f>168*3600</f>
        <v>604800</v>
      </c>
      <c r="G407" s="9">
        <v>1.4274849337614078E-13</v>
      </c>
      <c r="H407" s="10">
        <f t="shared" si="17"/>
        <v>0.58765394168299401</v>
      </c>
      <c r="I407" s="6" t="s">
        <v>296</v>
      </c>
      <c r="J407" s="6" t="s">
        <v>156</v>
      </c>
      <c r="K407" s="6">
        <v>35.5</v>
      </c>
      <c r="L407" s="6">
        <v>1</v>
      </c>
      <c r="M407" s="6">
        <v>1</v>
      </c>
      <c r="N407" s="6">
        <v>1</v>
      </c>
      <c r="O407" s="6">
        <v>1</v>
      </c>
      <c r="P407" s="6">
        <v>66.23</v>
      </c>
      <c r="Q407" s="6">
        <v>0.45</v>
      </c>
      <c r="R407" s="6">
        <v>15.12</v>
      </c>
      <c r="T407" s="6">
        <v>2.97</v>
      </c>
      <c r="U407" s="6">
        <v>0</v>
      </c>
      <c r="V407" s="6">
        <v>0.69</v>
      </c>
      <c r="W407" s="6">
        <v>2.75</v>
      </c>
      <c r="X407" s="6">
        <v>3.67</v>
      </c>
      <c r="Y407" s="6">
        <v>3.42</v>
      </c>
      <c r="Z407" s="6">
        <v>0.11</v>
      </c>
      <c r="AA407" s="6">
        <v>0.05</v>
      </c>
      <c r="AB407" s="6">
        <v>95.5</v>
      </c>
      <c r="AC407" s="6">
        <v>4.1900000000000004</v>
      </c>
      <c r="AD407" s="6" t="s">
        <v>275</v>
      </c>
      <c r="AF407" s="6" t="s">
        <v>1174</v>
      </c>
    </row>
    <row r="408" spans="1:32">
      <c r="A408" s="6" t="s">
        <v>1054</v>
      </c>
      <c r="B408" s="6" t="s">
        <v>297</v>
      </c>
      <c r="C408" s="6" t="s">
        <v>645</v>
      </c>
      <c r="D408" s="6">
        <v>900</v>
      </c>
      <c r="E408" s="6">
        <v>3</v>
      </c>
      <c r="F408" s="8">
        <f>168*3600</f>
        <v>604800</v>
      </c>
      <c r="G408" s="9">
        <v>1.4274849337614078E-13</v>
      </c>
      <c r="H408" s="10">
        <f t="shared" si="17"/>
        <v>0.58765394168299401</v>
      </c>
      <c r="I408" s="6" t="s">
        <v>41</v>
      </c>
      <c r="J408" s="6" t="s">
        <v>298</v>
      </c>
      <c r="K408" s="6">
        <v>23.6</v>
      </c>
      <c r="L408" s="6">
        <v>1</v>
      </c>
      <c r="M408" s="6">
        <v>1</v>
      </c>
      <c r="N408" s="6">
        <v>1</v>
      </c>
      <c r="O408" s="6">
        <v>1</v>
      </c>
      <c r="P408" s="6">
        <v>62.04</v>
      </c>
      <c r="Q408" s="6">
        <v>0.43</v>
      </c>
      <c r="R408" s="6">
        <v>15.55</v>
      </c>
      <c r="T408" s="6">
        <v>2.6</v>
      </c>
      <c r="U408" s="6">
        <v>0.09</v>
      </c>
      <c r="V408" s="6">
        <v>1.3</v>
      </c>
      <c r="W408" s="6">
        <v>4.3899999999999997</v>
      </c>
      <c r="X408" s="6">
        <v>3.73</v>
      </c>
      <c r="Y408" s="6">
        <v>2.1800000000000002</v>
      </c>
      <c r="Z408" s="6">
        <v>0.15</v>
      </c>
      <c r="AA408" s="6">
        <v>7.0000000000000007E-2</v>
      </c>
      <c r="AB408" s="6">
        <v>92.46</v>
      </c>
      <c r="AC408" s="6">
        <v>7.23</v>
      </c>
      <c r="AD408" s="6" t="s">
        <v>275</v>
      </c>
    </row>
    <row r="409" spans="1:32">
      <c r="A409" s="6" t="s">
        <v>1054</v>
      </c>
      <c r="B409" s="6" t="s">
        <v>299</v>
      </c>
      <c r="C409" s="6" t="s">
        <v>645</v>
      </c>
      <c r="D409" s="6">
        <v>900</v>
      </c>
      <c r="E409" s="6">
        <v>3</v>
      </c>
      <c r="F409" s="8">
        <f>168*3600</f>
        <v>604800</v>
      </c>
      <c r="G409" s="9">
        <v>1.4274849337614078E-13</v>
      </c>
      <c r="H409" s="10">
        <f t="shared" si="17"/>
        <v>0.58765394168299401</v>
      </c>
      <c r="I409" s="6" t="s">
        <v>300</v>
      </c>
      <c r="J409" s="6" t="s">
        <v>298</v>
      </c>
      <c r="K409" s="6">
        <v>25.1</v>
      </c>
      <c r="L409" s="6">
        <v>1</v>
      </c>
      <c r="M409" s="6">
        <v>1</v>
      </c>
      <c r="N409" s="6">
        <v>1</v>
      </c>
      <c r="O409" s="6">
        <v>1</v>
      </c>
      <c r="P409" s="6">
        <v>64.790000000000006</v>
      </c>
      <c r="Q409" s="6">
        <v>0.36</v>
      </c>
      <c r="R409" s="6">
        <v>14.72</v>
      </c>
      <c r="T409" s="6">
        <v>2.21</v>
      </c>
      <c r="U409" s="6">
        <v>0.1</v>
      </c>
      <c r="V409" s="6">
        <v>0.96</v>
      </c>
      <c r="W409" s="6">
        <v>3.38</v>
      </c>
      <c r="X409" s="6">
        <v>3.77</v>
      </c>
      <c r="Y409" s="6">
        <v>2.5499999999999998</v>
      </c>
      <c r="Z409" s="6">
        <v>0.21</v>
      </c>
      <c r="AA409" s="6">
        <v>0.12</v>
      </c>
      <c r="AB409" s="6">
        <v>93.04</v>
      </c>
      <c r="AC409" s="6">
        <v>6.65</v>
      </c>
      <c r="AD409" s="6" t="s">
        <v>275</v>
      </c>
    </row>
    <row r="410" spans="1:32">
      <c r="A410" s="8" t="s">
        <v>1067</v>
      </c>
      <c r="B410" s="6" t="s">
        <v>499</v>
      </c>
      <c r="C410" s="8" t="s">
        <v>1128</v>
      </c>
      <c r="D410" s="25">
        <v>1000</v>
      </c>
      <c r="E410" s="8">
        <v>5</v>
      </c>
      <c r="F410" s="6">
        <v>259200</v>
      </c>
      <c r="G410" s="9">
        <v>4.6632042652511761E-13</v>
      </c>
      <c r="H410" s="10">
        <f t="shared" si="17"/>
        <v>0.69532799326738015</v>
      </c>
      <c r="I410" s="6">
        <v>0.94</v>
      </c>
      <c r="J410" s="6" t="s">
        <v>500</v>
      </c>
      <c r="K410" s="6">
        <v>50</v>
      </c>
      <c r="L410" s="6">
        <v>1</v>
      </c>
      <c r="M410" s="6">
        <v>1</v>
      </c>
      <c r="N410" s="6">
        <v>0</v>
      </c>
      <c r="O410" s="6">
        <v>0</v>
      </c>
      <c r="P410" s="6">
        <v>59.21</v>
      </c>
      <c r="Q410" s="6">
        <v>0.56999999999999995</v>
      </c>
      <c r="R410" s="6">
        <v>18.03</v>
      </c>
      <c r="T410" s="6">
        <v>7.95</v>
      </c>
      <c r="V410" s="6">
        <v>0.65</v>
      </c>
      <c r="W410" s="6">
        <v>8.17</v>
      </c>
      <c r="X410" s="6">
        <v>1.51</v>
      </c>
      <c r="Y410" s="6">
        <v>0.71</v>
      </c>
      <c r="Z410" s="6">
        <v>0.28999999999999998</v>
      </c>
      <c r="AA410" s="6">
        <v>0.04</v>
      </c>
      <c r="AB410" s="6">
        <v>98.77</v>
      </c>
      <c r="AC410" s="6">
        <f>0.94/0.5</f>
        <v>1.88</v>
      </c>
      <c r="AD410" s="6" t="s">
        <v>1123</v>
      </c>
    </row>
    <row r="411" spans="1:32">
      <c r="A411" s="8" t="s">
        <v>1067</v>
      </c>
      <c r="B411" s="6" t="s">
        <v>502</v>
      </c>
      <c r="C411" s="8" t="s">
        <v>1128</v>
      </c>
      <c r="D411" s="25">
        <v>1015</v>
      </c>
      <c r="E411" s="8">
        <v>5</v>
      </c>
      <c r="F411" s="6">
        <v>331200</v>
      </c>
      <c r="G411" s="9">
        <v>5.4817185870866193E-13</v>
      </c>
      <c r="H411" s="10">
        <f t="shared" si="17"/>
        <v>0.85218429838693655</v>
      </c>
      <c r="I411" s="6">
        <v>0.94</v>
      </c>
      <c r="J411" s="6" t="s">
        <v>500</v>
      </c>
      <c r="K411" s="6">
        <v>70</v>
      </c>
      <c r="L411" s="6">
        <v>1</v>
      </c>
      <c r="M411" s="6">
        <v>1</v>
      </c>
      <c r="N411" s="6">
        <v>0</v>
      </c>
      <c r="O411" s="6">
        <v>0</v>
      </c>
      <c r="P411" s="6">
        <v>56.86</v>
      </c>
      <c r="Q411" s="6">
        <v>1.28</v>
      </c>
      <c r="R411" s="6">
        <v>16.920000000000002</v>
      </c>
      <c r="T411" s="6">
        <v>10.09</v>
      </c>
      <c r="V411" s="6">
        <v>1.31</v>
      </c>
      <c r="W411" s="6">
        <v>8.41</v>
      </c>
      <c r="X411" s="6">
        <v>2.0299999999999998</v>
      </c>
      <c r="Y411" s="6">
        <v>0.6</v>
      </c>
      <c r="Z411" s="6">
        <v>0.63</v>
      </c>
      <c r="AA411" s="6">
        <v>0.13</v>
      </c>
      <c r="AB411" s="6">
        <v>99.72</v>
      </c>
      <c r="AC411" s="6">
        <f>I411/0.7</f>
        <v>1.342857142857143</v>
      </c>
      <c r="AD411" s="6" t="s">
        <v>1123</v>
      </c>
    </row>
    <row r="412" spans="1:32">
      <c r="A412" s="8" t="s">
        <v>1067</v>
      </c>
      <c r="B412" s="6" t="s">
        <v>506</v>
      </c>
      <c r="C412" s="8" t="s">
        <v>1128</v>
      </c>
      <c r="D412" s="25">
        <v>1000</v>
      </c>
      <c r="E412" s="8">
        <v>5</v>
      </c>
      <c r="F412" s="6">
        <v>504000</v>
      </c>
      <c r="G412" s="9">
        <v>4.6632042652511761E-13</v>
      </c>
      <c r="H412" s="10">
        <f t="shared" si="17"/>
        <v>0.9695885621616197</v>
      </c>
      <c r="I412" s="6">
        <v>0.96</v>
      </c>
      <c r="J412" s="6" t="s">
        <v>507</v>
      </c>
      <c r="K412" s="6">
        <v>40</v>
      </c>
      <c r="L412" s="6">
        <v>1</v>
      </c>
      <c r="M412" s="6">
        <v>0</v>
      </c>
      <c r="N412" s="6">
        <v>0</v>
      </c>
      <c r="O412" s="6">
        <v>0</v>
      </c>
      <c r="P412" s="6">
        <v>55.88</v>
      </c>
      <c r="Q412" s="6">
        <v>0.91</v>
      </c>
      <c r="R412" s="6">
        <v>18.96</v>
      </c>
      <c r="T412" s="6">
        <v>9.49</v>
      </c>
      <c r="V412" s="6">
        <v>1.44</v>
      </c>
      <c r="W412" s="6">
        <v>4.96</v>
      </c>
      <c r="X412" s="6">
        <v>2.33</v>
      </c>
      <c r="Y412" s="6">
        <v>1.87</v>
      </c>
      <c r="Z412" s="6">
        <v>1.25</v>
      </c>
      <c r="AA412" s="6">
        <v>7.0000000000000007E-2</v>
      </c>
      <c r="AB412" s="6">
        <v>97.08</v>
      </c>
      <c r="AC412" s="6">
        <f>(I412-1.76*0.1)/0.4</f>
        <v>1.9599999999999997</v>
      </c>
      <c r="AD412" s="6" t="s">
        <v>157</v>
      </c>
    </row>
    <row r="413" spans="1:32">
      <c r="A413" s="8" t="s">
        <v>1067</v>
      </c>
      <c r="B413" s="6" t="s">
        <v>508</v>
      </c>
      <c r="C413" s="8" t="s">
        <v>1128</v>
      </c>
      <c r="D413" s="25">
        <v>1000</v>
      </c>
      <c r="E413" s="8">
        <v>5</v>
      </c>
      <c r="F413" s="6">
        <v>504000</v>
      </c>
      <c r="G413" s="9">
        <v>4.6632042652511761E-13</v>
      </c>
      <c r="H413" s="10">
        <f t="shared" si="17"/>
        <v>0.9695885621616197</v>
      </c>
      <c r="I413" s="6">
        <v>0.94</v>
      </c>
      <c r="J413" s="6" t="s">
        <v>509</v>
      </c>
      <c r="K413" s="6">
        <v>25</v>
      </c>
      <c r="L413" s="6">
        <v>1</v>
      </c>
      <c r="M413" s="6">
        <v>0</v>
      </c>
      <c r="N413" s="6">
        <v>0</v>
      </c>
      <c r="O413" s="6">
        <v>0</v>
      </c>
      <c r="P413" s="6">
        <v>55.99</v>
      </c>
      <c r="Q413" s="6">
        <v>1.43</v>
      </c>
      <c r="R413" s="6">
        <v>11.875999999999999</v>
      </c>
      <c r="T413" s="6">
        <v>16.48</v>
      </c>
      <c r="V413" s="6">
        <v>0.82</v>
      </c>
      <c r="W413" s="6">
        <v>4.96</v>
      </c>
      <c r="X413" s="6">
        <v>2.2599999999999998</v>
      </c>
      <c r="Y413" s="6">
        <v>1.53</v>
      </c>
      <c r="Z413" s="6">
        <v>1.31</v>
      </c>
      <c r="AA413" s="6">
        <v>0.22</v>
      </c>
      <c r="AB413" s="6">
        <v>96.64</v>
      </c>
      <c r="AC413" s="6">
        <f>(I413-1.79*0.08)/0.25</f>
        <v>3.1871999999999998</v>
      </c>
      <c r="AD413" s="6" t="s">
        <v>157</v>
      </c>
    </row>
    <row r="414" spans="1:32">
      <c r="A414" s="8" t="s">
        <v>1067</v>
      </c>
      <c r="B414" s="6" t="s">
        <v>513</v>
      </c>
      <c r="C414" s="8" t="s">
        <v>1128</v>
      </c>
      <c r="D414" s="25">
        <v>1040</v>
      </c>
      <c r="E414" s="8">
        <v>5</v>
      </c>
      <c r="F414" s="6">
        <v>248400</v>
      </c>
      <c r="G414" s="9">
        <v>7.1187702362643256E-13</v>
      </c>
      <c r="H414" s="10">
        <f t="shared" si="17"/>
        <v>0.84102378722318161</v>
      </c>
      <c r="I414" s="6">
        <v>0.94</v>
      </c>
      <c r="J414" s="6" t="s">
        <v>514</v>
      </c>
      <c r="K414" s="6">
        <v>98</v>
      </c>
      <c r="L414" s="6">
        <v>1</v>
      </c>
      <c r="M414" s="6">
        <v>0</v>
      </c>
      <c r="N414" s="6">
        <v>0</v>
      </c>
      <c r="O414" s="6">
        <v>0</v>
      </c>
      <c r="P414" s="6">
        <v>58.94</v>
      </c>
      <c r="Q414" s="6">
        <v>5.12</v>
      </c>
      <c r="R414" s="6">
        <v>14.32</v>
      </c>
      <c r="T414" s="6">
        <v>0.06</v>
      </c>
      <c r="V414" s="6">
        <v>4.74</v>
      </c>
      <c r="W414" s="6">
        <v>7.62</v>
      </c>
      <c r="X414" s="6">
        <v>5.22</v>
      </c>
      <c r="Y414" s="6">
        <v>0.28999999999999998</v>
      </c>
      <c r="Z414" s="6">
        <v>1.8</v>
      </c>
      <c r="AA414" s="6">
        <v>0.03</v>
      </c>
      <c r="AB414" s="6">
        <v>98.12</v>
      </c>
      <c r="AC414" s="6">
        <f>(I414-1.79*0.03)/0.4</f>
        <v>2.2157499999999999</v>
      </c>
      <c r="AD414" s="6" t="s">
        <v>157</v>
      </c>
    </row>
    <row r="415" spans="1:32">
      <c r="A415" s="6" t="s">
        <v>1031</v>
      </c>
      <c r="B415" s="6" t="s">
        <v>30</v>
      </c>
      <c r="C415" s="6" t="s">
        <v>645</v>
      </c>
      <c r="D415" s="6">
        <v>1080</v>
      </c>
      <c r="E415" s="6">
        <v>5</v>
      </c>
      <c r="F415" s="6">
        <f>47*3600</f>
        <v>169200</v>
      </c>
      <c r="G415" s="9">
        <v>1.0598971239956754E-12</v>
      </c>
      <c r="H415" s="10">
        <f t="shared" si="17"/>
        <v>0.84695830683704443</v>
      </c>
      <c r="I415" s="6">
        <v>0</v>
      </c>
      <c r="J415" s="6" t="s">
        <v>32</v>
      </c>
      <c r="K415" s="6">
        <v>82</v>
      </c>
      <c r="L415" s="6">
        <v>0</v>
      </c>
      <c r="M415" s="6">
        <v>1</v>
      </c>
      <c r="N415" s="6">
        <v>1</v>
      </c>
      <c r="O415" s="6">
        <v>1</v>
      </c>
      <c r="P415" s="6">
        <v>46</v>
      </c>
      <c r="Q415" s="6">
        <v>4.24</v>
      </c>
      <c r="R415" s="6">
        <v>11.57</v>
      </c>
      <c r="T415" s="6">
        <v>18.260000000000002</v>
      </c>
      <c r="U415" s="6">
        <v>0.27</v>
      </c>
      <c r="V415" s="6">
        <v>3.66</v>
      </c>
      <c r="W415" s="6">
        <v>7.8</v>
      </c>
      <c r="X415" s="6">
        <v>2.8</v>
      </c>
      <c r="Y415" s="6">
        <v>1.82</v>
      </c>
      <c r="Z415" s="6">
        <v>2.74</v>
      </c>
      <c r="AA415" s="6">
        <v>0.08</v>
      </c>
      <c r="AB415" s="6">
        <f>SUM(P415:Z415)</f>
        <v>99.159999999999982</v>
      </c>
      <c r="AC415" s="6">
        <v>0</v>
      </c>
      <c r="AD415" s="6" t="s">
        <v>33</v>
      </c>
    </row>
    <row r="416" spans="1:32">
      <c r="A416" s="6" t="s">
        <v>1031</v>
      </c>
      <c r="B416" s="6" t="s">
        <v>34</v>
      </c>
      <c r="C416" s="6" t="s">
        <v>645</v>
      </c>
      <c r="D416" s="6">
        <v>1078</v>
      </c>
      <c r="E416" s="6">
        <v>5</v>
      </c>
      <c r="F416" s="6">
        <f>66*3600</f>
        <v>237600</v>
      </c>
      <c r="G416" s="9">
        <v>1.0395942109214195E-12</v>
      </c>
      <c r="H416" s="10">
        <f t="shared" si="17"/>
        <v>0.99399715193742744</v>
      </c>
      <c r="I416" s="6">
        <v>0</v>
      </c>
      <c r="J416" s="6" t="s">
        <v>35</v>
      </c>
      <c r="K416" s="6">
        <v>61</v>
      </c>
      <c r="L416" s="6">
        <v>0</v>
      </c>
      <c r="M416" s="6">
        <v>1</v>
      </c>
      <c r="N416" s="6">
        <v>1</v>
      </c>
      <c r="O416" s="6">
        <v>1</v>
      </c>
      <c r="P416" s="6">
        <v>45.8</v>
      </c>
      <c r="Q416" s="6">
        <v>4.16</v>
      </c>
      <c r="R416" s="6">
        <v>10.87</v>
      </c>
      <c r="T416" s="6">
        <v>20.170000000000002</v>
      </c>
      <c r="U416" s="6">
        <v>0.32</v>
      </c>
      <c r="V416" s="6">
        <v>3.25</v>
      </c>
      <c r="W416" s="6">
        <v>7.49</v>
      </c>
      <c r="X416" s="6">
        <v>2.69</v>
      </c>
      <c r="Y416" s="6">
        <v>2.04</v>
      </c>
      <c r="Z416" s="6">
        <v>2.84</v>
      </c>
      <c r="AA416" s="6">
        <v>7.0000000000000007E-2</v>
      </c>
      <c r="AB416" s="6">
        <f>SUM(P416:Z416)</f>
        <v>99.63</v>
      </c>
      <c r="AC416" s="6">
        <v>0</v>
      </c>
      <c r="AD416" s="6" t="s">
        <v>33</v>
      </c>
    </row>
    <row r="417" spans="1:30">
      <c r="A417" s="6" t="s">
        <v>1031</v>
      </c>
      <c r="B417" s="6" t="s">
        <v>36</v>
      </c>
      <c r="C417" s="6" t="s">
        <v>645</v>
      </c>
      <c r="D417" s="6">
        <v>1074</v>
      </c>
      <c r="E417" s="6">
        <v>5</v>
      </c>
      <c r="F417" s="6">
        <f>114*3600</f>
        <v>410400</v>
      </c>
      <c r="G417" s="9">
        <v>9.9997537753034216E-13</v>
      </c>
      <c r="H417" s="10">
        <f t="shared" si="17"/>
        <v>1.2812336163845413</v>
      </c>
      <c r="I417" s="6">
        <v>0</v>
      </c>
      <c r="J417" s="6" t="s">
        <v>37</v>
      </c>
      <c r="L417" s="6">
        <v>0</v>
      </c>
      <c r="M417" s="6">
        <v>1</v>
      </c>
      <c r="N417" s="6">
        <v>1</v>
      </c>
      <c r="O417" s="6">
        <v>1</v>
      </c>
      <c r="P417" s="6">
        <v>50.5</v>
      </c>
      <c r="Q417" s="6">
        <v>2.82</v>
      </c>
      <c r="R417" s="6">
        <v>10.63</v>
      </c>
      <c r="T417" s="6">
        <v>18.77</v>
      </c>
      <c r="U417" s="6">
        <v>0.33</v>
      </c>
      <c r="V417" s="6">
        <v>1.76</v>
      </c>
      <c r="W417" s="6">
        <v>6.79</v>
      </c>
      <c r="X417" s="6">
        <v>2.91</v>
      </c>
      <c r="Y417" s="6">
        <v>2.88</v>
      </c>
      <c r="Z417" s="6">
        <v>2.74</v>
      </c>
      <c r="AA417" s="6">
        <v>0.47</v>
      </c>
      <c r="AB417" s="6">
        <f>SUM(P417:Z417)</f>
        <v>100.13</v>
      </c>
      <c r="AC417" s="6">
        <v>0</v>
      </c>
      <c r="AD417" s="6" t="s">
        <v>33</v>
      </c>
    </row>
    <row r="418" spans="1:30">
      <c r="A418" s="6" t="s">
        <v>1108</v>
      </c>
      <c r="B418" s="6" t="s">
        <v>1011</v>
      </c>
      <c r="C418" s="6" t="s">
        <v>645</v>
      </c>
      <c r="D418" s="6">
        <v>850</v>
      </c>
      <c r="E418" s="6">
        <v>15</v>
      </c>
      <c r="F418" s="6">
        <f>186*3600</f>
        <v>669600</v>
      </c>
      <c r="G418" s="9">
        <v>7.2976735414337512E-14</v>
      </c>
      <c r="H418" s="10">
        <f t="shared" si="17"/>
        <v>0.44210958837573472</v>
      </c>
      <c r="J418" s="6" t="s">
        <v>1012</v>
      </c>
      <c r="K418" s="6">
        <v>12</v>
      </c>
      <c r="L418" s="6">
        <v>1</v>
      </c>
      <c r="M418" s="6">
        <v>1</v>
      </c>
      <c r="N418" s="6">
        <v>1</v>
      </c>
      <c r="O418" s="6">
        <v>1</v>
      </c>
      <c r="P418" s="6">
        <v>72.83</v>
      </c>
      <c r="Q418" s="6">
        <v>0.27</v>
      </c>
      <c r="R418" s="6">
        <v>15.64</v>
      </c>
      <c r="T418" s="6">
        <v>1.53</v>
      </c>
      <c r="U418" s="6">
        <v>0.05</v>
      </c>
      <c r="V418" s="6">
        <v>0.35</v>
      </c>
      <c r="W418" s="6">
        <v>1.51</v>
      </c>
      <c r="X418" s="6">
        <v>3.74</v>
      </c>
      <c r="Y418" s="6">
        <v>3.94</v>
      </c>
      <c r="Z418" s="8">
        <v>7.0000000000000007E-2</v>
      </c>
      <c r="AA418" s="8">
        <v>0.05</v>
      </c>
      <c r="AB418" s="6">
        <v>91.38</v>
      </c>
      <c r="AC418" s="6">
        <v>8.6199999999999992</v>
      </c>
      <c r="AD418" s="6" t="s">
        <v>1013</v>
      </c>
    </row>
    <row r="419" spans="1:30">
      <c r="A419" s="6" t="s">
        <v>1108</v>
      </c>
      <c r="B419" s="6" t="s">
        <v>1014</v>
      </c>
      <c r="C419" s="6" t="s">
        <v>645</v>
      </c>
      <c r="D419" s="6">
        <v>900</v>
      </c>
      <c r="E419" s="6">
        <v>15</v>
      </c>
      <c r="F419" s="6">
        <f>168*3600</f>
        <v>604800</v>
      </c>
      <c r="G419" s="9">
        <v>1.4274849337614078E-13</v>
      </c>
      <c r="H419" s="10">
        <f t="shared" si="17"/>
        <v>0.58765394168299401</v>
      </c>
      <c r="J419" s="6" t="s">
        <v>1015</v>
      </c>
      <c r="K419" s="6">
        <v>22</v>
      </c>
      <c r="L419" s="6">
        <v>1</v>
      </c>
      <c r="M419" s="6">
        <v>1</v>
      </c>
      <c r="N419" s="6">
        <v>1</v>
      </c>
      <c r="O419" s="6">
        <v>1</v>
      </c>
      <c r="P419" s="6">
        <v>69.3</v>
      </c>
      <c r="Q419" s="6">
        <v>0.55000000000000004</v>
      </c>
      <c r="R419" s="6">
        <v>17.23</v>
      </c>
      <c r="T419" s="6">
        <v>2.2000000000000002</v>
      </c>
      <c r="U419" s="6">
        <v>0.04</v>
      </c>
      <c r="V419" s="6">
        <v>0.42</v>
      </c>
      <c r="W419" s="6">
        <v>1.98</v>
      </c>
      <c r="X419" s="6">
        <v>4.4000000000000004</v>
      </c>
      <c r="Y419" s="6">
        <v>3.68</v>
      </c>
      <c r="Z419" s="8">
        <v>0.15</v>
      </c>
      <c r="AA419" s="8">
        <v>0.04</v>
      </c>
      <c r="AB419" s="6">
        <v>91.11</v>
      </c>
      <c r="AC419" s="6">
        <v>8.89</v>
      </c>
      <c r="AD419" s="6" t="s">
        <v>1013</v>
      </c>
    </row>
    <row r="420" spans="1:30">
      <c r="A420" s="6" t="s">
        <v>1108</v>
      </c>
      <c r="B420" s="6" t="s">
        <v>1016</v>
      </c>
      <c r="C420" s="6" t="s">
        <v>645</v>
      </c>
      <c r="D420" s="6">
        <v>850</v>
      </c>
      <c r="E420" s="6">
        <v>15</v>
      </c>
      <c r="F420" s="6">
        <f>141*3600</f>
        <v>507600</v>
      </c>
      <c r="G420" s="9">
        <v>7.2976735414337512E-14</v>
      </c>
      <c r="H420" s="10">
        <f t="shared" si="17"/>
        <v>0.38493111537685659</v>
      </c>
      <c r="J420" s="6" t="s">
        <v>1015</v>
      </c>
      <c r="K420" s="6">
        <v>34</v>
      </c>
      <c r="L420" s="6">
        <v>1</v>
      </c>
      <c r="M420" s="6">
        <v>1</v>
      </c>
      <c r="N420" s="6">
        <v>1</v>
      </c>
      <c r="O420" s="6">
        <v>1</v>
      </c>
      <c r="P420" s="6">
        <v>68.11</v>
      </c>
      <c r="Q420" s="6">
        <v>0.41</v>
      </c>
      <c r="R420" s="6">
        <v>17.89</v>
      </c>
      <c r="T420" s="6">
        <v>2.5099999999999998</v>
      </c>
      <c r="U420" s="6">
        <v>0.03</v>
      </c>
      <c r="V420" s="6">
        <v>0.31</v>
      </c>
      <c r="W420" s="6">
        <v>4.41</v>
      </c>
      <c r="X420" s="6">
        <v>3.47</v>
      </c>
      <c r="Y420" s="6">
        <v>2.5499999999999998</v>
      </c>
      <c r="Z420" s="8">
        <v>0.14000000000000001</v>
      </c>
      <c r="AA420" s="8">
        <v>0.04</v>
      </c>
      <c r="AB420" s="6">
        <v>88.55</v>
      </c>
      <c r="AC420" s="6">
        <v>11.45</v>
      </c>
      <c r="AD420" s="6" t="s">
        <v>1013</v>
      </c>
    </row>
    <row r="421" spans="1:30">
      <c r="A421" s="6" t="s">
        <v>1108</v>
      </c>
      <c r="B421" s="29" t="s">
        <v>1017</v>
      </c>
      <c r="C421" s="6" t="s">
        <v>645</v>
      </c>
      <c r="D421" s="6">
        <v>850</v>
      </c>
      <c r="E421" s="6">
        <v>20</v>
      </c>
      <c r="F421" s="6">
        <f>168*3600</f>
        <v>604800</v>
      </c>
      <c r="G421" s="9">
        <v>7.2976735414337512E-14</v>
      </c>
      <c r="H421" s="10">
        <f t="shared" si="17"/>
        <v>0.42017296237902468</v>
      </c>
      <c r="J421" s="6" t="s">
        <v>1018</v>
      </c>
      <c r="K421" s="6">
        <v>15</v>
      </c>
      <c r="L421" s="6">
        <v>1</v>
      </c>
      <c r="M421" s="6">
        <v>1</v>
      </c>
      <c r="N421" s="6">
        <v>1</v>
      </c>
      <c r="O421" s="6">
        <v>1</v>
      </c>
      <c r="P421" s="6">
        <v>71.66</v>
      </c>
      <c r="Q421" s="6">
        <v>0.28000000000000003</v>
      </c>
      <c r="R421" s="6">
        <v>15.12</v>
      </c>
      <c r="T421" s="6">
        <v>1.92</v>
      </c>
      <c r="U421" s="6">
        <v>0.04</v>
      </c>
      <c r="V421" s="6">
        <v>0.89</v>
      </c>
      <c r="W421" s="6">
        <v>1.96</v>
      </c>
      <c r="X421" s="6">
        <v>3.74</v>
      </c>
      <c r="Y421" s="6">
        <v>4.3499999999999996</v>
      </c>
      <c r="Z421" s="8">
        <v>0.05</v>
      </c>
      <c r="AA421" s="8">
        <v>0.02</v>
      </c>
      <c r="AB421" s="6">
        <v>88.91</v>
      </c>
      <c r="AC421" s="6">
        <v>11.09</v>
      </c>
      <c r="AD421" s="6" t="s">
        <v>1013</v>
      </c>
    </row>
    <row r="422" spans="1:30">
      <c r="A422" s="8" t="s">
        <v>1053</v>
      </c>
      <c r="B422" s="6" t="s">
        <v>272</v>
      </c>
      <c r="C422" s="6" t="s">
        <v>31</v>
      </c>
      <c r="D422" s="6">
        <v>1000</v>
      </c>
      <c r="E422" s="8">
        <v>3</v>
      </c>
      <c r="F422" s="8">
        <f t="shared" ref="F422:F428" si="19">5*24*3600</f>
        <v>432000</v>
      </c>
      <c r="G422" s="9">
        <v>4.6632042652511761E-13</v>
      </c>
      <c r="H422" s="10">
        <f t="shared" si="17"/>
        <v>0.89766457935879551</v>
      </c>
      <c r="I422" s="6" t="s">
        <v>273</v>
      </c>
      <c r="J422" s="6" t="s">
        <v>274</v>
      </c>
      <c r="K422" s="6">
        <v>45.2</v>
      </c>
      <c r="L422" s="6">
        <v>1</v>
      </c>
      <c r="M422" s="6">
        <v>0</v>
      </c>
      <c r="N422" s="6">
        <v>0</v>
      </c>
      <c r="O422" s="6">
        <v>0</v>
      </c>
      <c r="P422" s="6">
        <v>59.91</v>
      </c>
      <c r="Q422" s="6">
        <v>1.34</v>
      </c>
      <c r="R422" s="6">
        <v>16.28</v>
      </c>
      <c r="S422" s="6">
        <v>0.02</v>
      </c>
      <c r="T422" s="6">
        <v>4.7</v>
      </c>
      <c r="U422" s="6">
        <v>0.11</v>
      </c>
      <c r="V422" s="6">
        <v>2.1800000000000002</v>
      </c>
      <c r="W422" s="6">
        <v>4.7699999999999996</v>
      </c>
      <c r="X422" s="6">
        <v>3.1</v>
      </c>
      <c r="Y422" s="6">
        <v>2.79</v>
      </c>
      <c r="Z422" s="6">
        <v>0.55000000000000004</v>
      </c>
      <c r="AA422" s="6">
        <v>0.04</v>
      </c>
      <c r="AB422" s="6">
        <v>95.75</v>
      </c>
      <c r="AC422" s="6">
        <v>3.5</v>
      </c>
      <c r="AD422" s="6" t="s">
        <v>275</v>
      </c>
    </row>
    <row r="423" spans="1:30">
      <c r="A423" s="8" t="s">
        <v>1053</v>
      </c>
      <c r="B423" s="6" t="s">
        <v>276</v>
      </c>
      <c r="C423" s="6" t="s">
        <v>31</v>
      </c>
      <c r="D423" s="6">
        <v>1000</v>
      </c>
      <c r="E423" s="8">
        <v>3</v>
      </c>
      <c r="F423" s="8">
        <f t="shared" si="19"/>
        <v>432000</v>
      </c>
      <c r="G423" s="9">
        <v>4.6632042652511761E-13</v>
      </c>
      <c r="H423" s="10">
        <f t="shared" si="17"/>
        <v>0.89766457935879551</v>
      </c>
      <c r="I423" s="6" t="s">
        <v>277</v>
      </c>
      <c r="J423" s="6" t="s">
        <v>278</v>
      </c>
      <c r="K423" s="6">
        <v>33.9</v>
      </c>
      <c r="L423" s="6">
        <v>1</v>
      </c>
      <c r="M423" s="6">
        <v>0</v>
      </c>
      <c r="N423" s="6">
        <v>0</v>
      </c>
      <c r="O423" s="6">
        <v>0</v>
      </c>
      <c r="P423" s="6">
        <v>60.520170710352588</v>
      </c>
      <c r="Q423" s="6">
        <v>1.3619468814695079</v>
      </c>
      <c r="R423" s="6">
        <v>17.113165979154846</v>
      </c>
      <c r="S423" s="6">
        <v>6.5000000000000006E-3</v>
      </c>
      <c r="T423" s="6">
        <v>6.305426568797893</v>
      </c>
      <c r="U423" s="6">
        <v>8.932660809681553E-2</v>
      </c>
      <c r="V423" s="6">
        <v>1.1610130657291278</v>
      </c>
      <c r="W423" s="6">
        <v>4.0579267819546541</v>
      </c>
      <c r="X423" s="6">
        <v>3.6125110114108945</v>
      </c>
      <c r="Y423" s="6">
        <v>3.7737180440409968</v>
      </c>
      <c r="Z423" s="6">
        <v>0.5</v>
      </c>
      <c r="AA423" s="6">
        <v>0.01</v>
      </c>
      <c r="AB423" s="6">
        <v>98.5</v>
      </c>
      <c r="AC423" s="6">
        <v>1.75</v>
      </c>
      <c r="AD423" s="6" t="s">
        <v>275</v>
      </c>
    </row>
    <row r="424" spans="1:30">
      <c r="A424" s="8" t="s">
        <v>1053</v>
      </c>
      <c r="B424" s="6" t="s">
        <v>279</v>
      </c>
      <c r="C424" s="6" t="s">
        <v>31</v>
      </c>
      <c r="D424" s="6">
        <v>950</v>
      </c>
      <c r="E424" s="8">
        <v>3</v>
      </c>
      <c r="F424" s="8">
        <f t="shared" si="19"/>
        <v>432000</v>
      </c>
      <c r="G424" s="9">
        <v>2.6432360916877484E-13</v>
      </c>
      <c r="H424" s="10">
        <f t="shared" si="17"/>
        <v>0.67583370487394523</v>
      </c>
      <c r="I424" s="6" t="s">
        <v>41</v>
      </c>
      <c r="J424" s="6" t="s">
        <v>280</v>
      </c>
      <c r="K424" s="6">
        <v>46.2</v>
      </c>
      <c r="L424" s="6">
        <v>1</v>
      </c>
      <c r="M424" s="6">
        <v>0</v>
      </c>
      <c r="N424" s="6">
        <v>0</v>
      </c>
      <c r="O424" s="6">
        <v>0</v>
      </c>
      <c r="P424" s="6">
        <v>58.665394373593777</v>
      </c>
      <c r="Q424" s="6">
        <v>1.0133540623796691</v>
      </c>
      <c r="R424" s="6">
        <v>16.797088600727037</v>
      </c>
      <c r="S424" s="6">
        <v>1.6321428571428574E-2</v>
      </c>
      <c r="T424" s="6">
        <v>5.7977538944571902</v>
      </c>
      <c r="U424" s="6">
        <v>0.11058574197533494</v>
      </c>
      <c r="V424" s="6">
        <v>1.886119566332638</v>
      </c>
      <c r="W424" s="6">
        <v>4.9783139029058638</v>
      </c>
      <c r="X424" s="6">
        <v>3.2748825954472132</v>
      </c>
      <c r="Y424" s="6">
        <v>2.6913233569118122</v>
      </c>
      <c r="Z424" s="6">
        <v>0.44857186631355467</v>
      </c>
      <c r="AA424" s="6">
        <v>0.03</v>
      </c>
      <c r="AB424" s="6">
        <v>95.68</v>
      </c>
      <c r="AC424" s="6">
        <v>4.18</v>
      </c>
      <c r="AD424" s="6" t="s">
        <v>275</v>
      </c>
    </row>
    <row r="425" spans="1:30">
      <c r="A425" s="8" t="s">
        <v>1053</v>
      </c>
      <c r="B425" s="6" t="s">
        <v>281</v>
      </c>
      <c r="C425" s="6" t="s">
        <v>31</v>
      </c>
      <c r="D425" s="6">
        <v>1000</v>
      </c>
      <c r="E425" s="8">
        <v>1</v>
      </c>
      <c r="F425" s="8">
        <f t="shared" si="19"/>
        <v>432000</v>
      </c>
      <c r="G425" s="9">
        <v>4.6632042652511761E-13</v>
      </c>
      <c r="H425" s="10">
        <f t="shared" si="17"/>
        <v>0.89766457935879551</v>
      </c>
      <c r="I425" s="6" t="s">
        <v>282</v>
      </c>
      <c r="J425" s="6" t="s">
        <v>283</v>
      </c>
      <c r="K425" s="6">
        <v>36.9</v>
      </c>
      <c r="L425" s="6">
        <v>1</v>
      </c>
      <c r="M425" s="6">
        <v>0</v>
      </c>
      <c r="N425" s="6">
        <v>0</v>
      </c>
      <c r="O425" s="6">
        <v>0</v>
      </c>
      <c r="P425" s="6">
        <v>65.384959669288165</v>
      </c>
      <c r="Q425" s="6">
        <v>1.1005849947534103</v>
      </c>
      <c r="R425" s="6">
        <v>15.175422461492452</v>
      </c>
      <c r="S425" s="6">
        <v>3.3250000000000002E-2</v>
      </c>
      <c r="T425" s="6">
        <v>3.5635144198524475</v>
      </c>
      <c r="U425" s="6">
        <v>7.7037263573915507E-2</v>
      </c>
      <c r="V425" s="6">
        <v>2.1517417439165705</v>
      </c>
      <c r="W425" s="6">
        <v>4.2462404649473289</v>
      </c>
      <c r="X425" s="6">
        <v>3.2702154857560264</v>
      </c>
      <c r="Y425" s="6">
        <v>3.4871123936222244</v>
      </c>
      <c r="Z425" s="6">
        <v>0.43884892086330946</v>
      </c>
      <c r="AA425" s="6">
        <v>0.02</v>
      </c>
      <c r="AB425" s="6">
        <v>98.93</v>
      </c>
      <c r="AC425" s="6">
        <v>1.1499999999999999</v>
      </c>
      <c r="AD425" s="6" t="s">
        <v>275</v>
      </c>
    </row>
    <row r="426" spans="1:30">
      <c r="A426" s="8" t="s">
        <v>1053</v>
      </c>
      <c r="B426" s="6" t="s">
        <v>284</v>
      </c>
      <c r="C426" s="6" t="s">
        <v>31</v>
      </c>
      <c r="D426" s="6">
        <v>950</v>
      </c>
      <c r="E426" s="6">
        <v>1</v>
      </c>
      <c r="F426" s="8">
        <f t="shared" si="19"/>
        <v>432000</v>
      </c>
      <c r="G426" s="9">
        <v>2.6432360916877484E-13</v>
      </c>
      <c r="H426" s="10">
        <f t="shared" si="17"/>
        <v>0.67583370487394523</v>
      </c>
      <c r="I426" s="6" t="s">
        <v>41</v>
      </c>
      <c r="J426" s="6" t="s">
        <v>285</v>
      </c>
      <c r="K426" s="6">
        <v>34.9</v>
      </c>
      <c r="L426" s="6">
        <v>1</v>
      </c>
      <c r="M426" s="6">
        <v>0</v>
      </c>
      <c r="N426" s="6">
        <v>0</v>
      </c>
      <c r="O426" s="6">
        <v>0</v>
      </c>
      <c r="P426" s="6">
        <v>64.06</v>
      </c>
      <c r="Q426" s="6">
        <v>0.82</v>
      </c>
      <c r="R426" s="6">
        <v>15.91</v>
      </c>
      <c r="S426" s="6">
        <v>0.01</v>
      </c>
      <c r="T426" s="6">
        <v>2.67</v>
      </c>
      <c r="U426" s="6">
        <v>7.0000000000000007E-2</v>
      </c>
      <c r="V426" s="6">
        <v>1.45</v>
      </c>
      <c r="W426" s="6">
        <v>3.51</v>
      </c>
      <c r="X426" s="6">
        <v>3.06</v>
      </c>
      <c r="Y426" s="6">
        <v>3.26</v>
      </c>
      <c r="Z426" s="6">
        <v>0.24</v>
      </c>
      <c r="AA426" s="6">
        <v>0.03</v>
      </c>
      <c r="AB426" s="6">
        <v>95.06</v>
      </c>
      <c r="AC426" s="6">
        <v>4</v>
      </c>
      <c r="AD426" s="6" t="s">
        <v>275</v>
      </c>
    </row>
    <row r="427" spans="1:30">
      <c r="A427" s="8" t="s">
        <v>1053</v>
      </c>
      <c r="B427" s="6" t="s">
        <v>286</v>
      </c>
      <c r="C427" s="6" t="s">
        <v>31</v>
      </c>
      <c r="D427" s="6">
        <v>1000</v>
      </c>
      <c r="E427" s="6">
        <v>1</v>
      </c>
      <c r="F427" s="8">
        <f t="shared" si="19"/>
        <v>432000</v>
      </c>
      <c r="G427" s="9">
        <v>4.6632042652511761E-13</v>
      </c>
      <c r="H427" s="10">
        <f t="shared" si="17"/>
        <v>0.89766457935879551</v>
      </c>
      <c r="I427" s="6" t="s">
        <v>273</v>
      </c>
      <c r="J427" s="6" t="s">
        <v>287</v>
      </c>
      <c r="K427" s="6">
        <v>34.299999999999997</v>
      </c>
      <c r="L427" s="6">
        <v>1</v>
      </c>
      <c r="M427" s="6">
        <v>0</v>
      </c>
      <c r="N427" s="6">
        <v>0</v>
      </c>
      <c r="O427" s="6">
        <v>0</v>
      </c>
      <c r="P427" s="6">
        <v>61.44</v>
      </c>
      <c r="Q427" s="6">
        <v>1.31</v>
      </c>
      <c r="R427" s="6">
        <v>16.09</v>
      </c>
      <c r="S427" s="6">
        <v>0.03</v>
      </c>
      <c r="T427" s="6">
        <v>5.4</v>
      </c>
      <c r="U427" s="6">
        <v>0.09</v>
      </c>
      <c r="V427" s="6">
        <v>1.78</v>
      </c>
      <c r="W427" s="6">
        <v>4.0599999999999996</v>
      </c>
      <c r="X427" s="6">
        <v>3.68</v>
      </c>
      <c r="Y427" s="6">
        <v>3.63</v>
      </c>
      <c r="Z427" s="6">
        <v>0.62</v>
      </c>
      <c r="AA427" s="6">
        <v>7.0000000000000007E-2</v>
      </c>
      <c r="AB427" s="6">
        <v>98.12</v>
      </c>
      <c r="AC427" s="6">
        <v>2.09</v>
      </c>
      <c r="AD427" s="6" t="s">
        <v>275</v>
      </c>
    </row>
    <row r="428" spans="1:30">
      <c r="A428" s="8" t="s">
        <v>1053</v>
      </c>
      <c r="B428" s="6" t="s">
        <v>288</v>
      </c>
      <c r="C428" s="6" t="s">
        <v>31</v>
      </c>
      <c r="D428" s="6">
        <v>950</v>
      </c>
      <c r="E428" s="6">
        <v>1</v>
      </c>
      <c r="F428" s="8">
        <f t="shared" si="19"/>
        <v>432000</v>
      </c>
      <c r="G428" s="9">
        <v>2.6432360916877484E-13</v>
      </c>
      <c r="H428" s="10">
        <f t="shared" si="17"/>
        <v>0.67583370487394523</v>
      </c>
      <c r="I428" s="6" t="s">
        <v>41</v>
      </c>
      <c r="J428" s="6" t="s">
        <v>287</v>
      </c>
      <c r="K428" s="6">
        <v>38.4</v>
      </c>
      <c r="L428" s="6">
        <v>1</v>
      </c>
      <c r="M428" s="6">
        <v>0</v>
      </c>
      <c r="N428" s="6">
        <v>0</v>
      </c>
      <c r="O428" s="6">
        <v>0</v>
      </c>
      <c r="P428" s="6">
        <v>62.74</v>
      </c>
      <c r="Q428" s="6">
        <v>1.01</v>
      </c>
      <c r="R428" s="6">
        <v>16.510000000000002</v>
      </c>
      <c r="S428" s="6">
        <v>0.02</v>
      </c>
      <c r="T428" s="6">
        <v>3.89</v>
      </c>
      <c r="U428" s="6">
        <v>0.08</v>
      </c>
      <c r="V428" s="6">
        <v>1.52</v>
      </c>
      <c r="W428" s="6">
        <v>3.81</v>
      </c>
      <c r="X428" s="6">
        <v>3.62</v>
      </c>
      <c r="Y428" s="6">
        <v>3.45</v>
      </c>
      <c r="Z428" s="6">
        <v>0.28999999999999998</v>
      </c>
      <c r="AA428" s="6">
        <v>0.04</v>
      </c>
      <c r="AB428" s="6">
        <v>96.94</v>
      </c>
      <c r="AC428" s="6">
        <v>3.39</v>
      </c>
      <c r="AD428" s="6" t="s">
        <v>275</v>
      </c>
    </row>
    <row r="429" spans="1:30">
      <c r="A429" s="8" t="s">
        <v>1043</v>
      </c>
      <c r="B429" s="6" t="s">
        <v>138</v>
      </c>
      <c r="C429" s="8" t="s">
        <v>1129</v>
      </c>
      <c r="D429" s="8">
        <v>1120</v>
      </c>
      <c r="E429" s="8">
        <v>7.5</v>
      </c>
      <c r="F429" s="8">
        <f>3*3600</f>
        <v>10800</v>
      </c>
      <c r="G429" s="9">
        <v>1.5423972482920491E-12</v>
      </c>
      <c r="H429" s="10">
        <f t="shared" si="17"/>
        <v>0.2581308992085537</v>
      </c>
      <c r="I429" s="6">
        <v>0</v>
      </c>
      <c r="L429" s="8">
        <v>0</v>
      </c>
      <c r="M429" s="8">
        <v>1</v>
      </c>
      <c r="N429" s="6">
        <v>1</v>
      </c>
      <c r="O429" s="8">
        <v>1</v>
      </c>
      <c r="P429" s="6">
        <v>51.41</v>
      </c>
      <c r="Q429" s="6">
        <v>2.11</v>
      </c>
      <c r="R429" s="6">
        <v>14.31</v>
      </c>
      <c r="T429" s="6">
        <v>9.42</v>
      </c>
      <c r="V429" s="6">
        <v>3.78</v>
      </c>
      <c r="W429" s="6">
        <v>9</v>
      </c>
      <c r="X429" s="6">
        <v>3.3</v>
      </c>
      <c r="Y429" s="6">
        <v>1.1100000000000001</v>
      </c>
      <c r="Z429" s="6">
        <v>2.2000000000000002</v>
      </c>
      <c r="AA429" s="8">
        <v>0.1</v>
      </c>
      <c r="AB429" s="6">
        <v>96.64</v>
      </c>
      <c r="AC429" s="6">
        <v>0</v>
      </c>
      <c r="AD429" s="6" t="s">
        <v>33</v>
      </c>
    </row>
    <row r="430" spans="1:30">
      <c r="A430" s="8" t="s">
        <v>1043</v>
      </c>
      <c r="B430" s="6" t="s">
        <v>139</v>
      </c>
      <c r="C430" s="8" t="s">
        <v>1129</v>
      </c>
      <c r="D430" s="8">
        <v>950</v>
      </c>
      <c r="E430" s="8">
        <v>7.5</v>
      </c>
      <c r="F430" s="8">
        <f>4.5*3600</f>
        <v>16200</v>
      </c>
      <c r="G430" s="9">
        <v>2.6432360916877484E-13</v>
      </c>
      <c r="H430" s="10">
        <f t="shared" si="17"/>
        <v>0.13087463418912243</v>
      </c>
      <c r="I430" s="6">
        <v>4.3</v>
      </c>
      <c r="L430" s="8">
        <v>1</v>
      </c>
      <c r="M430" s="8">
        <v>1</v>
      </c>
      <c r="N430" s="6">
        <v>1</v>
      </c>
      <c r="O430" s="8">
        <v>1</v>
      </c>
      <c r="P430" s="6">
        <v>58.35</v>
      </c>
      <c r="Q430" s="6">
        <v>0.57999999999999996</v>
      </c>
      <c r="R430" s="6">
        <v>17.28</v>
      </c>
      <c r="T430" s="6">
        <v>4.57</v>
      </c>
      <c r="V430" s="6">
        <v>1.33</v>
      </c>
      <c r="W430" s="6">
        <v>4.82</v>
      </c>
      <c r="X430" s="6">
        <v>3</v>
      </c>
      <c r="Y430" s="6">
        <v>2</v>
      </c>
      <c r="Z430" s="6">
        <v>0.45</v>
      </c>
      <c r="AA430" s="8">
        <v>0.1</v>
      </c>
      <c r="AB430" s="6">
        <v>92.38</v>
      </c>
      <c r="AC430" s="6">
        <f t="shared" ref="AC430:AC438" si="20">100-AB430</f>
        <v>7.6200000000000045</v>
      </c>
      <c r="AD430" s="6" t="s">
        <v>1125</v>
      </c>
    </row>
    <row r="431" spans="1:30">
      <c r="A431" s="8" t="s">
        <v>1043</v>
      </c>
      <c r="B431" s="6" t="s">
        <v>141</v>
      </c>
      <c r="C431" s="8" t="s">
        <v>1129</v>
      </c>
      <c r="D431" s="8">
        <v>1080</v>
      </c>
      <c r="E431" s="8">
        <v>8</v>
      </c>
      <c r="F431" s="8">
        <f>4.8*3600</f>
        <v>17280</v>
      </c>
      <c r="G431" s="9">
        <v>1.0598971239956754E-12</v>
      </c>
      <c r="H431" s="10">
        <f t="shared" si="17"/>
        <v>0.27066601044568028</v>
      </c>
      <c r="I431" s="6">
        <v>2.5</v>
      </c>
      <c r="L431" s="8">
        <v>1</v>
      </c>
      <c r="M431" s="8">
        <v>1</v>
      </c>
      <c r="N431" s="6">
        <v>1</v>
      </c>
      <c r="O431" s="8">
        <v>1</v>
      </c>
      <c r="P431" s="6">
        <v>53.7</v>
      </c>
      <c r="Q431" s="6">
        <v>2</v>
      </c>
      <c r="R431" s="6">
        <v>16.2</v>
      </c>
      <c r="T431" s="6">
        <v>5</v>
      </c>
      <c r="V431" s="6">
        <v>3.85</v>
      </c>
      <c r="W431" s="6">
        <v>9.1300000000000008</v>
      </c>
      <c r="X431" s="6">
        <v>3.3</v>
      </c>
      <c r="Y431" s="6">
        <v>1.1000000000000001</v>
      </c>
      <c r="Z431" s="6">
        <v>1.61</v>
      </c>
      <c r="AA431" s="8">
        <v>0.12</v>
      </c>
      <c r="AB431" s="6">
        <v>95.89</v>
      </c>
      <c r="AC431" s="6">
        <f t="shared" si="20"/>
        <v>4.1099999999999994</v>
      </c>
      <c r="AD431" s="6" t="s">
        <v>1125</v>
      </c>
    </row>
    <row r="432" spans="1:30">
      <c r="A432" s="8" t="s">
        <v>1043</v>
      </c>
      <c r="B432" s="6" t="s">
        <v>142</v>
      </c>
      <c r="C432" s="8" t="s">
        <v>1129</v>
      </c>
      <c r="D432" s="8">
        <v>950</v>
      </c>
      <c r="E432" s="8">
        <v>7.5</v>
      </c>
      <c r="F432" s="8">
        <f>12*3600</f>
        <v>43200</v>
      </c>
      <c r="G432" s="9">
        <v>2.6432360916877484E-13</v>
      </c>
      <c r="H432" s="10">
        <f t="shared" si="17"/>
        <v>0.21371738269117066</v>
      </c>
      <c r="I432" s="6">
        <v>10.3</v>
      </c>
      <c r="L432" s="8">
        <v>1</v>
      </c>
      <c r="M432" s="8">
        <v>1</v>
      </c>
      <c r="N432" s="6">
        <v>1</v>
      </c>
      <c r="O432" s="8">
        <v>1</v>
      </c>
      <c r="P432" s="6">
        <v>66.36</v>
      </c>
      <c r="Q432" s="6">
        <v>0.23</v>
      </c>
      <c r="R432" s="6">
        <v>13.31</v>
      </c>
      <c r="T432" s="6">
        <v>1.38</v>
      </c>
      <c r="V432" s="6">
        <v>0.4</v>
      </c>
      <c r="W432" s="6">
        <v>2.48</v>
      </c>
      <c r="X432" s="6">
        <v>4</v>
      </c>
      <c r="Y432" s="6">
        <v>3</v>
      </c>
      <c r="Z432" s="6">
        <v>0.27</v>
      </c>
      <c r="AA432" s="8">
        <v>7.0000000000000007E-2</v>
      </c>
      <c r="AB432" s="6">
        <v>91.43</v>
      </c>
      <c r="AC432" s="6">
        <f t="shared" si="20"/>
        <v>8.5699999999999932</v>
      </c>
      <c r="AD432" s="6" t="s">
        <v>1125</v>
      </c>
    </row>
    <row r="433" spans="1:32">
      <c r="A433" s="8" t="s">
        <v>1043</v>
      </c>
      <c r="B433" s="6" t="s">
        <v>144</v>
      </c>
      <c r="C433" s="8" t="s">
        <v>1129</v>
      </c>
      <c r="D433" s="8">
        <v>1080</v>
      </c>
      <c r="E433" s="8">
        <v>20</v>
      </c>
      <c r="F433" s="8">
        <f>3.8*3600</f>
        <v>13680</v>
      </c>
      <c r="G433" s="9">
        <v>1.0598971239956754E-12</v>
      </c>
      <c r="H433" s="10">
        <f t="shared" si="17"/>
        <v>0.24082684780780436</v>
      </c>
      <c r="I433" s="6">
        <v>5</v>
      </c>
      <c r="L433" s="8">
        <v>1</v>
      </c>
      <c r="M433" s="8">
        <v>1</v>
      </c>
      <c r="N433" s="6">
        <v>1</v>
      </c>
      <c r="O433" s="8">
        <v>1</v>
      </c>
      <c r="P433" s="6">
        <v>56.44</v>
      </c>
      <c r="Q433" s="6">
        <v>0.57999999999999996</v>
      </c>
      <c r="R433" s="6">
        <v>15.2</v>
      </c>
      <c r="T433" s="6">
        <v>4.71</v>
      </c>
      <c r="U433" s="6">
        <v>0.1</v>
      </c>
      <c r="V433" s="6">
        <v>2.48</v>
      </c>
      <c r="W433" s="6">
        <v>7.59</v>
      </c>
      <c r="X433" s="6">
        <v>3</v>
      </c>
      <c r="Y433" s="6">
        <v>2</v>
      </c>
      <c r="Z433" s="6">
        <v>0.94</v>
      </c>
      <c r="AA433" s="8">
        <v>0.04</v>
      </c>
      <c r="AB433" s="6">
        <v>93.04</v>
      </c>
      <c r="AC433" s="6">
        <f t="shared" si="20"/>
        <v>6.9599999999999937</v>
      </c>
      <c r="AD433" s="6" t="s">
        <v>1125</v>
      </c>
    </row>
    <row r="434" spans="1:32">
      <c r="A434" s="8" t="s">
        <v>1043</v>
      </c>
      <c r="B434" s="6" t="s">
        <v>146</v>
      </c>
      <c r="C434" s="8" t="s">
        <v>1129</v>
      </c>
      <c r="D434" s="8">
        <v>950</v>
      </c>
      <c r="E434" s="8">
        <v>7.5</v>
      </c>
      <c r="F434" s="8">
        <f>12*3600</f>
        <v>43200</v>
      </c>
      <c r="G434" s="9">
        <v>2.6432360916877484E-13</v>
      </c>
      <c r="H434" s="10">
        <f t="shared" si="17"/>
        <v>0.21371738269117066</v>
      </c>
      <c r="I434" s="6">
        <v>9.6</v>
      </c>
      <c r="L434" s="8">
        <v>1</v>
      </c>
      <c r="M434" s="8">
        <v>1</v>
      </c>
      <c r="N434" s="6">
        <v>1</v>
      </c>
      <c r="O434" s="8">
        <v>1</v>
      </c>
      <c r="P434" s="6">
        <v>50.13</v>
      </c>
      <c r="Q434" s="6">
        <v>1.1200000000000001</v>
      </c>
      <c r="R434" s="6">
        <v>17.420000000000002</v>
      </c>
      <c r="T434" s="6">
        <v>7.93</v>
      </c>
      <c r="V434" s="6">
        <v>1.71</v>
      </c>
      <c r="W434" s="6">
        <v>6.31</v>
      </c>
      <c r="X434" s="6">
        <v>3</v>
      </c>
      <c r="Y434" s="6">
        <v>2</v>
      </c>
      <c r="Z434" s="6">
        <v>0.74</v>
      </c>
      <c r="AA434" s="8">
        <v>0.13</v>
      </c>
      <c r="AB434" s="6">
        <v>90.36</v>
      </c>
      <c r="AC434" s="6">
        <f t="shared" si="20"/>
        <v>9.64</v>
      </c>
      <c r="AD434" s="6" t="s">
        <v>1125</v>
      </c>
    </row>
    <row r="435" spans="1:32">
      <c r="A435" s="8" t="s">
        <v>1043</v>
      </c>
      <c r="B435" s="6" t="s">
        <v>147</v>
      </c>
      <c r="C435" s="8" t="s">
        <v>1129</v>
      </c>
      <c r="D435" s="8">
        <v>950</v>
      </c>
      <c r="E435" s="8">
        <v>7.5</v>
      </c>
      <c r="F435" s="8">
        <f>12*3600</f>
        <v>43200</v>
      </c>
      <c r="G435" s="9">
        <v>2.6432360916877484E-13</v>
      </c>
      <c r="H435" s="10">
        <f t="shared" si="17"/>
        <v>0.21371738269117066</v>
      </c>
      <c r="I435" s="6">
        <v>10.4</v>
      </c>
      <c r="L435" s="8">
        <v>1</v>
      </c>
      <c r="M435" s="8">
        <v>1</v>
      </c>
      <c r="N435" s="6">
        <v>1</v>
      </c>
      <c r="O435" s="8">
        <v>1</v>
      </c>
      <c r="P435" s="6">
        <v>49.33</v>
      </c>
      <c r="Q435" s="6">
        <v>1.77</v>
      </c>
      <c r="R435" s="6">
        <v>15.34</v>
      </c>
      <c r="T435" s="6">
        <v>8.69</v>
      </c>
      <c r="V435" s="6">
        <v>3.21</v>
      </c>
      <c r="W435" s="6">
        <v>7.13</v>
      </c>
      <c r="X435" s="6">
        <v>3.3</v>
      </c>
      <c r="Y435" s="6">
        <v>1.1000000000000001</v>
      </c>
      <c r="Z435" s="6">
        <v>0.86</v>
      </c>
      <c r="AA435" s="8">
        <v>0.14000000000000001</v>
      </c>
      <c r="AB435" s="6">
        <v>90.73</v>
      </c>
      <c r="AC435" s="6">
        <f t="shared" si="20"/>
        <v>9.269999999999996</v>
      </c>
      <c r="AD435" s="6" t="s">
        <v>1125</v>
      </c>
    </row>
    <row r="436" spans="1:32">
      <c r="A436" s="8" t="s">
        <v>1043</v>
      </c>
      <c r="B436" s="6" t="s">
        <v>148</v>
      </c>
      <c r="C436" s="8" t="s">
        <v>1129</v>
      </c>
      <c r="D436" s="8">
        <v>950</v>
      </c>
      <c r="E436" s="8">
        <v>7.5</v>
      </c>
      <c r="F436" s="8">
        <f>12*3600</f>
        <v>43200</v>
      </c>
      <c r="G436" s="9">
        <v>2.6432360916877484E-13</v>
      </c>
      <c r="H436" s="10">
        <f t="shared" si="17"/>
        <v>0.21371738269117066</v>
      </c>
      <c r="I436" s="6">
        <v>5.2</v>
      </c>
      <c r="L436" s="8">
        <v>1</v>
      </c>
      <c r="M436" s="8">
        <v>1</v>
      </c>
      <c r="N436" s="6">
        <v>1</v>
      </c>
      <c r="O436" s="8">
        <v>1</v>
      </c>
      <c r="P436" s="6">
        <v>49.35</v>
      </c>
      <c r="Q436" s="6">
        <v>1.48</v>
      </c>
      <c r="R436" s="6">
        <v>17.309999999999999</v>
      </c>
      <c r="T436" s="6">
        <v>8.34</v>
      </c>
      <c r="V436" s="6">
        <v>1.87</v>
      </c>
      <c r="W436" s="6">
        <v>7.44</v>
      </c>
      <c r="X436" s="6">
        <v>3</v>
      </c>
      <c r="Y436" s="6">
        <v>2</v>
      </c>
      <c r="Z436" s="6">
        <v>1.1599999999999999</v>
      </c>
      <c r="AA436" s="8">
        <v>0.18</v>
      </c>
      <c r="AB436" s="6">
        <v>91.95</v>
      </c>
      <c r="AC436" s="6">
        <f t="shared" si="20"/>
        <v>8.0499999999999972</v>
      </c>
      <c r="AD436" s="6" t="s">
        <v>1125</v>
      </c>
    </row>
    <row r="437" spans="1:32">
      <c r="A437" s="8" t="s">
        <v>1043</v>
      </c>
      <c r="B437" s="6" t="s">
        <v>149</v>
      </c>
      <c r="C437" s="8" t="s">
        <v>1129</v>
      </c>
      <c r="D437" s="8">
        <v>950</v>
      </c>
      <c r="E437" s="8">
        <v>7.5</v>
      </c>
      <c r="F437" s="8">
        <f>12*3600</f>
        <v>43200</v>
      </c>
      <c r="G437" s="9">
        <v>2.6432360916877484E-13</v>
      </c>
      <c r="H437" s="10">
        <f t="shared" si="17"/>
        <v>0.21371738269117066</v>
      </c>
      <c r="I437" s="6">
        <v>5.7</v>
      </c>
      <c r="L437" s="8">
        <v>1</v>
      </c>
      <c r="M437" s="8">
        <v>1</v>
      </c>
      <c r="N437" s="6">
        <v>1</v>
      </c>
      <c r="O437" s="8">
        <v>1</v>
      </c>
      <c r="P437" s="6">
        <v>51.53</v>
      </c>
      <c r="Q437" s="6">
        <v>1.97</v>
      </c>
      <c r="R437" s="6">
        <v>16.239999999999998</v>
      </c>
      <c r="T437" s="6">
        <v>8.23</v>
      </c>
      <c r="V437" s="6">
        <v>2.83</v>
      </c>
      <c r="W437" s="6">
        <v>5.85</v>
      </c>
      <c r="X437" s="6">
        <v>3</v>
      </c>
      <c r="Y437" s="6">
        <v>2</v>
      </c>
      <c r="Z437" s="6">
        <v>0.99</v>
      </c>
      <c r="AA437" s="8">
        <v>7.0000000000000007E-2</v>
      </c>
      <c r="AB437" s="6">
        <v>92.64</v>
      </c>
      <c r="AC437" s="6">
        <f t="shared" si="20"/>
        <v>7.3599999999999994</v>
      </c>
      <c r="AD437" s="6" t="s">
        <v>1125</v>
      </c>
    </row>
    <row r="438" spans="1:32">
      <c r="A438" s="8" t="s">
        <v>1043</v>
      </c>
      <c r="B438" s="6" t="s">
        <v>150</v>
      </c>
      <c r="C438" s="8" t="s">
        <v>1129</v>
      </c>
      <c r="D438" s="8">
        <v>950</v>
      </c>
      <c r="E438" s="8">
        <v>7.5</v>
      </c>
      <c r="F438" s="8">
        <f>12*3600</f>
        <v>43200</v>
      </c>
      <c r="G438" s="9">
        <v>2.6432360916877484E-13</v>
      </c>
      <c r="H438" s="10">
        <f t="shared" si="17"/>
        <v>0.21371738269117066</v>
      </c>
      <c r="I438" s="6">
        <v>4.8</v>
      </c>
      <c r="L438" s="8">
        <v>1</v>
      </c>
      <c r="M438" s="8">
        <v>1</v>
      </c>
      <c r="N438" s="6">
        <v>1</v>
      </c>
      <c r="O438" s="8">
        <v>1</v>
      </c>
      <c r="P438" s="6">
        <v>50.87</v>
      </c>
      <c r="Q438" s="6">
        <v>1.7</v>
      </c>
      <c r="R438" s="6">
        <v>17.53</v>
      </c>
      <c r="T438" s="6">
        <v>7.63</v>
      </c>
      <c r="V438" s="6">
        <v>2.29</v>
      </c>
      <c r="W438" s="6">
        <v>7.29</v>
      </c>
      <c r="X438" s="6">
        <v>3</v>
      </c>
      <c r="Y438" s="6">
        <v>2</v>
      </c>
      <c r="Z438" s="6">
        <v>1.1399999999999999</v>
      </c>
      <c r="AA438" s="8">
        <v>0.15</v>
      </c>
      <c r="AB438" s="6">
        <v>93.45</v>
      </c>
      <c r="AC438" s="6">
        <f t="shared" si="20"/>
        <v>6.5499999999999972</v>
      </c>
      <c r="AD438" s="6" t="s">
        <v>1125</v>
      </c>
    </row>
    <row r="439" spans="1:32" ht="18" customHeight="1">
      <c r="A439" s="8" t="s">
        <v>1043</v>
      </c>
      <c r="B439" s="6" t="s">
        <v>151</v>
      </c>
      <c r="C439" s="8" t="s">
        <v>1129</v>
      </c>
      <c r="D439" s="8">
        <v>1120</v>
      </c>
      <c r="E439" s="8">
        <v>7.5</v>
      </c>
      <c r="F439" s="8">
        <f>3*3600</f>
        <v>10800</v>
      </c>
      <c r="G439" s="9">
        <v>1.5423972482920491E-12</v>
      </c>
      <c r="H439" s="10">
        <f t="shared" si="17"/>
        <v>0.2581308992085537</v>
      </c>
      <c r="I439" s="6">
        <v>0</v>
      </c>
      <c r="L439" s="8">
        <v>0</v>
      </c>
      <c r="M439" s="8">
        <v>1</v>
      </c>
      <c r="N439" s="6">
        <v>1</v>
      </c>
      <c r="O439" s="8">
        <v>1</v>
      </c>
      <c r="P439" s="6">
        <v>51.97</v>
      </c>
      <c r="Q439" s="6">
        <v>2.2200000000000002</v>
      </c>
      <c r="R439" s="6">
        <v>14.48</v>
      </c>
      <c r="T439" s="6">
        <v>10.34</v>
      </c>
      <c r="U439" s="6">
        <v>0.24</v>
      </c>
      <c r="V439" s="6">
        <v>3.85</v>
      </c>
      <c r="W439" s="6">
        <v>8.6300000000000008</v>
      </c>
      <c r="X439" s="6">
        <v>3.3</v>
      </c>
      <c r="Y439" s="6">
        <v>1.1000000000000001</v>
      </c>
      <c r="Z439" s="6">
        <v>2.21</v>
      </c>
      <c r="AA439" s="8">
        <v>0.12</v>
      </c>
      <c r="AB439" s="6">
        <v>98.34</v>
      </c>
      <c r="AC439" s="6">
        <v>0</v>
      </c>
      <c r="AD439" s="6" t="s">
        <v>33</v>
      </c>
    </row>
    <row r="440" spans="1:32">
      <c r="A440" s="8" t="s">
        <v>1043</v>
      </c>
      <c r="B440" s="6" t="s">
        <v>153</v>
      </c>
      <c r="C440" s="8" t="s">
        <v>1129</v>
      </c>
      <c r="D440" s="8">
        <v>950</v>
      </c>
      <c r="E440" s="8">
        <v>7.5</v>
      </c>
      <c r="F440" s="8">
        <f>6.5*3600</f>
        <v>23400</v>
      </c>
      <c r="G440" s="9">
        <v>2.6432360916877484E-13</v>
      </c>
      <c r="H440" s="10">
        <f t="shared" si="17"/>
        <v>0.1572917347421578</v>
      </c>
      <c r="I440" s="6">
        <v>10</v>
      </c>
      <c r="L440" s="8">
        <v>1</v>
      </c>
      <c r="M440" s="8">
        <v>1</v>
      </c>
      <c r="N440" s="6">
        <v>1</v>
      </c>
      <c r="O440" s="8">
        <v>1</v>
      </c>
      <c r="P440" s="6">
        <v>69.59</v>
      </c>
      <c r="Q440" s="6">
        <v>0.24</v>
      </c>
      <c r="R440" s="6">
        <v>13.37</v>
      </c>
      <c r="T440" s="6">
        <v>1.7</v>
      </c>
      <c r="V440" s="6">
        <v>0.41</v>
      </c>
      <c r="W440" s="6">
        <v>2.46</v>
      </c>
      <c r="X440" s="6">
        <v>4</v>
      </c>
      <c r="Y440" s="6">
        <v>3</v>
      </c>
      <c r="Z440" s="6">
        <v>0.26</v>
      </c>
      <c r="AA440" s="8">
        <v>0.11</v>
      </c>
      <c r="AB440" s="6">
        <v>95.03</v>
      </c>
      <c r="AC440" s="6">
        <f>100-AB440</f>
        <v>4.9699999999999989</v>
      </c>
      <c r="AD440" s="6" t="s">
        <v>1125</v>
      </c>
    </row>
    <row r="441" spans="1:32">
      <c r="A441" s="8" t="s">
        <v>1043</v>
      </c>
      <c r="B441" s="6" t="s">
        <v>154</v>
      </c>
      <c r="C441" s="8" t="s">
        <v>1129</v>
      </c>
      <c r="D441" s="8">
        <v>950</v>
      </c>
      <c r="E441" s="8">
        <v>7.5</v>
      </c>
      <c r="F441" s="8">
        <f>6.5*3600</f>
        <v>23400</v>
      </c>
      <c r="G441" s="9">
        <v>2.6432360916877484E-13</v>
      </c>
      <c r="H441" s="10">
        <f t="shared" si="17"/>
        <v>0.1572917347421578</v>
      </c>
      <c r="I441" s="6">
        <v>9.6</v>
      </c>
      <c r="L441" s="8">
        <v>1</v>
      </c>
      <c r="M441" s="8">
        <v>1</v>
      </c>
      <c r="N441" s="6">
        <v>1</v>
      </c>
      <c r="O441" s="8">
        <v>1</v>
      </c>
      <c r="P441" s="6">
        <v>56.5</v>
      </c>
      <c r="Q441" s="6">
        <v>1.08</v>
      </c>
      <c r="R441" s="6">
        <v>19.809999999999999</v>
      </c>
      <c r="T441" s="6">
        <v>4.87</v>
      </c>
      <c r="V441" s="6">
        <v>0.36</v>
      </c>
      <c r="W441" s="6">
        <v>5.69</v>
      </c>
      <c r="X441" s="6">
        <v>3</v>
      </c>
      <c r="Y441" s="6">
        <v>3</v>
      </c>
      <c r="Z441" s="6">
        <v>0.85</v>
      </c>
      <c r="AA441" s="8">
        <v>0.22</v>
      </c>
      <c r="AB441" s="6">
        <v>95.16</v>
      </c>
      <c r="AC441" s="6">
        <f>100-AB441</f>
        <v>4.8400000000000034</v>
      </c>
      <c r="AD441" s="6" t="s">
        <v>1125</v>
      </c>
    </row>
    <row r="442" spans="1:32">
      <c r="A442" s="8" t="s">
        <v>1043</v>
      </c>
      <c r="B442" s="6" t="s">
        <v>155</v>
      </c>
      <c r="C442" s="8" t="s">
        <v>1129</v>
      </c>
      <c r="D442" s="8">
        <v>950</v>
      </c>
      <c r="E442" s="8">
        <v>7.5</v>
      </c>
      <c r="F442" s="8">
        <f>6.5*3600</f>
        <v>23400</v>
      </c>
      <c r="G442" s="9">
        <v>2.6432360916877484E-13</v>
      </c>
      <c r="H442" s="10">
        <f t="shared" si="17"/>
        <v>0.1572917347421578</v>
      </c>
      <c r="I442" s="6">
        <v>9.6999999999999993</v>
      </c>
      <c r="L442" s="8">
        <v>1</v>
      </c>
      <c r="M442" s="8">
        <v>1</v>
      </c>
      <c r="N442" s="6">
        <v>1</v>
      </c>
      <c r="O442" s="8">
        <v>1</v>
      </c>
      <c r="P442" s="6">
        <v>50.38</v>
      </c>
      <c r="Q442" s="6">
        <v>1.56</v>
      </c>
      <c r="R442" s="6">
        <v>15.39</v>
      </c>
      <c r="T442" s="6">
        <v>8.5299999999999994</v>
      </c>
      <c r="V442" s="6">
        <v>2.5099999999999998</v>
      </c>
      <c r="W442" s="6">
        <v>6.99</v>
      </c>
      <c r="X442" s="6">
        <v>3</v>
      </c>
      <c r="Y442" s="6">
        <v>2</v>
      </c>
      <c r="Z442" s="6">
        <v>0.75</v>
      </c>
      <c r="AA442" s="8">
        <v>0.09</v>
      </c>
      <c r="AB442" s="6">
        <v>91.11</v>
      </c>
      <c r="AC442" s="6">
        <f>100-AB442</f>
        <v>8.89</v>
      </c>
      <c r="AD442" s="6" t="s">
        <v>1125</v>
      </c>
    </row>
    <row r="443" spans="1:32">
      <c r="A443" s="8" t="s">
        <v>1043</v>
      </c>
      <c r="B443" s="6" t="s">
        <v>145</v>
      </c>
      <c r="C443" s="8" t="s">
        <v>1129</v>
      </c>
      <c r="D443" s="8">
        <v>1080</v>
      </c>
      <c r="E443" s="8">
        <v>7.5</v>
      </c>
      <c r="F443" s="8">
        <v>15480</v>
      </c>
      <c r="G443" s="9">
        <v>1.0598971239956754E-12</v>
      </c>
      <c r="H443" s="10">
        <v>0.25618124427407296</v>
      </c>
      <c r="I443" s="6">
        <v>5.8</v>
      </c>
      <c r="L443" s="8">
        <v>1</v>
      </c>
      <c r="M443" s="8">
        <v>1</v>
      </c>
      <c r="N443" s="6" t="s">
        <v>92</v>
      </c>
      <c r="O443" s="8">
        <v>1</v>
      </c>
      <c r="P443" s="6">
        <v>41.52</v>
      </c>
      <c r="Q443" s="6">
        <v>1.7</v>
      </c>
      <c r="R443" s="6">
        <v>13.02</v>
      </c>
      <c r="T443" s="6">
        <v>7.83</v>
      </c>
      <c r="V443" s="6">
        <v>6.6</v>
      </c>
      <c r="W443" s="6">
        <v>10.96</v>
      </c>
      <c r="X443" s="6">
        <v>3.5</v>
      </c>
      <c r="Y443" s="6">
        <v>1.7</v>
      </c>
      <c r="Z443" s="6">
        <v>2.7</v>
      </c>
      <c r="AA443" s="8">
        <v>0.13</v>
      </c>
      <c r="AB443" s="6">
        <v>89.53</v>
      </c>
      <c r="AE443" s="6" t="s">
        <v>1117</v>
      </c>
    </row>
    <row r="444" spans="1:32">
      <c r="A444" s="6" t="s">
        <v>1035</v>
      </c>
      <c r="B444" s="6" t="s">
        <v>73</v>
      </c>
      <c r="C444" s="6" t="s">
        <v>1126</v>
      </c>
      <c r="D444" s="6">
        <v>922</v>
      </c>
      <c r="E444" s="6">
        <v>1.98</v>
      </c>
      <c r="F444" s="6">
        <f>646*3600</f>
        <v>2325600</v>
      </c>
      <c r="G444" s="9">
        <v>1.8839007600748043E-13</v>
      </c>
      <c r="H444" s="10">
        <f>2*SQRT(G444*F444)*1000</f>
        <v>1.3238126162912884</v>
      </c>
      <c r="I444" s="6">
        <v>2.4</v>
      </c>
      <c r="J444" s="6" t="s">
        <v>74</v>
      </c>
      <c r="L444" s="6">
        <v>1</v>
      </c>
      <c r="M444" s="6">
        <v>1</v>
      </c>
      <c r="N444" s="6">
        <v>1</v>
      </c>
      <c r="O444" s="6">
        <v>1</v>
      </c>
      <c r="P444" s="6">
        <v>64.7</v>
      </c>
      <c r="Q444" s="6">
        <v>0.48</v>
      </c>
      <c r="R444" s="6">
        <v>14.1</v>
      </c>
      <c r="T444" s="6">
        <v>3.27</v>
      </c>
      <c r="U444" s="6">
        <v>0.04</v>
      </c>
      <c r="V444" s="6">
        <v>0.72</v>
      </c>
      <c r="W444" s="6">
        <v>1.95</v>
      </c>
      <c r="X444" s="6">
        <v>5.67</v>
      </c>
      <c r="Y444" s="6">
        <v>4.34</v>
      </c>
      <c r="Z444" s="6">
        <v>0.24</v>
      </c>
      <c r="AA444" s="6">
        <v>0.02</v>
      </c>
      <c r="AB444" s="8">
        <v>96.84</v>
      </c>
      <c r="AC444" s="6">
        <f>100-AB444</f>
        <v>3.1599999999999966</v>
      </c>
      <c r="AD444" s="6" t="s">
        <v>1124</v>
      </c>
    </row>
    <row r="445" spans="1:32">
      <c r="A445" s="6" t="s">
        <v>1035</v>
      </c>
      <c r="B445" s="6" t="s">
        <v>75</v>
      </c>
      <c r="C445" s="6" t="s">
        <v>1126</v>
      </c>
      <c r="D445" s="6">
        <v>922</v>
      </c>
      <c r="E445" s="6">
        <v>1.98</v>
      </c>
      <c r="F445" s="6">
        <f>646*3600</f>
        <v>2325600</v>
      </c>
      <c r="G445" s="9">
        <v>1.8839007600748043E-13</v>
      </c>
      <c r="H445" s="10">
        <f>2*SQRT(G445*F445)*1000</f>
        <v>1.3238126162912884</v>
      </c>
      <c r="I445" s="6">
        <v>2.4</v>
      </c>
      <c r="J445" s="6" t="s">
        <v>76</v>
      </c>
      <c r="L445" s="6">
        <v>1</v>
      </c>
      <c r="M445" s="6">
        <v>1</v>
      </c>
      <c r="N445" s="6">
        <v>1</v>
      </c>
      <c r="O445" s="6">
        <v>1</v>
      </c>
      <c r="P445" s="6">
        <v>65.599999999999994</v>
      </c>
      <c r="Q445" s="6">
        <v>0.45</v>
      </c>
      <c r="R445" s="6">
        <v>14.19</v>
      </c>
      <c r="T445" s="6">
        <v>2.52</v>
      </c>
      <c r="U445" s="6">
        <v>0.02</v>
      </c>
      <c r="V445" s="6">
        <v>0.73</v>
      </c>
      <c r="W445" s="6">
        <v>1.84</v>
      </c>
      <c r="X445" s="6">
        <v>5.21</v>
      </c>
      <c r="Y445" s="6">
        <v>4.24</v>
      </c>
      <c r="Z445" s="6">
        <v>0.12</v>
      </c>
      <c r="AA445" s="6">
        <v>0.03</v>
      </c>
      <c r="AB445" s="8">
        <v>96.09</v>
      </c>
      <c r="AC445" s="6">
        <f>100-AB445</f>
        <v>3.9099999999999966</v>
      </c>
      <c r="AD445" s="6" t="s">
        <v>1124</v>
      </c>
    </row>
    <row r="446" spans="1:32">
      <c r="A446" s="6" t="s">
        <v>1035</v>
      </c>
      <c r="B446" s="6" t="s">
        <v>77</v>
      </c>
      <c r="C446" s="6" t="s">
        <v>1126</v>
      </c>
      <c r="D446" s="6">
        <v>911</v>
      </c>
      <c r="E446" s="6">
        <v>2</v>
      </c>
      <c r="F446" s="6">
        <f>648*3600</f>
        <v>2332800</v>
      </c>
      <c r="G446" s="9">
        <v>1.6420047105746724E-13</v>
      </c>
      <c r="H446" s="10">
        <f>2*SQRT(G446*F446)*1000</f>
        <v>1.2378155902764507</v>
      </c>
      <c r="I446" s="6">
        <v>2.4</v>
      </c>
      <c r="J446" s="6" t="s">
        <v>74</v>
      </c>
      <c r="L446" s="6">
        <v>1</v>
      </c>
      <c r="M446" s="6">
        <v>1</v>
      </c>
      <c r="N446" s="6">
        <v>1</v>
      </c>
      <c r="O446" s="6">
        <v>1</v>
      </c>
      <c r="P446" s="6">
        <v>68.53</v>
      </c>
      <c r="Q446" s="6">
        <v>0.45</v>
      </c>
      <c r="R446" s="6">
        <v>13.75</v>
      </c>
      <c r="T446" s="6">
        <v>1.19</v>
      </c>
      <c r="U446" s="6">
        <v>0.02</v>
      </c>
      <c r="V446" s="6">
        <v>0.64</v>
      </c>
      <c r="W446" s="6">
        <v>1.48</v>
      </c>
      <c r="X446" s="6">
        <v>5.01</v>
      </c>
      <c r="Y446" s="6">
        <v>4.63</v>
      </c>
      <c r="Z446" s="6">
        <v>0.11</v>
      </c>
      <c r="AA446" s="6">
        <v>0.01</v>
      </c>
      <c r="AB446" s="8">
        <v>96.69</v>
      </c>
      <c r="AC446" s="6">
        <f>100-AB446</f>
        <v>3.3100000000000023</v>
      </c>
      <c r="AD446" s="6" t="s">
        <v>1124</v>
      </c>
    </row>
    <row r="447" spans="1:32">
      <c r="A447" s="6" t="s">
        <v>1035</v>
      </c>
      <c r="B447" s="6" t="s">
        <v>78</v>
      </c>
      <c r="C447" s="6" t="s">
        <v>1126</v>
      </c>
      <c r="D447" s="6">
        <v>911</v>
      </c>
      <c r="E447" s="6">
        <v>2</v>
      </c>
      <c r="F447" s="6">
        <f>648*3600</f>
        <v>2332800</v>
      </c>
      <c r="G447" s="9">
        <v>1.6420047105746724E-13</v>
      </c>
      <c r="H447" s="10">
        <f>2*SQRT(G447*F447)*1000</f>
        <v>1.2378155902764507</v>
      </c>
      <c r="I447" s="6">
        <v>2.4</v>
      </c>
      <c r="J447" s="6" t="s">
        <v>74</v>
      </c>
      <c r="L447" s="6">
        <v>1</v>
      </c>
      <c r="M447" s="6">
        <v>1</v>
      </c>
      <c r="N447" s="6">
        <v>1</v>
      </c>
      <c r="O447" s="6">
        <v>1</v>
      </c>
      <c r="P447" s="6">
        <v>66.430000000000007</v>
      </c>
      <c r="Q447" s="6">
        <v>0.45</v>
      </c>
      <c r="R447" s="6">
        <v>14.37</v>
      </c>
      <c r="T447" s="6">
        <v>1.22</v>
      </c>
      <c r="U447" s="6">
        <v>0.03</v>
      </c>
      <c r="V447" s="6">
        <v>0.65</v>
      </c>
      <c r="W447" s="6">
        <v>1.7</v>
      </c>
      <c r="X447" s="6">
        <v>5.17</v>
      </c>
      <c r="Y447" s="6">
        <v>4.6100000000000003</v>
      </c>
      <c r="Z447" s="6">
        <v>0.19</v>
      </c>
      <c r="AA447" s="6">
        <v>0.02</v>
      </c>
      <c r="AB447" s="8">
        <v>95.76</v>
      </c>
      <c r="AC447" s="6">
        <f>100-AB447</f>
        <v>4.2399999999999949</v>
      </c>
      <c r="AD447" s="6" t="s">
        <v>1124</v>
      </c>
    </row>
    <row r="448" spans="1:32">
      <c r="A448" s="8" t="s">
        <v>1046</v>
      </c>
      <c r="B448" s="6" t="s">
        <v>171</v>
      </c>
      <c r="C448" s="8" t="s">
        <v>645</v>
      </c>
      <c r="D448" s="8">
        <v>1000</v>
      </c>
      <c r="E448" s="8">
        <v>4.3</v>
      </c>
      <c r="F448" s="8">
        <f>60*3600</f>
        <v>216000</v>
      </c>
      <c r="G448" s="9">
        <v>4.6632042652511761E-13</v>
      </c>
      <c r="H448" s="10">
        <f>2*SQRT(G448*F448)*1000</f>
        <v>0.63474471129557397</v>
      </c>
      <c r="I448" s="6">
        <v>1.8</v>
      </c>
      <c r="J448" s="6" t="s">
        <v>172</v>
      </c>
      <c r="K448" s="6">
        <v>37.1</v>
      </c>
      <c r="L448" s="6">
        <v>1</v>
      </c>
      <c r="M448" s="8">
        <v>0</v>
      </c>
      <c r="N448" s="8">
        <v>0</v>
      </c>
      <c r="O448" s="8">
        <v>0</v>
      </c>
      <c r="P448" s="6">
        <v>58.25</v>
      </c>
      <c r="Q448" s="6">
        <v>1.04</v>
      </c>
      <c r="R448" s="6">
        <v>15.18</v>
      </c>
      <c r="T448" s="6">
        <v>7.96</v>
      </c>
      <c r="U448" s="6">
        <v>0.18</v>
      </c>
      <c r="V448" s="6">
        <v>0.99</v>
      </c>
      <c r="W448" s="6">
        <v>3.96</v>
      </c>
      <c r="X448" s="6">
        <v>3.93</v>
      </c>
      <c r="Y448" s="6">
        <v>4.0999999999999996</v>
      </c>
      <c r="Z448" s="6">
        <v>0.55000000000000004</v>
      </c>
      <c r="AB448" s="6">
        <v>96.14</v>
      </c>
      <c r="AC448" s="6">
        <v>4.7</v>
      </c>
      <c r="AD448" s="6" t="s">
        <v>173</v>
      </c>
      <c r="AF448" s="6" t="s">
        <v>1175</v>
      </c>
    </row>
    <row r="449" spans="1:32">
      <c r="A449" s="8" t="s">
        <v>1046</v>
      </c>
      <c r="B449" s="6" t="s">
        <v>174</v>
      </c>
      <c r="C449" s="8" t="s">
        <v>645</v>
      </c>
      <c r="D449" s="8">
        <v>980</v>
      </c>
      <c r="E449" s="8">
        <v>4.3</v>
      </c>
      <c r="F449" s="8">
        <f>60*3600</f>
        <v>216000</v>
      </c>
      <c r="G449" s="9">
        <v>3.7361642622285051E-13</v>
      </c>
      <c r="H449" s="10">
        <f t="shared" ref="H449:H464" si="21">2*SQRT(G449*F449)*1000</f>
        <v>0.56815894981646009</v>
      </c>
      <c r="I449" s="6">
        <v>1.8</v>
      </c>
      <c r="J449" s="6" t="s">
        <v>172</v>
      </c>
      <c r="K449" s="6">
        <v>30.3</v>
      </c>
      <c r="L449" s="6">
        <v>1</v>
      </c>
      <c r="M449" s="8">
        <v>0</v>
      </c>
      <c r="N449" s="8">
        <v>0</v>
      </c>
      <c r="O449" s="8">
        <v>0</v>
      </c>
      <c r="P449" s="6">
        <v>63.97</v>
      </c>
      <c r="Q449" s="6">
        <v>0.87</v>
      </c>
      <c r="R449" s="6">
        <v>15.12</v>
      </c>
      <c r="T449" s="6">
        <v>5.72</v>
      </c>
      <c r="U449" s="6">
        <v>0.09</v>
      </c>
      <c r="V449" s="6">
        <v>0.59</v>
      </c>
      <c r="W449" s="6">
        <v>2.67</v>
      </c>
      <c r="X449" s="6">
        <v>4.01</v>
      </c>
      <c r="Y449" s="6">
        <v>5.07</v>
      </c>
      <c r="Z449" s="6">
        <v>0.41</v>
      </c>
      <c r="AB449" s="6">
        <v>98.54</v>
      </c>
      <c r="AC449" s="6">
        <v>5.8</v>
      </c>
      <c r="AD449" s="6" t="s">
        <v>173</v>
      </c>
      <c r="AF449" s="6" t="s">
        <v>1175</v>
      </c>
    </row>
    <row r="450" spans="1:32">
      <c r="A450" s="8" t="s">
        <v>1046</v>
      </c>
      <c r="B450" s="6" t="s">
        <v>175</v>
      </c>
      <c r="C450" s="8" t="s">
        <v>645</v>
      </c>
      <c r="D450" s="8">
        <v>960</v>
      </c>
      <c r="E450" s="8">
        <v>4.3</v>
      </c>
      <c r="F450" s="8">
        <f>60*3600</f>
        <v>216000</v>
      </c>
      <c r="G450" s="9">
        <v>2.9719748068493078E-13</v>
      </c>
      <c r="H450" s="10">
        <f t="shared" si="21"/>
        <v>0.50673328616914459</v>
      </c>
      <c r="I450" s="6">
        <v>1.8</v>
      </c>
      <c r="J450" s="6" t="s">
        <v>172</v>
      </c>
      <c r="K450" s="6">
        <v>20</v>
      </c>
      <c r="L450" s="6">
        <v>1</v>
      </c>
      <c r="M450" s="8">
        <v>0</v>
      </c>
      <c r="N450" s="8">
        <v>0</v>
      </c>
      <c r="O450" s="8">
        <v>0</v>
      </c>
      <c r="P450" s="6">
        <v>65.47</v>
      </c>
      <c r="Q450" s="6">
        <v>0.61</v>
      </c>
      <c r="R450" s="6">
        <v>14.79</v>
      </c>
      <c r="T450" s="6">
        <v>4.28</v>
      </c>
      <c r="U450" s="6">
        <v>0.09</v>
      </c>
      <c r="V450" s="6">
        <v>0.42</v>
      </c>
      <c r="W450" s="6">
        <v>2.17</v>
      </c>
      <c r="X450" s="6">
        <v>3.94</v>
      </c>
      <c r="Y450" s="6">
        <v>5.48</v>
      </c>
      <c r="Z450" s="6">
        <v>0.26</v>
      </c>
      <c r="AB450" s="6">
        <v>97.51</v>
      </c>
      <c r="AC450" s="6">
        <v>10.78</v>
      </c>
      <c r="AD450" s="6" t="s">
        <v>43</v>
      </c>
      <c r="AF450" s="6" t="s">
        <v>1175</v>
      </c>
    </row>
    <row r="451" spans="1:32">
      <c r="A451" s="8" t="s">
        <v>1046</v>
      </c>
      <c r="B451" s="6" t="s">
        <v>176</v>
      </c>
      <c r="C451" s="8" t="s">
        <v>645</v>
      </c>
      <c r="D451" s="8">
        <v>940</v>
      </c>
      <c r="E451" s="8">
        <v>4.3</v>
      </c>
      <c r="F451" s="8">
        <f>60*3600</f>
        <v>216000</v>
      </c>
      <c r="G451" s="9">
        <v>2.3463213846111042E-13</v>
      </c>
      <c r="H451" s="10">
        <f t="shared" si="21"/>
        <v>0.45024678525270939</v>
      </c>
      <c r="I451" s="6">
        <v>1.8</v>
      </c>
      <c r="J451" s="6" t="s">
        <v>177</v>
      </c>
      <c r="K451" s="6">
        <v>14.4</v>
      </c>
      <c r="L451" s="6">
        <v>1</v>
      </c>
      <c r="M451" s="8">
        <v>0</v>
      </c>
      <c r="N451" s="8">
        <v>0</v>
      </c>
      <c r="O451" s="8">
        <v>0</v>
      </c>
      <c r="P451" s="6">
        <v>68.12</v>
      </c>
      <c r="Q451" s="6">
        <v>0.56999999999999995</v>
      </c>
      <c r="R451" s="6">
        <v>14.51</v>
      </c>
      <c r="T451" s="6">
        <v>3.41</v>
      </c>
      <c r="U451" s="6">
        <v>0.03</v>
      </c>
      <c r="V451" s="6">
        <v>0.28000000000000003</v>
      </c>
      <c r="W451" s="6">
        <v>1.57</v>
      </c>
      <c r="X451" s="6">
        <v>3.74</v>
      </c>
      <c r="Y451" s="6">
        <v>5.96</v>
      </c>
      <c r="Z451" s="6">
        <v>0.21</v>
      </c>
      <c r="AB451" s="6">
        <v>98.4</v>
      </c>
      <c r="AC451" s="6">
        <v>10.78</v>
      </c>
      <c r="AD451" s="6" t="s">
        <v>43</v>
      </c>
      <c r="AF451" s="6" t="s">
        <v>1175</v>
      </c>
    </row>
    <row r="452" spans="1:32">
      <c r="A452" s="8" t="s">
        <v>1041</v>
      </c>
      <c r="B452" s="8" t="s">
        <v>130</v>
      </c>
      <c r="C452" s="8" t="s">
        <v>123</v>
      </c>
      <c r="D452" s="8">
        <v>750</v>
      </c>
      <c r="E452" s="8">
        <v>2</v>
      </c>
      <c r="F452" s="8">
        <f>790*3600</f>
        <v>2844000</v>
      </c>
      <c r="G452" s="9">
        <v>1.5666500344126923E-14</v>
      </c>
      <c r="H452" s="10">
        <f t="shared" si="21"/>
        <v>0.42216360325682728</v>
      </c>
      <c r="I452" s="8" t="s">
        <v>41</v>
      </c>
      <c r="J452" s="8" t="s">
        <v>74</v>
      </c>
      <c r="K452" s="8"/>
      <c r="L452" s="8">
        <v>1</v>
      </c>
      <c r="M452" s="8">
        <v>1</v>
      </c>
      <c r="N452" s="8">
        <v>0</v>
      </c>
      <c r="O452" s="8">
        <v>0</v>
      </c>
      <c r="P452" s="8">
        <v>70.739999999999995</v>
      </c>
      <c r="Q452" s="8"/>
      <c r="R452" s="8">
        <v>12.97</v>
      </c>
      <c r="S452" s="8"/>
      <c r="T452" s="8"/>
      <c r="U452" s="8"/>
      <c r="V452" s="8"/>
      <c r="W452" s="8">
        <v>0.16</v>
      </c>
      <c r="X452" s="8">
        <v>4.78</v>
      </c>
      <c r="Y452" s="8">
        <v>3.53</v>
      </c>
      <c r="Z452" s="8">
        <v>0.05</v>
      </c>
      <c r="AA452" s="8">
        <v>0</v>
      </c>
      <c r="AB452" s="8">
        <v>92.22</v>
      </c>
      <c r="AC452" s="8">
        <v>5.89</v>
      </c>
      <c r="AD452" s="8" t="s">
        <v>43</v>
      </c>
      <c r="AF452" s="1" t="s">
        <v>1176</v>
      </c>
    </row>
    <row r="453" spans="1:32">
      <c r="A453" s="8" t="s">
        <v>1099</v>
      </c>
      <c r="B453" s="6" t="s">
        <v>936</v>
      </c>
      <c r="C453" s="8" t="s">
        <v>574</v>
      </c>
      <c r="D453" s="6">
        <v>940</v>
      </c>
      <c r="E453" s="6">
        <v>2</v>
      </c>
      <c r="F453" s="11">
        <f>168*3600</f>
        <v>604800</v>
      </c>
      <c r="G453" s="9">
        <v>2.3463213846111042E-13</v>
      </c>
      <c r="H453" s="10">
        <f t="shared" si="21"/>
        <v>0.75340697459282813</v>
      </c>
      <c r="I453" s="13">
        <v>10</v>
      </c>
      <c r="J453" s="6" t="s">
        <v>97</v>
      </c>
      <c r="L453" s="6">
        <v>1</v>
      </c>
      <c r="M453" s="6">
        <v>1</v>
      </c>
      <c r="N453" s="6">
        <v>1</v>
      </c>
      <c r="O453" s="6">
        <v>1</v>
      </c>
      <c r="P453" s="6">
        <v>61.9</v>
      </c>
      <c r="Q453" s="6">
        <v>0.37</v>
      </c>
      <c r="R453" s="6">
        <v>19.64</v>
      </c>
      <c r="S453" s="14"/>
      <c r="T453" s="6">
        <v>4.3600000000000003</v>
      </c>
      <c r="U453" s="6">
        <v>0.1</v>
      </c>
      <c r="V453" s="6">
        <v>2.4300000000000002</v>
      </c>
      <c r="W453" s="6">
        <v>5.23</v>
      </c>
      <c r="X453" s="6">
        <v>5.17</v>
      </c>
      <c r="Y453" s="6">
        <v>0.24</v>
      </c>
      <c r="Z453" s="6">
        <v>0.56000000000000005</v>
      </c>
      <c r="AA453" s="6">
        <v>0.13</v>
      </c>
      <c r="AB453" s="6">
        <v>94.33</v>
      </c>
      <c r="AC453" s="15">
        <v>5.36</v>
      </c>
      <c r="AD453" s="14" t="s">
        <v>745</v>
      </c>
    </row>
    <row r="454" spans="1:32">
      <c r="A454" s="8" t="s">
        <v>1099</v>
      </c>
      <c r="B454" s="6" t="s">
        <v>937</v>
      </c>
      <c r="C454" s="8" t="s">
        <v>574</v>
      </c>
      <c r="D454" s="6">
        <v>940</v>
      </c>
      <c r="E454" s="6">
        <v>2</v>
      </c>
      <c r="F454" s="11">
        <f>168*3600</f>
        <v>604800</v>
      </c>
      <c r="G454" s="9">
        <v>2.3463213846111042E-13</v>
      </c>
      <c r="H454" s="10">
        <f t="shared" si="21"/>
        <v>0.75340697459282813</v>
      </c>
      <c r="I454" s="13">
        <v>10</v>
      </c>
      <c r="J454" s="6" t="s">
        <v>97</v>
      </c>
      <c r="L454" s="6">
        <v>1</v>
      </c>
      <c r="M454" s="6">
        <v>1</v>
      </c>
      <c r="N454" s="6">
        <v>1</v>
      </c>
      <c r="O454" s="6">
        <v>1</v>
      </c>
      <c r="P454" s="6">
        <v>61.25</v>
      </c>
      <c r="Q454" s="6">
        <v>1.1000000000000001</v>
      </c>
      <c r="R454" s="6">
        <v>18.97</v>
      </c>
      <c r="S454" s="14"/>
      <c r="T454" s="6">
        <v>5.69</v>
      </c>
      <c r="U454" s="6">
        <v>0</v>
      </c>
      <c r="V454" s="6">
        <v>2.5</v>
      </c>
      <c r="W454" s="6">
        <v>5.28</v>
      </c>
      <c r="X454" s="6">
        <v>4.58</v>
      </c>
      <c r="Y454" s="6">
        <v>0.18</v>
      </c>
      <c r="Z454" s="6">
        <v>0.34</v>
      </c>
      <c r="AA454" s="6">
        <v>0.19</v>
      </c>
      <c r="AB454" s="6">
        <v>93.7</v>
      </c>
      <c r="AC454" s="15">
        <v>5.98</v>
      </c>
      <c r="AD454" s="14" t="s">
        <v>745</v>
      </c>
    </row>
    <row r="455" spans="1:32">
      <c r="A455" s="8" t="s">
        <v>1078</v>
      </c>
      <c r="B455" s="6">
        <v>1933</v>
      </c>
      <c r="C455" s="8" t="s">
        <v>574</v>
      </c>
      <c r="D455" s="6">
        <v>925</v>
      </c>
      <c r="E455" s="8">
        <v>20</v>
      </c>
      <c r="F455" s="6">
        <f>97*3600</f>
        <v>349200</v>
      </c>
      <c r="G455" s="9">
        <v>1.9549928676947054E-13</v>
      </c>
      <c r="H455" s="10">
        <f t="shared" si="21"/>
        <v>0.52256425801962036</v>
      </c>
      <c r="I455" s="6">
        <v>5.4</v>
      </c>
      <c r="J455" s="6" t="s">
        <v>618</v>
      </c>
      <c r="K455" s="6">
        <v>37</v>
      </c>
      <c r="L455" s="6">
        <v>1</v>
      </c>
      <c r="M455" s="6">
        <v>1</v>
      </c>
      <c r="N455" s="6">
        <v>1</v>
      </c>
      <c r="O455" s="6">
        <v>1</v>
      </c>
      <c r="P455" s="6">
        <v>68.040000000000006</v>
      </c>
      <c r="Q455" s="6">
        <v>0.56000000000000005</v>
      </c>
      <c r="R455" s="6">
        <v>17.54</v>
      </c>
      <c r="T455" s="6">
        <v>2.69</v>
      </c>
      <c r="U455" s="6">
        <v>0.04</v>
      </c>
      <c r="V455" s="6">
        <v>0.86</v>
      </c>
      <c r="W455" s="6">
        <v>2.56</v>
      </c>
      <c r="X455" s="6">
        <v>4.76</v>
      </c>
      <c r="Y455" s="6">
        <v>2.5499999999999998</v>
      </c>
      <c r="Z455" s="6">
        <v>0.39</v>
      </c>
      <c r="AA455" s="6">
        <v>0.06</v>
      </c>
      <c r="AB455" s="6">
        <f>SUM(P455:Z455)</f>
        <v>99.990000000000023</v>
      </c>
      <c r="AC455" s="6">
        <v>12.03</v>
      </c>
      <c r="AD455" s="6" t="s">
        <v>157</v>
      </c>
    </row>
    <row r="456" spans="1:32">
      <c r="A456" s="8" t="s">
        <v>1078</v>
      </c>
      <c r="B456" s="6" t="s">
        <v>619</v>
      </c>
      <c r="C456" s="8" t="s">
        <v>574</v>
      </c>
      <c r="D456" s="6">
        <v>975</v>
      </c>
      <c r="E456" s="8">
        <v>20</v>
      </c>
      <c r="F456" s="6">
        <f>72*3600</f>
        <v>259200</v>
      </c>
      <c r="G456" s="9">
        <v>3.530850559550637E-13</v>
      </c>
      <c r="H456" s="10">
        <f t="shared" si="21"/>
        <v>0.60504428434141089</v>
      </c>
      <c r="I456" s="6">
        <v>2.1</v>
      </c>
      <c r="J456" s="6" t="s">
        <v>620</v>
      </c>
      <c r="K456" s="6">
        <v>36</v>
      </c>
      <c r="L456" s="6">
        <v>1</v>
      </c>
      <c r="M456" s="6">
        <v>1</v>
      </c>
      <c r="N456" s="6">
        <v>1</v>
      </c>
      <c r="O456" s="6">
        <v>1</v>
      </c>
      <c r="P456" s="6">
        <v>64.349999999999994</v>
      </c>
      <c r="Q456" s="6">
        <v>0.81</v>
      </c>
      <c r="R456" s="6">
        <v>19.57</v>
      </c>
      <c r="T456" s="6">
        <v>3.8</v>
      </c>
      <c r="U456" s="6">
        <v>0.06</v>
      </c>
      <c r="V456" s="6">
        <v>1.1000000000000001</v>
      </c>
      <c r="W456" s="6">
        <v>2.2599999999999998</v>
      </c>
      <c r="X456" s="6">
        <v>6.61</v>
      </c>
      <c r="Y456" s="6">
        <v>3.27</v>
      </c>
      <c r="Z456" s="6">
        <v>0.53</v>
      </c>
      <c r="AA456" s="6">
        <v>0.04</v>
      </c>
      <c r="AB456" s="6">
        <f>SUM(P456:Z456)</f>
        <v>102.35999999999999</v>
      </c>
      <c r="AC456" s="6">
        <v>4.21</v>
      </c>
      <c r="AD456" s="6" t="s">
        <v>157</v>
      </c>
    </row>
    <row r="457" spans="1:32">
      <c r="A457" s="8" t="s">
        <v>1078</v>
      </c>
      <c r="B457" s="6">
        <v>1935</v>
      </c>
      <c r="C457" s="8" t="s">
        <v>574</v>
      </c>
      <c r="D457" s="6">
        <v>975</v>
      </c>
      <c r="E457" s="8">
        <v>15</v>
      </c>
      <c r="F457" s="6">
        <f>49*3600</f>
        <v>176400</v>
      </c>
      <c r="G457" s="9">
        <v>3.530850559550637E-13</v>
      </c>
      <c r="H457" s="10">
        <f t="shared" si="21"/>
        <v>0.49913606910530217</v>
      </c>
      <c r="I457" s="6">
        <v>2</v>
      </c>
      <c r="J457" s="6" t="s">
        <v>219</v>
      </c>
      <c r="K457" s="6">
        <v>31</v>
      </c>
      <c r="L457" s="6">
        <v>1</v>
      </c>
      <c r="M457" s="6">
        <v>1</v>
      </c>
      <c r="N457" s="6">
        <v>1</v>
      </c>
      <c r="O457" s="6">
        <v>1</v>
      </c>
      <c r="P457" s="6">
        <v>66.61</v>
      </c>
      <c r="Q457" s="6">
        <v>0.68</v>
      </c>
      <c r="R457" s="6">
        <v>18.98</v>
      </c>
      <c r="T457" s="6">
        <v>1.31</v>
      </c>
      <c r="U457" s="6">
        <v>0.08</v>
      </c>
      <c r="V457" s="6">
        <v>0.95</v>
      </c>
      <c r="W457" s="6">
        <v>2.16</v>
      </c>
      <c r="X457" s="6">
        <v>5.1100000000000003</v>
      </c>
      <c r="Y457" s="6">
        <v>3.69</v>
      </c>
      <c r="Z457" s="6">
        <v>0.41</v>
      </c>
      <c r="AB457" s="6">
        <f>SUM(P457:Z457)</f>
        <v>99.98</v>
      </c>
      <c r="AC457" s="6">
        <v>3.04</v>
      </c>
      <c r="AD457" s="6" t="s">
        <v>157</v>
      </c>
    </row>
    <row r="458" spans="1:32">
      <c r="A458" s="8" t="s">
        <v>1083</v>
      </c>
      <c r="B458" s="6" t="s">
        <v>682</v>
      </c>
      <c r="C458" s="8" t="s">
        <v>645</v>
      </c>
      <c r="D458" s="6">
        <v>900</v>
      </c>
      <c r="E458" s="6">
        <v>20</v>
      </c>
      <c r="F458" s="6">
        <f>336*3600</f>
        <v>1209600</v>
      </c>
      <c r="G458" s="9">
        <v>1.4274849337614078E-13</v>
      </c>
      <c r="H458" s="10">
        <f t="shared" si="21"/>
        <v>0.83106817431009805</v>
      </c>
      <c r="I458" s="6">
        <v>9.1999999999999993</v>
      </c>
      <c r="J458" s="6" t="s">
        <v>683</v>
      </c>
      <c r="L458" s="6">
        <v>1</v>
      </c>
      <c r="M458" s="6">
        <v>0</v>
      </c>
      <c r="N458" s="6">
        <v>0</v>
      </c>
      <c r="O458" s="6">
        <v>0</v>
      </c>
      <c r="P458" s="6">
        <v>64.77</v>
      </c>
      <c r="Q458" s="6">
        <v>1.17</v>
      </c>
      <c r="R458" s="6">
        <v>15.13</v>
      </c>
      <c r="T458" s="6">
        <v>0.5</v>
      </c>
      <c r="U458" s="6">
        <v>7.0000000000000007E-2</v>
      </c>
      <c r="V458" s="6">
        <v>0.98</v>
      </c>
      <c r="W458" s="6">
        <v>3.12</v>
      </c>
      <c r="X458" s="6">
        <v>4.55</v>
      </c>
      <c r="Y458" s="6">
        <v>1.74</v>
      </c>
      <c r="Z458" s="6">
        <v>0.09</v>
      </c>
      <c r="AA458" s="6">
        <v>0.02</v>
      </c>
      <c r="AB458" s="6">
        <v>90.22</v>
      </c>
      <c r="AC458" s="6">
        <v>7.3333749799749866</v>
      </c>
      <c r="AD458" s="6" t="s">
        <v>1121</v>
      </c>
    </row>
    <row r="459" spans="1:32">
      <c r="A459" s="8" t="s">
        <v>1083</v>
      </c>
      <c r="B459" s="6" t="s">
        <v>684</v>
      </c>
      <c r="C459" s="8" t="s">
        <v>645</v>
      </c>
      <c r="D459" s="6">
        <v>850</v>
      </c>
      <c r="E459" s="6">
        <v>20</v>
      </c>
      <c r="F459" s="6">
        <f>146*3600</f>
        <v>525600</v>
      </c>
      <c r="G459" s="9">
        <v>7.2976735414337512E-14</v>
      </c>
      <c r="H459" s="10">
        <f t="shared" si="21"/>
        <v>0.39169667924952234</v>
      </c>
      <c r="I459" s="6">
        <v>14.52</v>
      </c>
      <c r="J459" s="6" t="s">
        <v>683</v>
      </c>
      <c r="L459" s="6">
        <v>1</v>
      </c>
      <c r="M459" s="6">
        <v>0</v>
      </c>
      <c r="N459" s="6">
        <v>0</v>
      </c>
      <c r="O459" s="6">
        <v>0</v>
      </c>
      <c r="P459" s="6">
        <v>64.569999999999993</v>
      </c>
      <c r="Q459" s="6">
        <v>0.22</v>
      </c>
      <c r="R459" s="6">
        <v>14.9</v>
      </c>
      <c r="T459" s="6">
        <v>0.37</v>
      </c>
      <c r="U459" s="6">
        <v>0.06</v>
      </c>
      <c r="V459" s="6">
        <v>0.56999999999999995</v>
      </c>
      <c r="W459" s="6">
        <v>2.54</v>
      </c>
      <c r="X459" s="6">
        <v>4.5599999999999996</v>
      </c>
      <c r="Y459" s="6">
        <v>1.75</v>
      </c>
      <c r="Z459" s="6">
        <v>0.09</v>
      </c>
      <c r="AA459" s="6">
        <v>0.02</v>
      </c>
      <c r="AB459" s="6">
        <v>86.53</v>
      </c>
      <c r="AC459" s="6">
        <v>13.085396744519278</v>
      </c>
      <c r="AD459" s="6" t="s">
        <v>1121</v>
      </c>
    </row>
    <row r="460" spans="1:32">
      <c r="A460" s="8" t="s">
        <v>1083</v>
      </c>
      <c r="B460" s="6" t="s">
        <v>685</v>
      </c>
      <c r="C460" s="8" t="s">
        <v>645</v>
      </c>
      <c r="D460" s="6">
        <v>800</v>
      </c>
      <c r="E460" s="6">
        <v>20</v>
      </c>
      <c r="F460" s="6">
        <f>145*3600</f>
        <v>522000</v>
      </c>
      <c r="G460" s="9">
        <v>3.5046513928104248E-14</v>
      </c>
      <c r="H460" s="10">
        <f t="shared" si="21"/>
        <v>0.2705127004077289</v>
      </c>
      <c r="I460" s="6">
        <v>14.78</v>
      </c>
      <c r="J460" s="6" t="s">
        <v>686</v>
      </c>
      <c r="L460" s="6">
        <v>1</v>
      </c>
      <c r="M460" s="6">
        <v>0</v>
      </c>
      <c r="N460" s="6">
        <v>0</v>
      </c>
      <c r="O460" s="6">
        <v>0</v>
      </c>
      <c r="P460" s="6">
        <v>65.53</v>
      </c>
      <c r="Q460" s="6">
        <v>0.17</v>
      </c>
      <c r="R460" s="6">
        <v>14.3</v>
      </c>
      <c r="T460" s="6">
        <v>0.46</v>
      </c>
      <c r="U460" s="6">
        <v>0.05</v>
      </c>
      <c r="V460" s="6">
        <v>0.34</v>
      </c>
      <c r="W460" s="6">
        <v>2.2599999999999998</v>
      </c>
      <c r="X460" s="6">
        <v>4.54</v>
      </c>
      <c r="Y460" s="6">
        <v>1.5</v>
      </c>
      <c r="Z460" s="6">
        <v>0.06</v>
      </c>
      <c r="AA460" s="6">
        <v>0.02</v>
      </c>
      <c r="AB460" s="6">
        <v>86.82</v>
      </c>
      <c r="AC460" s="6">
        <v>12.926590705705538</v>
      </c>
      <c r="AD460" s="6" t="s">
        <v>1121</v>
      </c>
    </row>
    <row r="461" spans="1:32">
      <c r="A461" s="8" t="s">
        <v>1083</v>
      </c>
      <c r="B461" s="6" t="s">
        <v>687</v>
      </c>
      <c r="C461" s="8" t="s">
        <v>645</v>
      </c>
      <c r="D461" s="6">
        <v>850</v>
      </c>
      <c r="E461" s="6">
        <v>15</v>
      </c>
      <c r="F461" s="6">
        <f>265*3600</f>
        <v>954000</v>
      </c>
      <c r="G461" s="9">
        <v>7.2976735414337512E-14</v>
      </c>
      <c r="H461" s="10">
        <f t="shared" si="21"/>
        <v>0.52771130586819148</v>
      </c>
      <c r="I461" s="6">
        <v>12.96</v>
      </c>
      <c r="J461" s="6" t="s">
        <v>688</v>
      </c>
      <c r="L461" s="6">
        <v>1</v>
      </c>
      <c r="M461" s="6">
        <v>0</v>
      </c>
      <c r="N461" s="6">
        <v>0</v>
      </c>
      <c r="O461" s="6">
        <v>0</v>
      </c>
      <c r="P461" s="6">
        <v>65.17</v>
      </c>
      <c r="Q461" s="6">
        <v>0.24</v>
      </c>
      <c r="R461" s="6">
        <v>14.76</v>
      </c>
      <c r="T461" s="6">
        <v>0.51</v>
      </c>
      <c r="U461" s="6">
        <v>0.04</v>
      </c>
      <c r="V461" s="6">
        <v>0.65</v>
      </c>
      <c r="W461" s="6">
        <v>2.81</v>
      </c>
      <c r="X461" s="6">
        <v>4.6100000000000003</v>
      </c>
      <c r="Y461" s="6">
        <v>1.85</v>
      </c>
      <c r="Z461" s="6">
        <v>0.06</v>
      </c>
      <c r="AA461" s="6">
        <v>0.02</v>
      </c>
      <c r="AB461" s="6">
        <v>88.93</v>
      </c>
      <c r="AC461" s="6">
        <v>11.610688855544796</v>
      </c>
      <c r="AD461" s="6" t="s">
        <v>1121</v>
      </c>
    </row>
    <row r="462" spans="1:32">
      <c r="A462" s="8" t="s">
        <v>1083</v>
      </c>
      <c r="B462" s="6" t="s">
        <v>689</v>
      </c>
      <c r="C462" s="8" t="s">
        <v>645</v>
      </c>
      <c r="D462" s="6">
        <v>875</v>
      </c>
      <c r="E462" s="6">
        <v>20</v>
      </c>
      <c r="F462" s="6">
        <f>336*3600</f>
        <v>1209600</v>
      </c>
      <c r="G462" s="9">
        <v>1.028135457036711E-13</v>
      </c>
      <c r="H462" s="10">
        <f t="shared" si="21"/>
        <v>0.70530352298329135</v>
      </c>
      <c r="I462" s="6">
        <v>19.760000000000002</v>
      </c>
      <c r="J462" s="6" t="s">
        <v>683</v>
      </c>
      <c r="L462" s="6">
        <v>1</v>
      </c>
      <c r="M462" s="6">
        <v>0</v>
      </c>
      <c r="N462" s="6">
        <v>0</v>
      </c>
      <c r="O462" s="6">
        <v>0</v>
      </c>
      <c r="P462" s="6">
        <v>63.82</v>
      </c>
      <c r="Q462" s="6">
        <v>0.2</v>
      </c>
      <c r="R462" s="6">
        <v>14.36</v>
      </c>
      <c r="T462" s="6">
        <v>0.23</v>
      </c>
      <c r="U462" s="6">
        <v>0.05</v>
      </c>
      <c r="V462" s="6">
        <v>0.53</v>
      </c>
      <c r="W462" s="6">
        <v>2.4</v>
      </c>
      <c r="X462" s="6">
        <v>4.4000000000000004</v>
      </c>
      <c r="Y462" s="6">
        <v>1.7</v>
      </c>
      <c r="Z462" s="6">
        <v>7.0000000000000007E-2</v>
      </c>
      <c r="AA462" s="6">
        <v>0.02</v>
      </c>
      <c r="AB462" s="6">
        <v>85.53</v>
      </c>
      <c r="AC462" s="6">
        <v>19.395297829303686</v>
      </c>
      <c r="AD462" s="6" t="s">
        <v>1121</v>
      </c>
    </row>
    <row r="463" spans="1:32">
      <c r="A463" s="8" t="s">
        <v>1083</v>
      </c>
      <c r="B463" s="6" t="s">
        <v>690</v>
      </c>
      <c r="C463" s="8" t="s">
        <v>645</v>
      </c>
      <c r="D463" s="6">
        <v>850</v>
      </c>
      <c r="E463" s="6">
        <v>20</v>
      </c>
      <c r="F463" s="6">
        <f>432*3600</f>
        <v>1555200</v>
      </c>
      <c r="G463" s="9">
        <v>7.2976735414337512E-14</v>
      </c>
      <c r="H463" s="10">
        <f t="shared" si="21"/>
        <v>0.67377568646064301</v>
      </c>
      <c r="I463" s="6">
        <v>20.57</v>
      </c>
      <c r="J463" s="6" t="s">
        <v>688</v>
      </c>
      <c r="L463" s="6">
        <v>1</v>
      </c>
      <c r="M463" s="6">
        <v>0</v>
      </c>
      <c r="N463" s="6">
        <v>0</v>
      </c>
      <c r="O463" s="6">
        <v>0</v>
      </c>
      <c r="P463" s="6">
        <v>65.510000000000005</v>
      </c>
      <c r="Q463" s="6">
        <v>0.23</v>
      </c>
      <c r="R463" s="6">
        <v>14.94</v>
      </c>
      <c r="T463" s="6">
        <v>0.06</v>
      </c>
      <c r="U463" s="6">
        <v>0.05</v>
      </c>
      <c r="V463" s="6">
        <v>0.56000000000000005</v>
      </c>
      <c r="W463" s="6">
        <v>2.84</v>
      </c>
      <c r="X463" s="6">
        <v>4.58</v>
      </c>
      <c r="Y463" s="6">
        <v>1.86</v>
      </c>
      <c r="Z463" s="6">
        <v>0.03</v>
      </c>
      <c r="AA463" s="6">
        <v>0.01</v>
      </c>
      <c r="AB463" s="6">
        <v>88.87</v>
      </c>
      <c r="AC463" s="6">
        <v>20.076436249799372</v>
      </c>
      <c r="AD463" s="6" t="s">
        <v>1121</v>
      </c>
    </row>
    <row r="464" spans="1:32">
      <c r="A464" s="8" t="s">
        <v>1083</v>
      </c>
      <c r="B464" s="6" t="s">
        <v>691</v>
      </c>
      <c r="C464" s="8" t="s">
        <v>645</v>
      </c>
      <c r="D464" s="6">
        <v>775</v>
      </c>
      <c r="E464" s="6">
        <v>20</v>
      </c>
      <c r="F464" s="6">
        <f>265*3600</f>
        <v>954000</v>
      </c>
      <c r="G464" s="9">
        <v>2.365802727114312E-14</v>
      </c>
      <c r="H464" s="10">
        <f t="shared" si="21"/>
        <v>0.30046469354432004</v>
      </c>
      <c r="I464" s="6">
        <v>11.73</v>
      </c>
      <c r="J464" s="6" t="s">
        <v>692</v>
      </c>
      <c r="L464" s="6">
        <v>1</v>
      </c>
      <c r="M464" s="6">
        <v>0</v>
      </c>
      <c r="N464" s="6">
        <v>0</v>
      </c>
      <c r="O464" s="6">
        <v>0</v>
      </c>
      <c r="P464" s="6">
        <v>64.84</v>
      </c>
      <c r="Q464" s="6">
        <v>0.1</v>
      </c>
      <c r="R464" s="6">
        <v>14.71</v>
      </c>
      <c r="T464" s="6">
        <v>0.35</v>
      </c>
      <c r="U464" s="6">
        <v>0.03</v>
      </c>
      <c r="V464" s="6">
        <v>0.22</v>
      </c>
      <c r="W464" s="6">
        <v>1.88</v>
      </c>
      <c r="X464" s="6">
        <v>4.63</v>
      </c>
      <c r="Y464" s="6">
        <v>1.53</v>
      </c>
      <c r="Z464" s="6">
        <v>0.03</v>
      </c>
      <c r="AA464" s="6">
        <v>0.01</v>
      </c>
      <c r="AB464" s="6">
        <v>88.27</v>
      </c>
      <c r="AC464" s="6">
        <v>10.398241440471697</v>
      </c>
      <c r="AD464" s="6" t="s">
        <v>1121</v>
      </c>
    </row>
    <row r="465" spans="1:27">
      <c r="A465" s="6" t="s">
        <v>1109</v>
      </c>
      <c r="B465" s="6" t="s">
        <v>1019</v>
      </c>
      <c r="C465" s="8" t="s">
        <v>1020</v>
      </c>
      <c r="D465" s="6">
        <v>712</v>
      </c>
      <c r="E465" s="6">
        <v>2</v>
      </c>
      <c r="F465" s="11"/>
      <c r="G465" s="9"/>
      <c r="I465" s="13"/>
      <c r="P465" s="6">
        <v>77.55</v>
      </c>
      <c r="Q465" s="6">
        <v>0.15</v>
      </c>
      <c r="R465" s="6">
        <v>12.74</v>
      </c>
      <c r="T465" s="6">
        <v>0.55000000000000004</v>
      </c>
      <c r="U465" s="6">
        <v>0.06</v>
      </c>
      <c r="V465" s="6">
        <v>0.06</v>
      </c>
      <c r="W465" s="6">
        <v>0.72</v>
      </c>
      <c r="X465" s="6">
        <v>2.7</v>
      </c>
      <c r="Y465" s="6">
        <v>5.39</v>
      </c>
      <c r="Z465" s="6">
        <v>4.8118643821552405E-3</v>
      </c>
      <c r="AA465" s="6">
        <v>1.603954794051747E-3</v>
      </c>
    </row>
    <row r="466" spans="1:27">
      <c r="A466" s="6" t="s">
        <v>1109</v>
      </c>
      <c r="B466" s="6" t="s">
        <v>1021</v>
      </c>
      <c r="C466" s="8" t="s">
        <v>1020</v>
      </c>
      <c r="D466" s="6">
        <v>712</v>
      </c>
      <c r="E466" s="6">
        <v>2</v>
      </c>
      <c r="F466" s="11"/>
      <c r="G466" s="9"/>
      <c r="I466" s="13"/>
      <c r="P466" s="6">
        <v>77.66</v>
      </c>
      <c r="Q466" s="6">
        <v>0.13</v>
      </c>
      <c r="R466" s="6">
        <v>12.63</v>
      </c>
      <c r="T466" s="6">
        <v>0.66</v>
      </c>
      <c r="U466" s="6">
        <v>0.04</v>
      </c>
      <c r="V466" s="6">
        <v>0.06</v>
      </c>
      <c r="W466" s="6">
        <v>0.72</v>
      </c>
      <c r="X466" s="6">
        <v>2.79</v>
      </c>
      <c r="Y466" s="6">
        <v>5.5</v>
      </c>
      <c r="Z466" s="6">
        <v>3.4370459872537437E-3</v>
      </c>
      <c r="AA466" s="6">
        <v>1.1456819957512479E-3</v>
      </c>
    </row>
    <row r="467" spans="1:27">
      <c r="A467" s="6" t="s">
        <v>1109</v>
      </c>
      <c r="B467" s="6" t="s">
        <v>1022</v>
      </c>
      <c r="C467" s="8" t="s">
        <v>1020</v>
      </c>
      <c r="D467" s="6">
        <v>712</v>
      </c>
      <c r="E467" s="6">
        <v>2</v>
      </c>
      <c r="F467" s="11"/>
      <c r="G467" s="9"/>
      <c r="I467" s="13"/>
      <c r="P467" s="6">
        <v>76.75</v>
      </c>
      <c r="Q467" s="6">
        <v>0.24</v>
      </c>
      <c r="R467" s="6">
        <v>12.53</v>
      </c>
      <c r="T467" s="6">
        <v>0.6</v>
      </c>
      <c r="U467" s="6">
        <v>0.04</v>
      </c>
      <c r="V467" s="6">
        <v>7.0000000000000007E-2</v>
      </c>
      <c r="W467" s="6">
        <v>0.72</v>
      </c>
      <c r="X467" s="6">
        <v>2.79</v>
      </c>
      <c r="Y467" s="6">
        <v>6.1</v>
      </c>
      <c r="Z467" s="6">
        <v>5.9575463779064884E-3</v>
      </c>
      <c r="AA467" s="6">
        <v>2.5205003906527451E-3</v>
      </c>
    </row>
    <row r="468" spans="1:27">
      <c r="A468" s="6" t="s">
        <v>1110</v>
      </c>
      <c r="B468" s="6" t="s">
        <v>1023</v>
      </c>
      <c r="C468" s="8" t="s">
        <v>1020</v>
      </c>
      <c r="D468" s="6">
        <v>740</v>
      </c>
      <c r="E468" s="6">
        <v>2</v>
      </c>
      <c r="F468" s="11"/>
      <c r="G468" s="9"/>
      <c r="I468" s="13"/>
      <c r="P468" s="21">
        <v>76.644166666666663</v>
      </c>
      <c r="Q468" s="21">
        <v>0.12</v>
      </c>
      <c r="R468" s="21">
        <v>12.785000000000002</v>
      </c>
      <c r="T468" s="21">
        <v>0.7895833333333333</v>
      </c>
      <c r="U468" s="21">
        <v>6.4540664050384056E-2</v>
      </c>
      <c r="V468" s="6">
        <v>9.9141560750792043E-2</v>
      </c>
      <c r="W468" s="21">
        <v>0.45958333333333329</v>
      </c>
      <c r="X468" s="21">
        <v>3.4108333333333327</v>
      </c>
      <c r="Y468" s="21">
        <v>5.7454166666666664</v>
      </c>
      <c r="Z468" s="6">
        <v>7.7173139233804051E-3</v>
      </c>
      <c r="AA468" s="6">
        <v>1.7735157294229318E-3</v>
      </c>
    </row>
    <row r="469" spans="1:27">
      <c r="A469" s="6" t="s">
        <v>1110</v>
      </c>
      <c r="B469" s="6" t="s">
        <v>1023</v>
      </c>
      <c r="C469" s="8" t="s">
        <v>1020</v>
      </c>
      <c r="D469" s="6">
        <v>740</v>
      </c>
      <c r="E469" s="6">
        <v>2</v>
      </c>
      <c r="F469" s="11"/>
      <c r="G469" s="9"/>
      <c r="I469" s="13"/>
      <c r="P469" s="21">
        <v>76.772631578947383</v>
      </c>
      <c r="Q469" s="21">
        <v>0.12046030281661851</v>
      </c>
      <c r="R469" s="21">
        <v>12.592368421052631</v>
      </c>
      <c r="T469" s="21">
        <v>0.73842105263157887</v>
      </c>
      <c r="U469" s="6">
        <v>6.6722737465450557E-2</v>
      </c>
      <c r="V469" s="6">
        <v>6.6812899754719685E-2</v>
      </c>
      <c r="W469" s="21">
        <v>0.50526315789473686</v>
      </c>
      <c r="X469" s="21">
        <v>3.1968421052631584</v>
      </c>
      <c r="Y469" s="21">
        <v>6.0518421052631597</v>
      </c>
      <c r="Z469" s="6">
        <v>7.967072598454179E-3</v>
      </c>
      <c r="AA469" s="6">
        <v>2.3921840071286058E-3</v>
      </c>
    </row>
    <row r="470" spans="1:27">
      <c r="A470" s="6" t="s">
        <v>1110</v>
      </c>
      <c r="B470" s="6" t="s">
        <v>1023</v>
      </c>
      <c r="C470" s="8" t="s">
        <v>1020</v>
      </c>
      <c r="D470" s="6">
        <v>740</v>
      </c>
      <c r="E470" s="6">
        <v>2</v>
      </c>
      <c r="F470" s="11"/>
      <c r="G470" s="9"/>
      <c r="I470" s="13"/>
      <c r="P470" s="22">
        <v>76.808216793727013</v>
      </c>
      <c r="Q470" s="22">
        <v>0.12188706979338583</v>
      </c>
      <c r="R470" s="22">
        <v>12.652106652758754</v>
      </c>
      <c r="T470" s="22">
        <v>0.68071020196041965</v>
      </c>
      <c r="U470" s="6">
        <v>6.2150216480032029E-2</v>
      </c>
      <c r="V470" s="6">
        <v>6.9746317847356507E-2</v>
      </c>
      <c r="W470" s="22">
        <v>0.40358906753750984</v>
      </c>
      <c r="X470" s="22">
        <v>3.0703062375653589</v>
      </c>
      <c r="Y470" s="22">
        <v>6.1982431925094845</v>
      </c>
      <c r="Z470" s="6">
        <v>6.5647578356546506E-3</v>
      </c>
      <c r="AA470" s="6">
        <v>1.8262171012274891E-3</v>
      </c>
    </row>
    <row r="471" spans="1:27">
      <c r="A471" s="6" t="s">
        <v>1110</v>
      </c>
      <c r="B471" s="6" t="s">
        <v>1023</v>
      </c>
      <c r="C471" s="8" t="s">
        <v>1020</v>
      </c>
      <c r="D471" s="6">
        <v>740</v>
      </c>
      <c r="E471" s="6">
        <v>2</v>
      </c>
      <c r="F471" s="11"/>
      <c r="G471" s="9"/>
      <c r="I471" s="13"/>
      <c r="P471" s="22">
        <v>76.871071428571426</v>
      </c>
      <c r="Q471" s="22">
        <v>0.11875813524975454</v>
      </c>
      <c r="R471" s="22">
        <v>12.977142857142855</v>
      </c>
      <c r="T471" s="22">
        <v>0.30178571428571432</v>
      </c>
      <c r="U471" s="6">
        <v>2.2444313766427602E-2</v>
      </c>
      <c r="V471" s="6">
        <v>2.7093909477062333E-2</v>
      </c>
      <c r="W471" s="22">
        <v>0.18857142857142861</v>
      </c>
      <c r="X471" s="22">
        <v>3.2324999999999995</v>
      </c>
      <c r="Y471" s="22">
        <v>6.2275</v>
      </c>
      <c r="Z471" s="6">
        <v>6.7549410469493571E-3</v>
      </c>
      <c r="AA471" s="6">
        <v>1.6979007177033495E-3</v>
      </c>
    </row>
    <row r="472" spans="1:27">
      <c r="A472" s="10" t="s">
        <v>1113</v>
      </c>
      <c r="B472" s="10" t="s">
        <v>1026</v>
      </c>
      <c r="C472" s="8" t="s">
        <v>1020</v>
      </c>
      <c r="D472" s="10">
        <v>723</v>
      </c>
      <c r="E472" s="6">
        <v>2</v>
      </c>
      <c r="P472" s="10">
        <v>77.735276023597692</v>
      </c>
      <c r="Q472" s="7">
        <v>5.6305286316303396E-2</v>
      </c>
      <c r="R472" s="10">
        <v>12.307294761160923</v>
      </c>
      <c r="T472" s="10">
        <v>0.6557280501681878</v>
      </c>
      <c r="U472" s="7">
        <v>3.2765912062941591E-2</v>
      </c>
      <c r="V472" s="7">
        <v>3.4870435001205638E-2</v>
      </c>
      <c r="W472" s="7">
        <v>0.41817144954934166</v>
      </c>
      <c r="X472" s="10">
        <v>3.7668467750425454</v>
      </c>
      <c r="Y472" s="10">
        <v>4.749663346755753</v>
      </c>
      <c r="Z472" s="6">
        <v>8.4971930313970448E-3</v>
      </c>
      <c r="AA472" s="6">
        <v>1.7000717380533314E-3</v>
      </c>
    </row>
    <row r="473" spans="1:27">
      <c r="A473" s="10" t="s">
        <v>1113</v>
      </c>
      <c r="B473" s="10" t="s">
        <v>1027</v>
      </c>
      <c r="C473" s="8" t="s">
        <v>1020</v>
      </c>
      <c r="D473" s="10">
        <v>738</v>
      </c>
      <c r="E473" s="6">
        <v>2</v>
      </c>
      <c r="P473" s="10">
        <v>77.547595794252061</v>
      </c>
      <c r="Q473" s="10">
        <v>3.5208333333333335E-2</v>
      </c>
      <c r="R473" s="10">
        <v>12.633721470658974</v>
      </c>
      <c r="T473" s="10">
        <v>0.6763187530062531</v>
      </c>
      <c r="U473" s="10"/>
      <c r="V473" s="10">
        <v>3.9791666666666684E-2</v>
      </c>
      <c r="W473" s="10">
        <v>0.49976327260702252</v>
      </c>
      <c r="X473" s="10">
        <v>3.4034048821548821</v>
      </c>
      <c r="Y473" s="10">
        <v>5.2249332010582012</v>
      </c>
      <c r="Z473" s="6">
        <v>2.1309685120973209E-2</v>
      </c>
      <c r="AA473" s="6">
        <v>8.0197739702587353E-3</v>
      </c>
    </row>
    <row r="474" spans="1:27">
      <c r="A474" s="10" t="s">
        <v>1113</v>
      </c>
      <c r="B474" s="10" t="s">
        <v>1028</v>
      </c>
      <c r="C474" s="8" t="s">
        <v>1020</v>
      </c>
      <c r="D474" s="10">
        <v>723</v>
      </c>
      <c r="E474" s="6">
        <v>2</v>
      </c>
      <c r="P474" s="10">
        <v>77.675473813199957</v>
      </c>
      <c r="Q474" s="10">
        <v>4.618176364158319E-2</v>
      </c>
      <c r="R474" s="10">
        <v>12.631439370404728</v>
      </c>
      <c r="T474" s="10">
        <v>0.67672345140743706</v>
      </c>
      <c r="U474" s="10"/>
      <c r="V474" s="10">
        <v>3.5894508450873781E-2</v>
      </c>
      <c r="W474" s="10">
        <v>0.4372022802716975</v>
      </c>
      <c r="X474" s="10">
        <v>3.7225637518995045</v>
      </c>
      <c r="Y474" s="10">
        <v>4.8015137145350621</v>
      </c>
      <c r="Z474" s="6">
        <v>1.1227683558362228E-2</v>
      </c>
      <c r="AA474" s="6">
        <v>4.8118643821552405E-3</v>
      </c>
    </row>
    <row r="475" spans="1:27">
      <c r="A475" s="10" t="s">
        <v>1113</v>
      </c>
      <c r="B475" s="10" t="s">
        <v>1029</v>
      </c>
      <c r="C475" s="8" t="s">
        <v>1020</v>
      </c>
      <c r="D475" s="10">
        <v>714</v>
      </c>
      <c r="E475" s="6">
        <v>2</v>
      </c>
      <c r="P475" s="10">
        <v>77.868003869169655</v>
      </c>
      <c r="Q475" s="10">
        <v>6.3972996174945174E-2</v>
      </c>
      <c r="R475" s="10">
        <v>12.71268867752079</v>
      </c>
      <c r="T475" s="10">
        <v>0.2739991349837792</v>
      </c>
      <c r="U475" s="10"/>
      <c r="V475" s="10">
        <v>2.181521779752409E-2</v>
      </c>
      <c r="W475" s="10">
        <v>0.5003256449297806</v>
      </c>
      <c r="X475" s="10">
        <v>3.7301388916160829</v>
      </c>
      <c r="Y475" s="10">
        <v>4.8290555678074565</v>
      </c>
      <c r="Z475" s="6">
        <v>1.6429079819072896E-2</v>
      </c>
      <c r="AA475" s="6">
        <v>7.3323647728079861E-3</v>
      </c>
    </row>
    <row r="476" spans="1:27">
      <c r="A476" s="10" t="s">
        <v>1113</v>
      </c>
      <c r="B476" s="10" t="s">
        <v>1029</v>
      </c>
      <c r="C476" s="8" t="s">
        <v>1020</v>
      </c>
      <c r="D476" s="10">
        <v>722</v>
      </c>
      <c r="E476" s="6">
        <v>2</v>
      </c>
      <c r="P476" s="10">
        <v>77.446015871033183</v>
      </c>
      <c r="Q476" s="10">
        <v>6.3382776498744395E-2</v>
      </c>
      <c r="R476" s="10">
        <v>12.749220166172222</v>
      </c>
      <c r="T476" s="10">
        <v>0.53477764071805056</v>
      </c>
      <c r="U476" s="10"/>
      <c r="V476" s="10">
        <v>5.0476446065057537E-2</v>
      </c>
      <c r="W476" s="10">
        <v>0.54832899041527017</v>
      </c>
      <c r="X476" s="10">
        <v>3.6281639791893445</v>
      </c>
      <c r="Y476" s="10">
        <v>5.0021606901534366</v>
      </c>
      <c r="Z476" s="6">
        <v>1.5627102422047023E-2</v>
      </c>
      <c r="AA476" s="6">
        <v>7.6531557316183354E-3</v>
      </c>
    </row>
    <row r="477" spans="1:27">
      <c r="A477" s="10" t="s">
        <v>1113</v>
      </c>
      <c r="B477" s="10" t="s">
        <v>1030</v>
      </c>
      <c r="C477" s="8" t="s">
        <v>1020</v>
      </c>
      <c r="D477" s="10">
        <v>724</v>
      </c>
      <c r="E477" s="6">
        <v>2</v>
      </c>
      <c r="P477" s="10">
        <v>77.57697123407992</v>
      </c>
      <c r="Q477" s="10">
        <v>5.5217391304347843E-2</v>
      </c>
      <c r="R477" s="10">
        <v>12.625663372859023</v>
      </c>
      <c r="T477" s="10">
        <v>0.67271530522617484</v>
      </c>
      <c r="U477" s="10"/>
      <c r="V477" s="10">
        <v>3.8913043478260877E-2</v>
      </c>
      <c r="W477" s="10">
        <v>0.49671168203776911</v>
      </c>
      <c r="X477" s="10">
        <v>3.4825216293368459</v>
      </c>
      <c r="Y477" s="10">
        <v>5.1220164690382077</v>
      </c>
      <c r="Z477" s="6">
        <v>2.1309685120973209E-2</v>
      </c>
      <c r="AA477" s="6">
        <v>1.1915092755812977E-2</v>
      </c>
    </row>
    <row r="478" spans="1:27">
      <c r="A478" s="6" t="s">
        <v>1112</v>
      </c>
      <c r="B478" s="6" t="s">
        <v>1025</v>
      </c>
      <c r="C478" s="8" t="s">
        <v>1020</v>
      </c>
      <c r="D478" s="6">
        <v>764</v>
      </c>
      <c r="E478" s="6">
        <v>2</v>
      </c>
      <c r="F478" s="11"/>
      <c r="G478" s="9"/>
      <c r="I478" s="13"/>
      <c r="P478" s="27">
        <v>74.400000000000006</v>
      </c>
      <c r="Q478" s="6">
        <v>0.13</v>
      </c>
      <c r="R478" s="27">
        <v>11.62</v>
      </c>
      <c r="T478" s="27">
        <v>1.18</v>
      </c>
      <c r="U478" s="27">
        <v>0.03</v>
      </c>
      <c r="V478" s="27">
        <v>7.0000000000000007E-2</v>
      </c>
      <c r="W478" s="27">
        <v>0.45</v>
      </c>
      <c r="X478" s="27">
        <v>2.89</v>
      </c>
      <c r="Y478" s="27">
        <v>5.34</v>
      </c>
      <c r="Z478" s="6">
        <v>9.5756101204889296E-3</v>
      </c>
      <c r="AA478" s="6">
        <v>2.7908813416500397E-3</v>
      </c>
    </row>
    <row r="479" spans="1:27">
      <c r="A479" s="6" t="s">
        <v>1111</v>
      </c>
      <c r="B479" s="6" t="s">
        <v>1024</v>
      </c>
      <c r="C479" s="8" t="s">
        <v>1020</v>
      </c>
      <c r="D479" s="6">
        <v>716</v>
      </c>
      <c r="E479" s="6">
        <v>2</v>
      </c>
      <c r="F479" s="11"/>
      <c r="G479" s="9"/>
      <c r="I479" s="13"/>
      <c r="P479" s="27">
        <v>76.98</v>
      </c>
      <c r="Q479" s="6">
        <v>0.11</v>
      </c>
      <c r="R479" s="27">
        <v>12.41</v>
      </c>
      <c r="T479" s="27">
        <v>1.22</v>
      </c>
      <c r="U479" s="27">
        <v>0.05</v>
      </c>
      <c r="V479" s="27">
        <v>0.08</v>
      </c>
      <c r="W479" s="27">
        <v>0.5</v>
      </c>
      <c r="X479" s="27">
        <v>3.46</v>
      </c>
      <c r="Y479" s="27">
        <v>4.8899999999999997</v>
      </c>
      <c r="Z479" s="6">
        <v>1.0952719879381928E-2</v>
      </c>
      <c r="AA479" s="6">
        <v>1.0998547159211979E-3</v>
      </c>
    </row>
  </sheetData>
  <sortState xmlns:xlrd2="http://schemas.microsoft.com/office/spreadsheetml/2017/richdata2" ref="A2:AH480">
    <sortCondition ref="A2:A480"/>
  </sortState>
  <phoneticPr fontId="16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3E8B5-A8EE-C047-85EF-FE638ED02D6C}">
  <dimension ref="A1:AH321"/>
  <sheetViews>
    <sheetView topLeftCell="M1" workbookViewId="0">
      <selection activeCell="G235" sqref="G235"/>
    </sheetView>
  </sheetViews>
  <sheetFormatPr baseColWidth="10" defaultRowHeight="16"/>
  <cols>
    <col min="1" max="1" width="17.6640625" bestFit="1" customWidth="1"/>
    <col min="10" max="10" width="26.1640625" customWidth="1"/>
  </cols>
  <sheetData>
    <row r="1" spans="1:32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1115</v>
      </c>
    </row>
    <row r="2" spans="1:32">
      <c r="A2" s="8" t="s">
        <v>1097</v>
      </c>
      <c r="B2" s="8" t="s">
        <v>927</v>
      </c>
      <c r="C2" s="8" t="s">
        <v>645</v>
      </c>
      <c r="D2" s="12">
        <v>850</v>
      </c>
      <c r="E2" s="24">
        <v>4</v>
      </c>
      <c r="F2" s="43">
        <v>784800</v>
      </c>
      <c r="G2" s="44">
        <v>7.3000000000000004E-14</v>
      </c>
      <c r="H2" s="10">
        <f t="shared" ref="H2:H50" si="0">2*SQRT(G2*F2)*1000</f>
        <v>0.47870826188817761</v>
      </c>
      <c r="I2" s="13" t="s">
        <v>928</v>
      </c>
      <c r="J2" s="24" t="s">
        <v>916</v>
      </c>
      <c r="K2" s="24">
        <v>61.5</v>
      </c>
      <c r="L2" s="24">
        <v>1</v>
      </c>
      <c r="M2" s="24">
        <v>1</v>
      </c>
      <c r="N2" s="24">
        <v>1</v>
      </c>
      <c r="O2" s="24">
        <v>1</v>
      </c>
      <c r="P2" s="45">
        <v>72.709999999999994</v>
      </c>
      <c r="Q2" s="45">
        <v>0.24</v>
      </c>
      <c r="R2" s="45">
        <v>14.64</v>
      </c>
      <c r="S2" s="45"/>
      <c r="T2" s="45">
        <v>1.91</v>
      </c>
      <c r="U2" s="45">
        <v>0.03</v>
      </c>
      <c r="V2" s="45">
        <v>0.26</v>
      </c>
      <c r="W2" s="45">
        <v>2.0499999999999998</v>
      </c>
      <c r="X2" s="45">
        <v>3.7</v>
      </c>
      <c r="Y2" s="45">
        <v>4.43</v>
      </c>
      <c r="Z2" s="45">
        <v>0.03</v>
      </c>
      <c r="AA2" s="45">
        <v>0.1</v>
      </c>
      <c r="AB2" s="45">
        <v>93.58</v>
      </c>
      <c r="AC2" s="15">
        <v>5.5</v>
      </c>
      <c r="AD2" s="45" t="s">
        <v>900</v>
      </c>
      <c r="AE2" s="24" t="s">
        <v>1144</v>
      </c>
      <c r="AF2" s="24"/>
    </row>
    <row r="3" spans="1:32">
      <c r="A3" s="8" t="s">
        <v>1303</v>
      </c>
      <c r="B3" s="8" t="s">
        <v>1304</v>
      </c>
      <c r="C3" s="8" t="s">
        <v>1306</v>
      </c>
      <c r="D3" s="12">
        <v>1200</v>
      </c>
      <c r="E3" s="24">
        <v>2</v>
      </c>
      <c r="F3" s="43">
        <f>192*3600</f>
        <v>691200</v>
      </c>
      <c r="G3" s="54">
        <v>3.0726772825868176E-12</v>
      </c>
      <c r="H3" s="10">
        <f t="shared" si="0"/>
        <v>2.9146763372450182</v>
      </c>
      <c r="I3" s="13" t="s">
        <v>1307</v>
      </c>
      <c r="J3" s="24" t="s">
        <v>74</v>
      </c>
      <c r="K3" s="24"/>
      <c r="L3" s="24">
        <v>1</v>
      </c>
      <c r="M3" s="24">
        <v>1</v>
      </c>
      <c r="N3" s="24">
        <v>1</v>
      </c>
      <c r="O3" s="24">
        <v>0</v>
      </c>
      <c r="P3" s="45">
        <v>74.25</v>
      </c>
      <c r="Q3" s="45"/>
      <c r="R3" s="45">
        <v>14.49</v>
      </c>
      <c r="S3" s="45"/>
      <c r="T3" s="45"/>
      <c r="U3" s="45"/>
      <c r="V3" s="45"/>
      <c r="W3" s="45">
        <v>1.83</v>
      </c>
      <c r="X3" s="45">
        <v>4</v>
      </c>
      <c r="Y3" s="45">
        <v>4.47</v>
      </c>
      <c r="Z3" s="45">
        <v>0.74</v>
      </c>
      <c r="AA3" s="45">
        <v>0.03</v>
      </c>
      <c r="AB3" s="45"/>
      <c r="AC3" s="15"/>
      <c r="AD3" s="45"/>
      <c r="AE3" s="24" t="s">
        <v>1309</v>
      </c>
      <c r="AF3" s="24"/>
    </row>
    <row r="4" spans="1:32">
      <c r="A4" s="8" t="s">
        <v>1303</v>
      </c>
      <c r="B4" s="8" t="s">
        <v>1305</v>
      </c>
      <c r="C4" s="8" t="s">
        <v>1306</v>
      </c>
      <c r="D4" s="12">
        <v>1200</v>
      </c>
      <c r="E4" s="24">
        <v>2</v>
      </c>
      <c r="F4" s="43">
        <f>192*3600</f>
        <v>691200</v>
      </c>
      <c r="G4" s="54">
        <v>3.0726772825868176E-12</v>
      </c>
      <c r="H4" s="10">
        <f t="shared" si="0"/>
        <v>2.9146763372450182</v>
      </c>
      <c r="I4" s="13" t="s">
        <v>1308</v>
      </c>
      <c r="J4" s="24" t="s">
        <v>74</v>
      </c>
      <c r="K4" s="24"/>
      <c r="L4" s="24">
        <v>1</v>
      </c>
      <c r="M4" s="24">
        <v>1</v>
      </c>
      <c r="N4" s="24">
        <v>1</v>
      </c>
      <c r="O4" s="24">
        <v>0</v>
      </c>
      <c r="P4" s="45">
        <v>74.25</v>
      </c>
      <c r="Q4" s="45"/>
      <c r="R4" s="45">
        <v>14.47</v>
      </c>
      <c r="S4" s="45"/>
      <c r="T4" s="45"/>
      <c r="U4" s="45"/>
      <c r="V4" s="45"/>
      <c r="W4" s="45">
        <v>1.93</v>
      </c>
      <c r="X4" s="45">
        <v>3.89</v>
      </c>
      <c r="Y4" s="45">
        <v>4.6500000000000004</v>
      </c>
      <c r="Z4" s="45">
        <v>0.56999999999999995</v>
      </c>
      <c r="AA4" s="45">
        <v>0.02</v>
      </c>
      <c r="AB4" s="45"/>
      <c r="AC4" s="15"/>
      <c r="AD4" s="45"/>
      <c r="AE4" s="24" t="s">
        <v>1309</v>
      </c>
      <c r="AF4" s="24"/>
    </row>
    <row r="5" spans="1:32" s="6" customFormat="1">
      <c r="A5" s="8" t="s">
        <v>1048</v>
      </c>
      <c r="B5" s="6" t="s">
        <v>182</v>
      </c>
      <c r="C5" s="6" t="s">
        <v>1126</v>
      </c>
      <c r="D5" s="6">
        <v>849</v>
      </c>
      <c r="E5" s="8">
        <v>0.52</v>
      </c>
      <c r="F5" s="8">
        <f>264*3600</f>
        <v>950400</v>
      </c>
      <c r="G5" s="9">
        <v>7.1960111479880297E-14</v>
      </c>
      <c r="H5" s="10">
        <f t="shared" si="0"/>
        <v>0.52303303892002173</v>
      </c>
      <c r="I5" s="6" t="s">
        <v>183</v>
      </c>
      <c r="L5" s="6">
        <v>1</v>
      </c>
      <c r="M5" s="6">
        <v>1</v>
      </c>
      <c r="N5" s="6">
        <v>1</v>
      </c>
      <c r="O5" s="8">
        <v>1</v>
      </c>
      <c r="P5" s="6">
        <v>72.31</v>
      </c>
      <c r="Q5" s="6">
        <v>0.23</v>
      </c>
      <c r="R5" s="6">
        <v>13.25</v>
      </c>
      <c r="T5" s="6">
        <v>1.23</v>
      </c>
      <c r="U5" s="6">
        <v>0.06</v>
      </c>
      <c r="V5" s="6">
        <v>0.22</v>
      </c>
      <c r="W5" s="6">
        <v>0.36</v>
      </c>
      <c r="X5" s="6">
        <v>4.24</v>
      </c>
      <c r="Y5" s="6">
        <v>2.9</v>
      </c>
      <c r="Z5" s="6">
        <v>0.95</v>
      </c>
      <c r="AA5" s="6">
        <v>0.19</v>
      </c>
      <c r="AE5" s="6" t="s">
        <v>1116</v>
      </c>
    </row>
    <row r="6" spans="1:32" s="6" customFormat="1">
      <c r="A6" s="8" t="s">
        <v>1048</v>
      </c>
      <c r="B6" s="6" t="s">
        <v>184</v>
      </c>
      <c r="C6" s="6" t="s">
        <v>1126</v>
      </c>
      <c r="D6" s="6">
        <v>849</v>
      </c>
      <c r="E6" s="8">
        <v>0.52</v>
      </c>
      <c r="F6" s="8">
        <f>264*3600</f>
        <v>950400</v>
      </c>
      <c r="G6" s="9">
        <v>7.1960111479880297E-14</v>
      </c>
      <c r="H6" s="10">
        <f t="shared" si="0"/>
        <v>0.52303303892002173</v>
      </c>
      <c r="I6" s="6" t="s">
        <v>183</v>
      </c>
      <c r="L6" s="6">
        <v>1</v>
      </c>
      <c r="M6" s="6">
        <v>1</v>
      </c>
      <c r="N6" s="6">
        <v>1</v>
      </c>
      <c r="O6" s="8">
        <v>1</v>
      </c>
      <c r="P6" s="6">
        <v>72.44</v>
      </c>
      <c r="Q6" s="6">
        <v>0.22</v>
      </c>
      <c r="R6" s="6">
        <v>13.09</v>
      </c>
      <c r="T6" s="6">
        <v>1.43</v>
      </c>
      <c r="U6" s="6">
        <v>0.02</v>
      </c>
      <c r="V6" s="6">
        <v>0.27</v>
      </c>
      <c r="W6" s="6">
        <v>0.38</v>
      </c>
      <c r="X6" s="6">
        <v>4.1100000000000003</v>
      </c>
      <c r="Y6" s="6">
        <v>2.97</v>
      </c>
      <c r="Z6" s="6">
        <v>0.61</v>
      </c>
      <c r="AA6" s="6">
        <v>0.03</v>
      </c>
      <c r="AE6" s="6" t="s">
        <v>1116</v>
      </c>
    </row>
    <row r="7" spans="1:32" s="6" customFormat="1">
      <c r="A7" s="8" t="s">
        <v>1048</v>
      </c>
      <c r="B7" s="6" t="s">
        <v>185</v>
      </c>
      <c r="C7" s="6" t="s">
        <v>1126</v>
      </c>
      <c r="D7" s="6">
        <v>918</v>
      </c>
      <c r="E7" s="8">
        <v>0.5</v>
      </c>
      <c r="F7" s="8">
        <f>167*3600</f>
        <v>601200</v>
      </c>
      <c r="G7" s="9">
        <v>1.7925960209475701E-13</v>
      </c>
      <c r="H7" s="10">
        <f t="shared" si="0"/>
        <v>0.65656948689188388</v>
      </c>
      <c r="I7" s="6" t="s">
        <v>183</v>
      </c>
      <c r="L7" s="6">
        <v>1</v>
      </c>
      <c r="M7" s="6">
        <v>1</v>
      </c>
      <c r="N7" s="6">
        <v>1</v>
      </c>
      <c r="O7" s="8">
        <v>1</v>
      </c>
      <c r="P7" s="6">
        <v>68.91</v>
      </c>
      <c r="Q7" s="6">
        <v>0.39</v>
      </c>
      <c r="R7" s="6">
        <v>14.63</v>
      </c>
      <c r="T7" s="6">
        <v>1.91</v>
      </c>
      <c r="U7" s="6">
        <v>0.05</v>
      </c>
      <c r="V7" s="6">
        <v>0.61</v>
      </c>
      <c r="W7" s="6">
        <v>0.81</v>
      </c>
      <c r="X7" s="6">
        <v>5.04</v>
      </c>
      <c r="Y7" s="6">
        <v>2.63</v>
      </c>
      <c r="Z7" s="6">
        <v>0.74</v>
      </c>
      <c r="AA7" s="6">
        <v>0.13</v>
      </c>
      <c r="AE7" s="6" t="s">
        <v>1116</v>
      </c>
    </row>
    <row r="8" spans="1:32" s="6" customFormat="1">
      <c r="A8" s="8" t="s">
        <v>1048</v>
      </c>
      <c r="B8" s="6" t="s">
        <v>203</v>
      </c>
      <c r="C8" s="6" t="s">
        <v>1126</v>
      </c>
      <c r="D8" s="6">
        <v>943</v>
      </c>
      <c r="E8" s="8">
        <v>0.5</v>
      </c>
      <c r="F8" s="8">
        <f>218*3600</f>
        <v>784800</v>
      </c>
      <c r="G8" s="9">
        <v>2.4322118108816696E-13</v>
      </c>
      <c r="H8" s="10">
        <f t="shared" si="0"/>
        <v>0.87379627584006891</v>
      </c>
      <c r="I8" s="6" t="s">
        <v>183</v>
      </c>
      <c r="L8" s="6">
        <v>1</v>
      </c>
      <c r="M8" s="6">
        <v>1</v>
      </c>
      <c r="N8" s="6">
        <v>1</v>
      </c>
      <c r="O8" s="8">
        <v>1</v>
      </c>
      <c r="P8" s="6">
        <v>75.400000000000006</v>
      </c>
      <c r="Q8" s="6">
        <v>0.43</v>
      </c>
      <c r="R8" s="6">
        <v>10.28</v>
      </c>
      <c r="T8" s="6">
        <v>1.82</v>
      </c>
      <c r="U8" s="6">
        <v>0.03</v>
      </c>
      <c r="V8" s="6">
        <v>0.25</v>
      </c>
      <c r="W8" s="6">
        <v>0.68</v>
      </c>
      <c r="X8" s="6">
        <v>4.2</v>
      </c>
      <c r="Y8" s="6">
        <v>2.96</v>
      </c>
      <c r="Z8" s="6">
        <v>0.48</v>
      </c>
      <c r="AA8" s="6">
        <v>0.16</v>
      </c>
      <c r="AE8" s="6" t="s">
        <v>1116</v>
      </c>
    </row>
    <row r="9" spans="1:32" s="6" customFormat="1">
      <c r="A9" s="8" t="s">
        <v>1048</v>
      </c>
      <c r="B9" s="6" t="s">
        <v>208</v>
      </c>
      <c r="C9" s="6" t="s">
        <v>1126</v>
      </c>
      <c r="D9" s="6">
        <v>839</v>
      </c>
      <c r="E9" s="8">
        <v>0.51</v>
      </c>
      <c r="F9" s="8">
        <f>71*3600</f>
        <v>255600</v>
      </c>
      <c r="G9" s="9">
        <v>6.2454420530625547E-14</v>
      </c>
      <c r="H9" s="10">
        <f t="shared" si="0"/>
        <v>0.25269230211961652</v>
      </c>
      <c r="I9" s="6" t="s">
        <v>183</v>
      </c>
      <c r="L9" s="6">
        <v>1</v>
      </c>
      <c r="M9" s="6">
        <v>1</v>
      </c>
      <c r="N9" s="6">
        <v>1</v>
      </c>
      <c r="O9" s="8">
        <v>1</v>
      </c>
      <c r="P9" s="6">
        <v>69.59</v>
      </c>
      <c r="Q9" s="6">
        <v>0.43</v>
      </c>
      <c r="R9" s="6">
        <v>15.08</v>
      </c>
      <c r="T9" s="6">
        <v>0.45</v>
      </c>
      <c r="U9" s="6">
        <v>0.01</v>
      </c>
      <c r="V9" s="6">
        <v>0.42</v>
      </c>
      <c r="W9" s="6">
        <v>0.36</v>
      </c>
      <c r="X9" s="6">
        <v>4.8</v>
      </c>
      <c r="Y9" s="6">
        <v>4.91</v>
      </c>
      <c r="Z9" s="6">
        <v>0.97</v>
      </c>
      <c r="AA9" s="6">
        <v>0.12</v>
      </c>
      <c r="AE9" s="6" t="s">
        <v>1116</v>
      </c>
    </row>
    <row r="10" spans="1:32" s="6" customFormat="1">
      <c r="A10" s="6" t="s">
        <v>1101</v>
      </c>
      <c r="B10" s="6" t="s">
        <v>949</v>
      </c>
      <c r="C10" s="6" t="s">
        <v>574</v>
      </c>
      <c r="D10" s="6">
        <v>1025</v>
      </c>
      <c r="E10" s="6">
        <v>15</v>
      </c>
      <c r="F10" s="6">
        <f>137*3600</f>
        <v>493200</v>
      </c>
      <c r="G10" s="9">
        <v>6.093075655892557E-13</v>
      </c>
      <c r="H10" s="10">
        <f t="shared" si="0"/>
        <v>1.0963767442783907</v>
      </c>
      <c r="I10" s="6" t="s">
        <v>950</v>
      </c>
      <c r="J10" s="6" t="s">
        <v>951</v>
      </c>
      <c r="K10" s="6">
        <v>18.2</v>
      </c>
      <c r="L10" s="6">
        <v>1</v>
      </c>
      <c r="M10" s="6">
        <v>1</v>
      </c>
      <c r="N10" s="6">
        <v>1</v>
      </c>
      <c r="O10" s="6">
        <v>0</v>
      </c>
      <c r="P10" s="6">
        <v>44.61</v>
      </c>
      <c r="Q10" s="6">
        <v>1.93</v>
      </c>
      <c r="R10" s="6">
        <v>2.88</v>
      </c>
      <c r="S10" s="6">
        <v>0</v>
      </c>
      <c r="T10" s="6">
        <v>3.06</v>
      </c>
      <c r="U10" s="6">
        <v>0.06</v>
      </c>
      <c r="V10" s="6">
        <v>14.94</v>
      </c>
      <c r="W10" s="6">
        <v>6.01</v>
      </c>
      <c r="X10" s="6">
        <v>4.78</v>
      </c>
      <c r="Y10" s="6">
        <v>10.59</v>
      </c>
      <c r="Z10" s="6">
        <v>7.84</v>
      </c>
      <c r="AB10" s="6">
        <v>97.66</v>
      </c>
      <c r="AE10" s="6" t="s">
        <v>1133</v>
      </c>
    </row>
    <row r="11" spans="1:32" s="6" customFormat="1">
      <c r="A11" s="6" t="s">
        <v>1101</v>
      </c>
      <c r="B11" s="6" t="s">
        <v>952</v>
      </c>
      <c r="C11" s="6" t="s">
        <v>574</v>
      </c>
      <c r="D11" s="6">
        <v>1100</v>
      </c>
      <c r="E11" s="6">
        <v>15</v>
      </c>
      <c r="F11" s="6">
        <f>24*3600</f>
        <v>86400</v>
      </c>
      <c r="G11" s="9">
        <v>1.2820841702583668E-12</v>
      </c>
      <c r="H11" s="10">
        <f t="shared" si="0"/>
        <v>0.66564877318394533</v>
      </c>
      <c r="I11" s="6" t="s">
        <v>950</v>
      </c>
      <c r="J11" s="6" t="s">
        <v>953</v>
      </c>
      <c r="K11" s="6">
        <v>22.9</v>
      </c>
      <c r="L11" s="6">
        <v>1</v>
      </c>
      <c r="M11" s="6">
        <v>1</v>
      </c>
      <c r="N11" s="6">
        <v>1</v>
      </c>
      <c r="O11" s="6">
        <v>0</v>
      </c>
      <c r="P11" s="6">
        <v>44.46</v>
      </c>
      <c r="Q11" s="6">
        <v>1.36</v>
      </c>
      <c r="R11" s="6">
        <v>3.65</v>
      </c>
      <c r="S11" s="6">
        <v>0.01</v>
      </c>
      <c r="T11" s="6">
        <v>3.86</v>
      </c>
      <c r="U11" s="6">
        <v>0.04</v>
      </c>
      <c r="V11" s="6">
        <v>14.78</v>
      </c>
      <c r="W11" s="6">
        <v>7.79</v>
      </c>
      <c r="X11" s="6">
        <v>2.91</v>
      </c>
      <c r="Y11" s="6">
        <v>10.06</v>
      </c>
      <c r="Z11" s="6">
        <v>7.99</v>
      </c>
      <c r="AB11" s="6">
        <v>98.13</v>
      </c>
      <c r="AE11" s="6" t="s">
        <v>1133</v>
      </c>
    </row>
    <row r="12" spans="1:32" s="6" customFormat="1">
      <c r="A12" s="6" t="s">
        <v>1101</v>
      </c>
      <c r="B12" s="6" t="s">
        <v>954</v>
      </c>
      <c r="C12" s="6" t="s">
        <v>574</v>
      </c>
      <c r="D12" s="6">
        <v>1450</v>
      </c>
      <c r="E12" s="6">
        <v>50</v>
      </c>
      <c r="F12" s="6">
        <f>18*3600</f>
        <v>64800</v>
      </c>
      <c r="G12" s="9">
        <v>1.7529128281930379E-11</v>
      </c>
      <c r="H12" s="10">
        <f t="shared" si="0"/>
        <v>2.1315604731455204</v>
      </c>
      <c r="I12" s="6" t="s">
        <v>950</v>
      </c>
      <c r="J12" s="6" t="s">
        <v>955</v>
      </c>
      <c r="K12" s="6">
        <v>59.4</v>
      </c>
      <c r="L12" s="6">
        <v>1</v>
      </c>
      <c r="M12" s="6">
        <v>1</v>
      </c>
      <c r="N12" s="6">
        <v>1</v>
      </c>
      <c r="O12" s="6">
        <v>0</v>
      </c>
      <c r="P12" s="6">
        <v>33.96</v>
      </c>
      <c r="Q12" s="6">
        <v>0.81</v>
      </c>
      <c r="R12" s="6">
        <v>6.87</v>
      </c>
      <c r="S12" s="6">
        <v>0.12</v>
      </c>
      <c r="T12" s="6">
        <v>4.7699999999999996</v>
      </c>
      <c r="U12" s="6">
        <v>0.17</v>
      </c>
      <c r="V12" s="6">
        <v>18.989999999999998</v>
      </c>
      <c r="W12" s="6">
        <v>14.82</v>
      </c>
      <c r="X12" s="6">
        <v>1.45</v>
      </c>
      <c r="Y12" s="6">
        <v>7.66</v>
      </c>
      <c r="Z12" s="6">
        <v>6.83</v>
      </c>
      <c r="AB12" s="6">
        <v>96.45</v>
      </c>
      <c r="AE12" s="6" t="s">
        <v>1157</v>
      </c>
    </row>
    <row r="13" spans="1:32" s="6" customFormat="1">
      <c r="A13" s="6" t="s">
        <v>1101</v>
      </c>
      <c r="B13" s="6" t="s">
        <v>956</v>
      </c>
      <c r="C13" s="6" t="s">
        <v>574</v>
      </c>
      <c r="D13" s="6">
        <v>1125</v>
      </c>
      <c r="E13" s="6">
        <v>15</v>
      </c>
      <c r="F13" s="6">
        <f>12*3600</f>
        <v>43200</v>
      </c>
      <c r="G13" s="9">
        <v>1.6140140165537416E-12</v>
      </c>
      <c r="H13" s="10">
        <f t="shared" si="0"/>
        <v>0.52811137278086195</v>
      </c>
      <c r="I13" s="6" t="s">
        <v>950</v>
      </c>
      <c r="J13" s="6" t="s">
        <v>953</v>
      </c>
      <c r="K13" s="6">
        <v>22.5</v>
      </c>
      <c r="L13" s="6">
        <v>1</v>
      </c>
      <c r="M13" s="6">
        <v>1</v>
      </c>
      <c r="N13" s="6">
        <v>1</v>
      </c>
      <c r="O13" s="6">
        <v>0</v>
      </c>
      <c r="P13" s="6">
        <v>40.72</v>
      </c>
      <c r="Q13" s="6">
        <v>0.61</v>
      </c>
      <c r="R13" s="6">
        <v>6.25</v>
      </c>
      <c r="S13" s="6">
        <v>0.1</v>
      </c>
      <c r="T13" s="6">
        <v>1.84</v>
      </c>
      <c r="U13" s="6">
        <v>0.04</v>
      </c>
      <c r="V13" s="6">
        <v>18.3</v>
      </c>
      <c r="W13" s="6">
        <v>12.95</v>
      </c>
      <c r="X13" s="6">
        <v>1.53</v>
      </c>
      <c r="Y13" s="6">
        <v>8.64</v>
      </c>
      <c r="Z13" s="6">
        <v>5.59</v>
      </c>
      <c r="AB13" s="6">
        <v>94.66</v>
      </c>
      <c r="AE13" s="6" t="s">
        <v>1117</v>
      </c>
    </row>
    <row r="14" spans="1:32" s="6" customFormat="1">
      <c r="A14" s="6" t="s">
        <v>1101</v>
      </c>
      <c r="B14" s="6" t="s">
        <v>957</v>
      </c>
      <c r="C14" s="6" t="s">
        <v>574</v>
      </c>
      <c r="D14" s="6">
        <v>1250</v>
      </c>
      <c r="E14" s="6">
        <v>15</v>
      </c>
      <c r="F14" s="6">
        <f>2.5*3600</f>
        <v>9000</v>
      </c>
      <c r="G14" s="9">
        <v>4.5564394944268856E-12</v>
      </c>
      <c r="H14" s="10">
        <f t="shared" si="0"/>
        <v>0.40500842188696257</v>
      </c>
      <c r="I14" s="6" t="s">
        <v>950</v>
      </c>
      <c r="J14" s="6" t="s">
        <v>958</v>
      </c>
      <c r="K14" s="6">
        <v>92.3</v>
      </c>
      <c r="L14" s="6">
        <v>1</v>
      </c>
      <c r="M14" s="6">
        <v>1</v>
      </c>
      <c r="N14" s="6">
        <v>1</v>
      </c>
      <c r="O14" s="6">
        <v>0</v>
      </c>
      <c r="P14" s="6">
        <v>30.78</v>
      </c>
      <c r="Q14" s="6">
        <v>13.66</v>
      </c>
      <c r="R14" s="6">
        <v>3.85</v>
      </c>
      <c r="S14" s="6">
        <v>0</v>
      </c>
      <c r="T14" s="6">
        <v>2.3199999999999998</v>
      </c>
      <c r="U14" s="6">
        <v>0</v>
      </c>
      <c r="V14" s="6">
        <v>12.18</v>
      </c>
      <c r="W14" s="6">
        <v>18.05</v>
      </c>
      <c r="X14" s="6">
        <v>0.16</v>
      </c>
      <c r="Y14" s="6">
        <v>3.4</v>
      </c>
      <c r="Z14" s="6">
        <v>7.89</v>
      </c>
      <c r="AB14" s="6">
        <v>93.8</v>
      </c>
      <c r="AE14" s="6" t="s">
        <v>1141</v>
      </c>
    </row>
    <row r="15" spans="1:32" s="6" customFormat="1">
      <c r="A15" s="8" t="s">
        <v>1070</v>
      </c>
      <c r="B15" s="6" t="s">
        <v>535</v>
      </c>
      <c r="C15" s="8" t="s">
        <v>536</v>
      </c>
      <c r="D15" s="6">
        <v>1060</v>
      </c>
      <c r="E15" s="8">
        <v>15</v>
      </c>
      <c r="F15" s="6">
        <v>432000</v>
      </c>
      <c r="G15" s="9">
        <v>8.7122627296389965E-13</v>
      </c>
      <c r="H15" s="10">
        <f t="shared" si="0"/>
        <v>1.2269796248029623</v>
      </c>
      <c r="I15" s="6">
        <v>1.91</v>
      </c>
      <c r="J15" s="6" t="s">
        <v>537</v>
      </c>
      <c r="K15" s="6">
        <v>21.3</v>
      </c>
      <c r="L15" s="6">
        <v>1</v>
      </c>
      <c r="M15" s="6">
        <v>1</v>
      </c>
      <c r="N15" s="6">
        <v>1</v>
      </c>
      <c r="O15" s="6">
        <v>0</v>
      </c>
      <c r="P15" s="6">
        <v>33.65</v>
      </c>
      <c r="Q15" s="6">
        <v>6.16</v>
      </c>
      <c r="R15" s="6">
        <v>12.47</v>
      </c>
      <c r="T15" s="6">
        <v>12.79</v>
      </c>
      <c r="V15" s="6">
        <v>11.9</v>
      </c>
      <c r="W15" s="6">
        <v>11.26</v>
      </c>
      <c r="X15" s="6">
        <v>2.54</v>
      </c>
      <c r="Y15" s="6">
        <v>2.78</v>
      </c>
      <c r="Z15" s="6">
        <v>3.45</v>
      </c>
      <c r="AA15" s="6">
        <v>0.43</v>
      </c>
      <c r="AB15" s="6">
        <v>97.59</v>
      </c>
      <c r="AE15" s="6" t="s">
        <v>1117</v>
      </c>
    </row>
    <row r="16" spans="1:32" s="6" customFormat="1">
      <c r="A16" s="8" t="s">
        <v>1070</v>
      </c>
      <c r="B16" s="6" t="s">
        <v>538</v>
      </c>
      <c r="C16" s="8" t="s">
        <v>536</v>
      </c>
      <c r="D16" s="6">
        <v>1085</v>
      </c>
      <c r="E16" s="8">
        <v>15</v>
      </c>
      <c r="F16" s="6">
        <v>518400</v>
      </c>
      <c r="G16" s="9">
        <v>1.1121289171033177E-12</v>
      </c>
      <c r="H16" s="10">
        <f t="shared" si="0"/>
        <v>1.5185883321379232</v>
      </c>
      <c r="I16" s="6">
        <v>1.91</v>
      </c>
      <c r="J16" s="6" t="s">
        <v>537</v>
      </c>
      <c r="K16" s="6">
        <v>37.700000000000003</v>
      </c>
      <c r="L16" s="6">
        <v>1</v>
      </c>
      <c r="M16" s="6">
        <v>1</v>
      </c>
      <c r="N16" s="6">
        <v>1</v>
      </c>
      <c r="O16" s="6">
        <v>0</v>
      </c>
      <c r="P16" s="6">
        <v>35.04</v>
      </c>
      <c r="Q16" s="6">
        <v>6.08</v>
      </c>
      <c r="R16" s="6">
        <v>12.25</v>
      </c>
      <c r="T16" s="6">
        <v>12.01</v>
      </c>
      <c r="V16" s="6">
        <v>9.89</v>
      </c>
      <c r="W16" s="6">
        <v>13.84</v>
      </c>
      <c r="X16" s="6">
        <v>2.46</v>
      </c>
      <c r="Y16" s="6">
        <v>2.1800000000000002</v>
      </c>
      <c r="Z16" s="6">
        <v>2.17</v>
      </c>
      <c r="AA16" s="6">
        <v>0.53</v>
      </c>
      <c r="AB16" s="6">
        <v>96.51</v>
      </c>
      <c r="AE16" s="6" t="s">
        <v>1117</v>
      </c>
    </row>
    <row r="17" spans="1:31" s="6" customFormat="1">
      <c r="A17" s="8" t="s">
        <v>1070</v>
      </c>
      <c r="B17" s="6" t="s">
        <v>539</v>
      </c>
      <c r="C17" s="8" t="s">
        <v>536</v>
      </c>
      <c r="D17" s="6">
        <v>1135</v>
      </c>
      <c r="E17" s="8">
        <v>15</v>
      </c>
      <c r="F17" s="6">
        <v>172800</v>
      </c>
      <c r="G17" s="9">
        <v>1.765669792484909E-12</v>
      </c>
      <c r="H17" s="10">
        <f t="shared" si="0"/>
        <v>1.1047311711749466</v>
      </c>
      <c r="I17" s="6">
        <v>1.91</v>
      </c>
      <c r="J17" s="6" t="s">
        <v>537</v>
      </c>
      <c r="K17" s="6">
        <v>43.6</v>
      </c>
      <c r="L17" s="6">
        <v>1</v>
      </c>
      <c r="M17" s="6">
        <v>1</v>
      </c>
      <c r="N17" s="6">
        <v>1</v>
      </c>
      <c r="O17" s="6">
        <v>0</v>
      </c>
      <c r="P17" s="6">
        <v>35.35</v>
      </c>
      <c r="Q17" s="6">
        <v>5.87</v>
      </c>
      <c r="R17" s="6">
        <v>12.27</v>
      </c>
      <c r="T17" s="6">
        <v>10.38</v>
      </c>
      <c r="V17" s="6">
        <v>10.56</v>
      </c>
      <c r="W17" s="6">
        <v>14.48</v>
      </c>
      <c r="X17" s="6">
        <v>2.3199999999999998</v>
      </c>
      <c r="Y17" s="6">
        <v>2.0499999999999998</v>
      </c>
      <c r="Z17" s="6">
        <v>3.35</v>
      </c>
      <c r="AA17" s="6">
        <v>1.06</v>
      </c>
      <c r="AB17" s="6">
        <v>97.29</v>
      </c>
      <c r="AE17" s="6" t="s">
        <v>1148</v>
      </c>
    </row>
    <row r="18" spans="1:31" s="6" customFormat="1">
      <c r="A18" s="8" t="s">
        <v>1070</v>
      </c>
      <c r="B18" s="6" t="s">
        <v>540</v>
      </c>
      <c r="C18" s="8" t="s">
        <v>536</v>
      </c>
      <c r="D18" s="6">
        <v>1175</v>
      </c>
      <c r="E18" s="8">
        <v>15</v>
      </c>
      <c r="F18" s="6">
        <v>219600</v>
      </c>
      <c r="G18" s="9">
        <v>2.4976509404864008E-12</v>
      </c>
      <c r="H18" s="10">
        <f t="shared" si="0"/>
        <v>1.4811943107247119</v>
      </c>
      <c r="I18" s="6">
        <v>1.91</v>
      </c>
      <c r="J18" s="6" t="s">
        <v>541</v>
      </c>
      <c r="K18" s="6">
        <v>55.7</v>
      </c>
      <c r="L18" s="6">
        <v>1</v>
      </c>
      <c r="M18" s="6">
        <v>1</v>
      </c>
      <c r="N18" s="6">
        <v>1</v>
      </c>
      <c r="O18" s="6">
        <v>0</v>
      </c>
      <c r="P18" s="6">
        <v>36.15</v>
      </c>
      <c r="Q18" s="6">
        <v>3.9</v>
      </c>
      <c r="R18" s="6">
        <v>13.26</v>
      </c>
      <c r="T18" s="6">
        <v>6.16</v>
      </c>
      <c r="V18" s="6">
        <v>11.66</v>
      </c>
      <c r="W18" s="6">
        <v>16.190000000000001</v>
      </c>
      <c r="X18" s="6">
        <v>2.5499999999999998</v>
      </c>
      <c r="Y18" s="6">
        <v>1.89</v>
      </c>
      <c r="Z18" s="6">
        <v>4.5599999999999996</v>
      </c>
      <c r="AA18" s="6">
        <v>3.02</v>
      </c>
      <c r="AB18" s="6">
        <v>97.87</v>
      </c>
      <c r="AE18" s="6" t="s">
        <v>1149</v>
      </c>
    </row>
    <row r="19" spans="1:31" s="6" customFormat="1">
      <c r="A19" s="8" t="s">
        <v>1070</v>
      </c>
      <c r="B19" s="6" t="s">
        <v>542</v>
      </c>
      <c r="C19" s="8" t="s">
        <v>536</v>
      </c>
      <c r="D19" s="6">
        <v>1085</v>
      </c>
      <c r="E19" s="8">
        <v>15</v>
      </c>
      <c r="F19" s="6">
        <v>518400</v>
      </c>
      <c r="G19" s="9">
        <v>1.1121289171033177E-12</v>
      </c>
      <c r="H19" s="10">
        <f t="shared" si="0"/>
        <v>1.5185883321379232</v>
      </c>
      <c r="I19" s="6">
        <v>1.71</v>
      </c>
      <c r="J19" s="6" t="s">
        <v>537</v>
      </c>
      <c r="K19" s="6">
        <v>42.9</v>
      </c>
      <c r="L19" s="6">
        <v>1</v>
      </c>
      <c r="M19" s="6">
        <v>1</v>
      </c>
      <c r="N19" s="6">
        <v>1</v>
      </c>
      <c r="O19" s="6">
        <v>0</v>
      </c>
      <c r="P19" s="6">
        <v>38.799999999999997</v>
      </c>
      <c r="Q19" s="6">
        <v>4.87</v>
      </c>
      <c r="R19" s="6">
        <v>14.39</v>
      </c>
      <c r="T19" s="6">
        <v>10.050000000000001</v>
      </c>
      <c r="V19" s="6">
        <v>10.62</v>
      </c>
      <c r="W19" s="6">
        <v>11.71</v>
      </c>
      <c r="X19" s="6">
        <v>2.14</v>
      </c>
      <c r="Y19" s="6">
        <v>2.7</v>
      </c>
      <c r="Z19" s="6">
        <v>2.21</v>
      </c>
      <c r="AA19" s="6">
        <v>0.37</v>
      </c>
      <c r="AB19" s="6">
        <v>98.2</v>
      </c>
      <c r="AE19" s="6" t="s">
        <v>1117</v>
      </c>
    </row>
    <row r="20" spans="1:31" s="6" customFormat="1">
      <c r="A20" s="8" t="s">
        <v>1070</v>
      </c>
      <c r="B20" s="6" t="s">
        <v>543</v>
      </c>
      <c r="C20" s="8" t="s">
        <v>536</v>
      </c>
      <c r="D20" s="6">
        <v>1110</v>
      </c>
      <c r="E20" s="8">
        <v>15</v>
      </c>
      <c r="F20" s="6">
        <v>428400</v>
      </c>
      <c r="G20" s="9">
        <v>1.407170091714212E-12</v>
      </c>
      <c r="H20" s="10">
        <f t="shared" si="0"/>
        <v>1.552844702203499</v>
      </c>
      <c r="I20" s="6">
        <v>1.71</v>
      </c>
      <c r="J20" s="6" t="s">
        <v>537</v>
      </c>
      <c r="K20" s="6">
        <v>50.9</v>
      </c>
      <c r="L20" s="6">
        <v>1</v>
      </c>
      <c r="M20" s="6">
        <v>1</v>
      </c>
      <c r="N20" s="6">
        <v>1</v>
      </c>
      <c r="O20" s="6">
        <v>0</v>
      </c>
      <c r="P20" s="6">
        <v>36</v>
      </c>
      <c r="Q20" s="6">
        <v>5.0199999999999996</v>
      </c>
      <c r="R20" s="6">
        <v>13.02</v>
      </c>
      <c r="T20" s="6">
        <v>9.1999999999999993</v>
      </c>
      <c r="V20" s="6">
        <v>12.8</v>
      </c>
      <c r="W20" s="6">
        <v>13.18</v>
      </c>
      <c r="X20" s="6">
        <v>2.0099999999999998</v>
      </c>
      <c r="Y20" s="6">
        <v>2.23</v>
      </c>
      <c r="Z20" s="6">
        <v>2.94</v>
      </c>
      <c r="AA20" s="6">
        <v>0.78</v>
      </c>
      <c r="AB20" s="6">
        <v>97.01</v>
      </c>
      <c r="AE20" s="6" t="s">
        <v>1117</v>
      </c>
    </row>
    <row r="21" spans="1:31" s="6" customFormat="1">
      <c r="A21" s="8" t="s">
        <v>1070</v>
      </c>
      <c r="B21" s="6" t="s">
        <v>544</v>
      </c>
      <c r="C21" s="8" t="s">
        <v>536</v>
      </c>
      <c r="D21" s="6">
        <v>1175</v>
      </c>
      <c r="E21" s="8">
        <v>15</v>
      </c>
      <c r="F21" s="6">
        <v>72000</v>
      </c>
      <c r="G21" s="9">
        <v>2.4976509404864008E-12</v>
      </c>
      <c r="H21" s="10">
        <f t="shared" si="0"/>
        <v>0.84812939511614827</v>
      </c>
      <c r="I21" s="6">
        <v>1.71</v>
      </c>
      <c r="J21" s="6" t="s">
        <v>541</v>
      </c>
      <c r="K21" s="6">
        <v>63.9</v>
      </c>
      <c r="L21" s="6">
        <v>1</v>
      </c>
      <c r="M21" s="6">
        <v>1</v>
      </c>
      <c r="N21" s="6">
        <v>1</v>
      </c>
      <c r="O21" s="6">
        <v>0</v>
      </c>
      <c r="P21" s="6">
        <v>38</v>
      </c>
      <c r="Q21" s="6">
        <v>3.62</v>
      </c>
      <c r="R21" s="6">
        <v>11.8</v>
      </c>
      <c r="T21" s="6">
        <v>6.37</v>
      </c>
      <c r="V21" s="6">
        <v>12.42</v>
      </c>
      <c r="W21" s="6">
        <v>18.25</v>
      </c>
      <c r="X21" s="6">
        <v>1.24</v>
      </c>
      <c r="Y21" s="6">
        <v>1.45</v>
      </c>
      <c r="Z21" s="6">
        <v>4.03</v>
      </c>
      <c r="AA21" s="6">
        <v>1.34</v>
      </c>
      <c r="AB21" s="6">
        <v>97.46</v>
      </c>
      <c r="AE21" s="6" t="s">
        <v>1149</v>
      </c>
    </row>
    <row r="22" spans="1:31" s="6" customFormat="1">
      <c r="A22" s="8" t="s">
        <v>1070</v>
      </c>
      <c r="B22" s="6" t="s">
        <v>545</v>
      </c>
      <c r="C22" s="8" t="s">
        <v>536</v>
      </c>
      <c r="D22" s="6">
        <v>1085</v>
      </c>
      <c r="E22" s="8">
        <v>15</v>
      </c>
      <c r="F22" s="6">
        <v>518400</v>
      </c>
      <c r="G22" s="9">
        <v>1.1121289171033177E-12</v>
      </c>
      <c r="H22" s="10">
        <f t="shared" si="0"/>
        <v>1.5185883321379232</v>
      </c>
      <c r="I22" s="6">
        <v>2.1</v>
      </c>
      <c r="J22" s="6" t="s">
        <v>546</v>
      </c>
      <c r="K22" s="6">
        <v>45.3</v>
      </c>
      <c r="L22" s="6">
        <v>1</v>
      </c>
      <c r="M22" s="6">
        <v>1</v>
      </c>
      <c r="N22" s="6">
        <v>1</v>
      </c>
      <c r="O22" s="6">
        <v>0</v>
      </c>
      <c r="P22" s="6">
        <v>36.44</v>
      </c>
      <c r="Q22" s="6">
        <v>5.39</v>
      </c>
      <c r="R22" s="6">
        <v>13.55</v>
      </c>
      <c r="T22" s="6">
        <v>14.2</v>
      </c>
      <c r="V22" s="6">
        <v>9.5299999999999994</v>
      </c>
      <c r="W22" s="6">
        <v>11.09</v>
      </c>
      <c r="X22" s="6">
        <v>2.0499999999999998</v>
      </c>
      <c r="Y22" s="6">
        <v>3.26</v>
      </c>
      <c r="Z22" s="6">
        <v>2.1</v>
      </c>
      <c r="AA22" s="6">
        <v>1.77</v>
      </c>
      <c r="AB22" s="6">
        <v>97.75</v>
      </c>
      <c r="AE22" s="6" t="s">
        <v>1148</v>
      </c>
    </row>
    <row r="23" spans="1:31" s="6" customFormat="1">
      <c r="A23" s="8" t="s">
        <v>1070</v>
      </c>
      <c r="B23" s="6" t="s">
        <v>547</v>
      </c>
      <c r="C23" s="8" t="s">
        <v>536</v>
      </c>
      <c r="D23" s="6">
        <v>1110</v>
      </c>
      <c r="E23" s="8">
        <v>15</v>
      </c>
      <c r="F23" s="6">
        <v>604800</v>
      </c>
      <c r="G23" s="9">
        <v>1.407170091714212E-12</v>
      </c>
      <c r="H23" s="10">
        <f t="shared" si="0"/>
        <v>1.8450544398133681</v>
      </c>
      <c r="I23" s="6">
        <v>2.1</v>
      </c>
      <c r="J23" s="6" t="s">
        <v>546</v>
      </c>
      <c r="K23" s="6">
        <v>49.8</v>
      </c>
      <c r="L23" s="6">
        <v>1</v>
      </c>
      <c r="M23" s="6">
        <v>1</v>
      </c>
      <c r="N23" s="6">
        <v>1</v>
      </c>
      <c r="O23" s="6">
        <v>0</v>
      </c>
      <c r="P23" s="6">
        <v>35.17</v>
      </c>
      <c r="Q23" s="6">
        <v>5.83</v>
      </c>
      <c r="R23" s="6">
        <v>12.72</v>
      </c>
      <c r="T23" s="6">
        <v>14.77</v>
      </c>
      <c r="V23" s="6">
        <v>9.68</v>
      </c>
      <c r="W23" s="6">
        <v>12.19</v>
      </c>
      <c r="X23" s="6">
        <v>1.98</v>
      </c>
      <c r="Y23" s="6">
        <v>2.68</v>
      </c>
      <c r="Z23" s="6">
        <v>2.84</v>
      </c>
      <c r="AA23" s="6">
        <v>0.52</v>
      </c>
      <c r="AB23" s="6">
        <v>98.39</v>
      </c>
      <c r="AE23" s="6" t="s">
        <v>1117</v>
      </c>
    </row>
    <row r="24" spans="1:31" s="6" customFormat="1">
      <c r="A24" s="8" t="s">
        <v>1070</v>
      </c>
      <c r="B24" s="6" t="s">
        <v>548</v>
      </c>
      <c r="C24" s="8" t="s">
        <v>536</v>
      </c>
      <c r="D24" s="6">
        <v>1135</v>
      </c>
      <c r="E24" s="8">
        <v>15</v>
      </c>
      <c r="F24" s="6">
        <v>93600</v>
      </c>
      <c r="G24" s="9">
        <v>1.765669792484909E-12</v>
      </c>
      <c r="H24" s="10">
        <f t="shared" si="0"/>
        <v>0.81306012711628528</v>
      </c>
      <c r="I24" s="6">
        <v>2.1</v>
      </c>
      <c r="J24" s="6" t="s">
        <v>549</v>
      </c>
      <c r="K24" s="6">
        <v>52.5</v>
      </c>
      <c r="L24" s="6">
        <v>1</v>
      </c>
      <c r="M24" s="6">
        <v>1</v>
      </c>
      <c r="N24" s="6">
        <v>1</v>
      </c>
      <c r="O24" s="6">
        <v>0</v>
      </c>
      <c r="P24" s="6">
        <v>35.450000000000003</v>
      </c>
      <c r="Q24" s="6">
        <v>4.75</v>
      </c>
      <c r="R24" s="6">
        <v>13.22</v>
      </c>
      <c r="T24" s="6">
        <v>10.42</v>
      </c>
      <c r="V24" s="6">
        <v>12.24</v>
      </c>
      <c r="W24" s="6">
        <v>13.07</v>
      </c>
      <c r="X24" s="6">
        <v>1.58</v>
      </c>
      <c r="Y24" s="6">
        <v>3.4</v>
      </c>
      <c r="Z24" s="6">
        <v>3.37</v>
      </c>
      <c r="AA24" s="6">
        <v>1.64</v>
      </c>
      <c r="AB24" s="6">
        <v>97.7</v>
      </c>
      <c r="AE24" s="6" t="s">
        <v>1148</v>
      </c>
    </row>
    <row r="25" spans="1:31" s="6" customFormat="1">
      <c r="A25" s="8" t="s">
        <v>1070</v>
      </c>
      <c r="B25" s="6" t="s">
        <v>550</v>
      </c>
      <c r="C25" s="8" t="s">
        <v>536</v>
      </c>
      <c r="D25" s="6">
        <v>1175</v>
      </c>
      <c r="E25" s="8">
        <v>15</v>
      </c>
      <c r="F25" s="6">
        <v>219600</v>
      </c>
      <c r="G25" s="9">
        <v>2.4976509404864008E-12</v>
      </c>
      <c r="H25" s="10">
        <f t="shared" si="0"/>
        <v>1.4811943107247119</v>
      </c>
      <c r="I25" s="6">
        <v>2.1</v>
      </c>
      <c r="J25" s="6" t="s">
        <v>541</v>
      </c>
      <c r="K25" s="6">
        <v>58.8</v>
      </c>
      <c r="L25" s="6">
        <v>1</v>
      </c>
      <c r="M25" s="6">
        <v>1</v>
      </c>
      <c r="N25" s="6">
        <v>1</v>
      </c>
      <c r="O25" s="6">
        <v>0</v>
      </c>
      <c r="P25" s="6">
        <v>36.07</v>
      </c>
      <c r="Q25" s="6">
        <v>4.29</v>
      </c>
      <c r="R25" s="6">
        <v>13.55</v>
      </c>
      <c r="T25" s="6">
        <v>7.57</v>
      </c>
      <c r="V25" s="6">
        <v>11.82</v>
      </c>
      <c r="W25" s="6">
        <v>15.81</v>
      </c>
      <c r="X25" s="6">
        <v>1.46</v>
      </c>
      <c r="Y25" s="6">
        <v>2.6</v>
      </c>
      <c r="Z25" s="6">
        <v>4.32</v>
      </c>
      <c r="AA25" s="6">
        <v>0.62</v>
      </c>
      <c r="AB25" s="6">
        <v>97.75</v>
      </c>
      <c r="AE25" s="6" t="s">
        <v>1141</v>
      </c>
    </row>
    <row r="26" spans="1:31" s="6" customFormat="1">
      <c r="A26" s="8" t="s">
        <v>1070</v>
      </c>
      <c r="B26" s="6" t="s">
        <v>551</v>
      </c>
      <c r="C26" s="8" t="s">
        <v>536</v>
      </c>
      <c r="D26" s="6">
        <v>1060</v>
      </c>
      <c r="E26" s="8">
        <v>15</v>
      </c>
      <c r="F26" s="6">
        <v>172800</v>
      </c>
      <c r="G26" s="9">
        <v>8.7122627296389965E-13</v>
      </c>
      <c r="H26" s="10">
        <f t="shared" si="0"/>
        <v>0.77601005139923762</v>
      </c>
      <c r="I26" s="6">
        <v>1.91</v>
      </c>
      <c r="J26" s="6" t="s">
        <v>546</v>
      </c>
      <c r="K26" s="6">
        <v>28.1</v>
      </c>
      <c r="L26" s="6">
        <v>1</v>
      </c>
      <c r="M26" s="6">
        <v>1</v>
      </c>
      <c r="N26" s="6">
        <v>1</v>
      </c>
      <c r="O26" s="6">
        <v>0</v>
      </c>
      <c r="P26" s="6">
        <v>38.39</v>
      </c>
      <c r="Q26" s="6">
        <v>5.63</v>
      </c>
      <c r="R26" s="6">
        <v>12.86</v>
      </c>
      <c r="T26" s="6">
        <v>15.28</v>
      </c>
      <c r="V26" s="6">
        <v>6.51</v>
      </c>
      <c r="W26" s="6">
        <v>10.88</v>
      </c>
      <c r="X26" s="6">
        <v>2.02</v>
      </c>
      <c r="Y26" s="6">
        <v>2.3199999999999998</v>
      </c>
      <c r="Z26" s="6">
        <v>2.74</v>
      </c>
      <c r="AA26" s="6">
        <v>1.46</v>
      </c>
      <c r="AB26" s="6">
        <v>97.36</v>
      </c>
      <c r="AE26" s="6" t="s">
        <v>1148</v>
      </c>
    </row>
    <row r="27" spans="1:31" s="6" customFormat="1">
      <c r="A27" s="8" t="s">
        <v>1070</v>
      </c>
      <c r="B27" s="6" t="s">
        <v>552</v>
      </c>
      <c r="C27" s="8" t="s">
        <v>536</v>
      </c>
      <c r="D27" s="6">
        <v>1085</v>
      </c>
      <c r="E27" s="8">
        <v>15</v>
      </c>
      <c r="F27" s="6">
        <v>172800</v>
      </c>
      <c r="G27" s="9">
        <v>1.1121289171033177E-12</v>
      </c>
      <c r="H27" s="10">
        <f t="shared" si="0"/>
        <v>0.87675738234805478</v>
      </c>
      <c r="I27" s="6">
        <v>1.91</v>
      </c>
      <c r="J27" s="6" t="s">
        <v>546</v>
      </c>
      <c r="K27" s="6">
        <v>37.700000000000003</v>
      </c>
      <c r="L27" s="6">
        <v>1</v>
      </c>
      <c r="M27" s="6">
        <v>1</v>
      </c>
      <c r="N27" s="6">
        <v>1</v>
      </c>
      <c r="O27" s="6">
        <v>0</v>
      </c>
      <c r="P27" s="6">
        <v>34.229999999999997</v>
      </c>
      <c r="Q27" s="6">
        <v>4.8899999999999997</v>
      </c>
      <c r="R27" s="6">
        <v>11.67</v>
      </c>
      <c r="T27" s="6">
        <v>12.39</v>
      </c>
      <c r="V27" s="6">
        <v>10.83</v>
      </c>
      <c r="W27" s="6">
        <v>17.05</v>
      </c>
      <c r="X27" s="6">
        <v>1.57</v>
      </c>
      <c r="Y27" s="6">
        <v>1.7</v>
      </c>
      <c r="Z27" s="6">
        <v>2.6</v>
      </c>
      <c r="AA27" s="6">
        <v>0.4</v>
      </c>
      <c r="AB27" s="6">
        <v>97.33</v>
      </c>
      <c r="AE27" s="6" t="s">
        <v>1117</v>
      </c>
    </row>
    <row r="28" spans="1:31" s="6" customFormat="1">
      <c r="A28" s="8" t="s">
        <v>1070</v>
      </c>
      <c r="B28" s="6" t="s">
        <v>553</v>
      </c>
      <c r="C28" s="8" t="s">
        <v>536</v>
      </c>
      <c r="D28" s="6">
        <v>1085</v>
      </c>
      <c r="E28" s="8">
        <v>15</v>
      </c>
      <c r="F28" s="6">
        <v>172800</v>
      </c>
      <c r="G28" s="9">
        <v>1.1121289171033177E-12</v>
      </c>
      <c r="H28" s="10">
        <f t="shared" si="0"/>
        <v>0.87675738234805478</v>
      </c>
      <c r="I28" s="6">
        <v>1.91</v>
      </c>
      <c r="J28" s="6" t="s">
        <v>546</v>
      </c>
      <c r="K28" s="6">
        <v>42</v>
      </c>
      <c r="L28" s="6">
        <v>1</v>
      </c>
      <c r="M28" s="6">
        <v>1</v>
      </c>
      <c r="N28" s="6">
        <v>1</v>
      </c>
      <c r="O28" s="6">
        <v>0</v>
      </c>
      <c r="P28" s="6">
        <v>35.619999999999997</v>
      </c>
      <c r="Q28" s="6">
        <v>5.27</v>
      </c>
      <c r="R28" s="6">
        <v>13.11</v>
      </c>
      <c r="T28" s="6">
        <v>12.09</v>
      </c>
      <c r="V28" s="6">
        <v>10.4</v>
      </c>
      <c r="W28" s="6">
        <v>14.56</v>
      </c>
      <c r="X28" s="6">
        <v>1.92</v>
      </c>
      <c r="Y28" s="6">
        <v>1.67</v>
      </c>
      <c r="Z28" s="6">
        <v>2.7</v>
      </c>
      <c r="AA28" s="6">
        <v>1.02</v>
      </c>
      <c r="AB28" s="6">
        <v>97.84</v>
      </c>
      <c r="AE28" s="6" t="s">
        <v>1148</v>
      </c>
    </row>
    <row r="29" spans="1:31" s="6" customFormat="1">
      <c r="A29" s="8" t="s">
        <v>1070</v>
      </c>
      <c r="B29" s="6" t="s">
        <v>554</v>
      </c>
      <c r="C29" s="8" t="s">
        <v>536</v>
      </c>
      <c r="D29" s="6">
        <v>1110</v>
      </c>
      <c r="E29" s="8">
        <v>15</v>
      </c>
      <c r="F29" s="6">
        <v>604800</v>
      </c>
      <c r="G29" s="9">
        <v>1.407170091714212E-12</v>
      </c>
      <c r="H29" s="10">
        <f t="shared" si="0"/>
        <v>1.8450544398133681</v>
      </c>
      <c r="I29" s="6">
        <v>1.91</v>
      </c>
      <c r="J29" s="6" t="s">
        <v>549</v>
      </c>
      <c r="K29" s="6">
        <v>47.5</v>
      </c>
      <c r="L29" s="6">
        <v>1</v>
      </c>
      <c r="M29" s="6">
        <v>1</v>
      </c>
      <c r="N29" s="6">
        <v>1</v>
      </c>
      <c r="O29" s="6">
        <v>0</v>
      </c>
      <c r="P29" s="6">
        <v>34.14</v>
      </c>
      <c r="Q29" s="6">
        <v>5.54</v>
      </c>
      <c r="R29" s="6">
        <v>14.34</v>
      </c>
      <c r="T29" s="6">
        <v>9.4600000000000009</v>
      </c>
      <c r="V29" s="6">
        <v>11.85</v>
      </c>
      <c r="W29" s="6">
        <v>13.67</v>
      </c>
      <c r="X29" s="6">
        <v>1.97</v>
      </c>
      <c r="Y29" s="6">
        <v>2.4300000000000002</v>
      </c>
      <c r="Z29" s="6">
        <v>2.97</v>
      </c>
      <c r="AA29" s="6">
        <v>0.19</v>
      </c>
      <c r="AB29" s="6">
        <v>96.66</v>
      </c>
      <c r="AE29" s="6" t="s">
        <v>1117</v>
      </c>
    </row>
    <row r="30" spans="1:31" s="6" customFormat="1">
      <c r="A30" s="8" t="s">
        <v>1070</v>
      </c>
      <c r="B30" s="6" t="s">
        <v>555</v>
      </c>
      <c r="C30" s="8" t="s">
        <v>536</v>
      </c>
      <c r="D30" s="6">
        <v>1135</v>
      </c>
      <c r="E30" s="8">
        <v>15</v>
      </c>
      <c r="F30" s="6">
        <v>93600</v>
      </c>
      <c r="G30" s="9">
        <v>1.765669792484909E-12</v>
      </c>
      <c r="H30" s="10">
        <f t="shared" si="0"/>
        <v>0.81306012711628528</v>
      </c>
      <c r="I30" s="6">
        <v>1.91</v>
      </c>
      <c r="J30" s="6" t="s">
        <v>549</v>
      </c>
      <c r="K30" s="6">
        <v>55.6</v>
      </c>
      <c r="L30" s="6">
        <v>1</v>
      </c>
      <c r="M30" s="6">
        <v>1</v>
      </c>
      <c r="N30" s="6">
        <v>1</v>
      </c>
      <c r="O30" s="6">
        <v>0</v>
      </c>
      <c r="P30" s="6">
        <v>35.380000000000003</v>
      </c>
      <c r="Q30" s="6">
        <v>4.2300000000000004</v>
      </c>
      <c r="R30" s="6">
        <v>11.63</v>
      </c>
      <c r="T30" s="6">
        <v>7.8</v>
      </c>
      <c r="V30" s="6">
        <v>12.23</v>
      </c>
      <c r="W30" s="6">
        <v>17.07</v>
      </c>
      <c r="X30" s="6">
        <v>1</v>
      </c>
      <c r="Y30" s="6">
        <v>2.76</v>
      </c>
      <c r="Z30" s="6">
        <v>3.54</v>
      </c>
      <c r="AA30" s="6">
        <v>1.02</v>
      </c>
      <c r="AB30" s="6">
        <v>95.85</v>
      </c>
      <c r="AE30" s="6" t="s">
        <v>1148</v>
      </c>
    </row>
    <row r="31" spans="1:31" s="6" customFormat="1">
      <c r="A31" s="8" t="s">
        <v>1070</v>
      </c>
      <c r="B31" s="6" t="s">
        <v>556</v>
      </c>
      <c r="C31" s="8" t="s">
        <v>536</v>
      </c>
      <c r="D31" s="6">
        <v>1175</v>
      </c>
      <c r="E31" s="8">
        <v>15</v>
      </c>
      <c r="F31" s="6">
        <v>72000</v>
      </c>
      <c r="G31" s="9">
        <v>2.4976509404864008E-12</v>
      </c>
      <c r="H31" s="10">
        <f t="shared" si="0"/>
        <v>0.84812939511614827</v>
      </c>
      <c r="I31" s="6">
        <v>1.91</v>
      </c>
      <c r="J31" s="6" t="s">
        <v>541</v>
      </c>
      <c r="K31" s="6">
        <v>68.3</v>
      </c>
      <c r="L31" s="6">
        <v>1</v>
      </c>
      <c r="M31" s="6">
        <v>1</v>
      </c>
      <c r="N31" s="6">
        <v>1</v>
      </c>
      <c r="O31" s="6">
        <v>0</v>
      </c>
      <c r="P31" s="6">
        <v>35.58</v>
      </c>
      <c r="Q31" s="6">
        <v>3.56</v>
      </c>
      <c r="R31" s="6">
        <v>11.62</v>
      </c>
      <c r="T31" s="6">
        <v>9.2100000000000009</v>
      </c>
      <c r="V31" s="6">
        <v>12.68</v>
      </c>
      <c r="W31" s="6">
        <v>16.87</v>
      </c>
      <c r="X31" s="6">
        <v>1.18</v>
      </c>
      <c r="Y31" s="6">
        <v>2.46</v>
      </c>
      <c r="Z31" s="6">
        <v>3.82</v>
      </c>
      <c r="AA31" s="6">
        <v>1.36</v>
      </c>
      <c r="AB31" s="6">
        <v>97.62</v>
      </c>
      <c r="AE31" s="6" t="s">
        <v>1149</v>
      </c>
    </row>
    <row r="32" spans="1:31" s="6" customFormat="1">
      <c r="A32" s="8" t="s">
        <v>1079</v>
      </c>
      <c r="B32" s="6">
        <v>940</v>
      </c>
      <c r="C32" s="8" t="s">
        <v>31</v>
      </c>
      <c r="D32" s="6">
        <v>940</v>
      </c>
      <c r="E32" s="8">
        <v>1</v>
      </c>
      <c r="F32" s="8">
        <f>96*3600</f>
        <v>345600</v>
      </c>
      <c r="G32" s="9">
        <v>2.3463213846111042E-13</v>
      </c>
      <c r="H32" s="10">
        <f t="shared" si="0"/>
        <v>0.56952214022690906</v>
      </c>
      <c r="I32" s="6" t="s">
        <v>41</v>
      </c>
      <c r="J32" s="6" t="s">
        <v>621</v>
      </c>
      <c r="L32" s="6">
        <v>1</v>
      </c>
      <c r="M32" s="6">
        <v>1</v>
      </c>
      <c r="N32" s="6">
        <v>1</v>
      </c>
      <c r="O32" s="8">
        <v>1</v>
      </c>
      <c r="P32" s="6">
        <v>63.85</v>
      </c>
      <c r="Q32" s="6">
        <v>0.82</v>
      </c>
      <c r="R32" s="6">
        <v>16.63</v>
      </c>
      <c r="S32" s="6">
        <v>0.01</v>
      </c>
      <c r="T32" s="6">
        <v>2.94</v>
      </c>
      <c r="U32" s="6">
        <v>0.02</v>
      </c>
      <c r="V32" s="6">
        <v>0.87</v>
      </c>
      <c r="W32" s="6">
        <v>2.35</v>
      </c>
      <c r="X32" s="6">
        <v>4.62</v>
      </c>
      <c r="Y32" s="6">
        <v>0.77</v>
      </c>
      <c r="Z32" s="6">
        <v>0.11</v>
      </c>
      <c r="AA32" s="6">
        <v>0.04</v>
      </c>
      <c r="AB32" s="6">
        <f>SUM(P32:Z32)</f>
        <v>92.99</v>
      </c>
      <c r="AD32" s="6" t="s">
        <v>622</v>
      </c>
      <c r="AE32" s="6" t="s">
        <v>1151</v>
      </c>
    </row>
    <row r="33" spans="1:31" s="6" customFormat="1">
      <c r="A33" s="8" t="s">
        <v>1050</v>
      </c>
      <c r="B33" s="6" t="s">
        <v>221</v>
      </c>
      <c r="C33" s="6" t="s">
        <v>1160</v>
      </c>
      <c r="D33" s="6">
        <v>1000</v>
      </c>
      <c r="E33" s="8">
        <v>5</v>
      </c>
      <c r="F33" s="8">
        <f t="shared" ref="F33:F50" si="1">24*3600</f>
        <v>86400</v>
      </c>
      <c r="G33" s="9">
        <v>4.6632042652511761E-13</v>
      </c>
      <c r="H33" s="10">
        <f t="shared" si="0"/>
        <v>0.40144780408800429</v>
      </c>
      <c r="I33" s="6">
        <v>5</v>
      </c>
      <c r="L33" s="6">
        <v>1</v>
      </c>
      <c r="M33" s="6">
        <v>0</v>
      </c>
      <c r="N33" s="6">
        <v>0</v>
      </c>
      <c r="O33" s="8">
        <v>0</v>
      </c>
      <c r="P33" s="6">
        <v>59.95</v>
      </c>
      <c r="Q33" s="6">
        <v>0.44</v>
      </c>
      <c r="R33" s="6">
        <v>17.989999999999998</v>
      </c>
      <c r="T33" s="6">
        <v>1.68</v>
      </c>
      <c r="V33" s="6">
        <v>1.93</v>
      </c>
      <c r="W33" s="6">
        <v>1.62</v>
      </c>
      <c r="X33" s="6">
        <v>6.19</v>
      </c>
      <c r="Y33" s="6">
        <v>4.26</v>
      </c>
      <c r="Z33" s="6">
        <v>1.04</v>
      </c>
      <c r="AA33" s="6">
        <v>0.05</v>
      </c>
      <c r="AB33" s="6">
        <v>95.1</v>
      </c>
      <c r="AE33" s="6" t="s">
        <v>1116</v>
      </c>
    </row>
    <row r="34" spans="1:31" s="6" customFormat="1">
      <c r="A34" s="8" t="s">
        <v>1050</v>
      </c>
      <c r="B34" s="6" t="s">
        <v>223</v>
      </c>
      <c r="C34" s="6" t="s">
        <v>1160</v>
      </c>
      <c r="D34" s="6">
        <v>1000</v>
      </c>
      <c r="E34" s="8">
        <v>5</v>
      </c>
      <c r="F34" s="8">
        <f t="shared" si="1"/>
        <v>86400</v>
      </c>
      <c r="G34" s="9">
        <v>4.6632042652511761E-13</v>
      </c>
      <c r="H34" s="10">
        <f t="shared" si="0"/>
        <v>0.40144780408800429</v>
      </c>
      <c r="I34" s="6">
        <v>5</v>
      </c>
      <c r="L34" s="6">
        <v>1</v>
      </c>
      <c r="M34" s="6">
        <v>0</v>
      </c>
      <c r="N34" s="6">
        <v>0</v>
      </c>
      <c r="O34" s="8">
        <v>0</v>
      </c>
      <c r="P34" s="6">
        <v>58.13</v>
      </c>
      <c r="Q34" s="6">
        <v>0.4</v>
      </c>
      <c r="R34" s="6">
        <v>17.14</v>
      </c>
      <c r="T34" s="6">
        <v>1.63</v>
      </c>
      <c r="V34" s="6">
        <v>1.86</v>
      </c>
      <c r="W34" s="6">
        <v>1.33</v>
      </c>
      <c r="X34" s="6">
        <v>5.46</v>
      </c>
      <c r="Y34" s="6">
        <v>7.12</v>
      </c>
      <c r="Z34" s="6">
        <v>0.98</v>
      </c>
      <c r="AA34" s="6">
        <v>0.03</v>
      </c>
      <c r="AB34" s="6">
        <v>94.07</v>
      </c>
      <c r="AE34" s="6" t="s">
        <v>1116</v>
      </c>
    </row>
    <row r="35" spans="1:31" s="6" customFormat="1">
      <c r="A35" s="8" t="s">
        <v>1050</v>
      </c>
      <c r="B35" s="6" t="s">
        <v>224</v>
      </c>
      <c r="C35" s="6" t="s">
        <v>1160</v>
      </c>
      <c r="D35" s="6">
        <v>1000</v>
      </c>
      <c r="E35" s="8">
        <v>5</v>
      </c>
      <c r="F35" s="8">
        <f t="shared" si="1"/>
        <v>86400</v>
      </c>
      <c r="G35" s="9">
        <v>4.6632042652511761E-13</v>
      </c>
      <c r="H35" s="10">
        <f t="shared" si="0"/>
        <v>0.40144780408800429</v>
      </c>
      <c r="I35" s="6">
        <v>5</v>
      </c>
      <c r="L35" s="6">
        <v>1</v>
      </c>
      <c r="M35" s="6">
        <v>0</v>
      </c>
      <c r="N35" s="6">
        <v>0</v>
      </c>
      <c r="O35" s="8">
        <v>0</v>
      </c>
      <c r="P35" s="6">
        <v>57.92</v>
      </c>
      <c r="Q35" s="6">
        <v>0.38</v>
      </c>
      <c r="R35" s="6">
        <v>17.11</v>
      </c>
      <c r="T35" s="6">
        <v>1.52</v>
      </c>
      <c r="V35" s="6">
        <v>1.8</v>
      </c>
      <c r="W35" s="6">
        <v>1.02</v>
      </c>
      <c r="X35" s="6">
        <v>5.73</v>
      </c>
      <c r="Y35" s="6">
        <v>9.67</v>
      </c>
      <c r="Z35" s="6">
        <v>0.75</v>
      </c>
      <c r="AA35" s="6">
        <v>0.05</v>
      </c>
      <c r="AB35" s="6">
        <v>95.91</v>
      </c>
      <c r="AE35" s="6" t="s">
        <v>1133</v>
      </c>
    </row>
    <row r="36" spans="1:31" s="6" customFormat="1">
      <c r="A36" s="8" t="s">
        <v>1050</v>
      </c>
      <c r="B36" s="6" t="s">
        <v>225</v>
      </c>
      <c r="C36" s="6" t="s">
        <v>1160</v>
      </c>
      <c r="D36" s="6">
        <v>1000</v>
      </c>
      <c r="E36" s="8">
        <v>15</v>
      </c>
      <c r="F36" s="8">
        <f t="shared" si="1"/>
        <v>86400</v>
      </c>
      <c r="G36" s="9">
        <v>4.6632042652511761E-13</v>
      </c>
      <c r="H36" s="10">
        <f t="shared" si="0"/>
        <v>0.40144780408800429</v>
      </c>
      <c r="I36" s="6">
        <v>5</v>
      </c>
      <c r="L36" s="6">
        <v>1</v>
      </c>
      <c r="M36" s="6">
        <v>0</v>
      </c>
      <c r="N36" s="6">
        <v>0</v>
      </c>
      <c r="O36" s="8">
        <v>0</v>
      </c>
      <c r="P36" s="6">
        <v>60.27</v>
      </c>
      <c r="Q36" s="6">
        <v>0.44</v>
      </c>
      <c r="R36" s="6">
        <v>17.649999999999999</v>
      </c>
      <c r="T36" s="6">
        <v>1.34</v>
      </c>
      <c r="V36" s="6">
        <v>1.6</v>
      </c>
      <c r="W36" s="6">
        <v>1.43</v>
      </c>
      <c r="X36" s="6">
        <v>6.33</v>
      </c>
      <c r="Y36" s="6">
        <v>4.38</v>
      </c>
      <c r="Z36" s="6">
        <v>1</v>
      </c>
      <c r="AA36" s="6">
        <v>0.05</v>
      </c>
      <c r="AB36" s="6">
        <v>94.51</v>
      </c>
      <c r="AE36" s="6" t="s">
        <v>1116</v>
      </c>
    </row>
    <row r="37" spans="1:31" s="6" customFormat="1">
      <c r="A37" s="8" t="s">
        <v>1050</v>
      </c>
      <c r="B37" s="6" t="s">
        <v>226</v>
      </c>
      <c r="C37" s="6" t="s">
        <v>1160</v>
      </c>
      <c r="D37" s="6">
        <v>1000</v>
      </c>
      <c r="E37" s="8">
        <v>15</v>
      </c>
      <c r="F37" s="8">
        <f t="shared" si="1"/>
        <v>86400</v>
      </c>
      <c r="G37" s="9">
        <v>4.6632042652511761E-13</v>
      </c>
      <c r="H37" s="10">
        <f t="shared" si="0"/>
        <v>0.40144780408800429</v>
      </c>
      <c r="I37" s="6">
        <v>5</v>
      </c>
      <c r="L37" s="6">
        <v>1</v>
      </c>
      <c r="M37" s="6">
        <v>0</v>
      </c>
      <c r="N37" s="6">
        <v>0</v>
      </c>
      <c r="O37" s="8">
        <v>0</v>
      </c>
      <c r="P37" s="6">
        <v>59.49</v>
      </c>
      <c r="Q37" s="6">
        <v>0.24</v>
      </c>
      <c r="R37" s="6">
        <v>17.71</v>
      </c>
      <c r="T37" s="6">
        <v>1.21</v>
      </c>
      <c r="V37" s="6">
        <v>0.97</v>
      </c>
      <c r="W37" s="6">
        <v>0.77</v>
      </c>
      <c r="X37" s="6">
        <v>6.34</v>
      </c>
      <c r="Y37" s="6">
        <v>7.33</v>
      </c>
      <c r="Z37" s="6">
        <v>0.77</v>
      </c>
      <c r="AA37" s="6">
        <v>7.0000000000000007E-2</v>
      </c>
      <c r="AB37" s="6">
        <v>94.88</v>
      </c>
      <c r="AE37" s="6" t="s">
        <v>1116</v>
      </c>
    </row>
    <row r="38" spans="1:31" s="6" customFormat="1">
      <c r="A38" s="8" t="s">
        <v>1050</v>
      </c>
      <c r="B38" s="6" t="s">
        <v>227</v>
      </c>
      <c r="C38" s="6" t="s">
        <v>1160</v>
      </c>
      <c r="D38" s="6">
        <v>1000</v>
      </c>
      <c r="E38" s="8">
        <v>15</v>
      </c>
      <c r="F38" s="8">
        <f t="shared" si="1"/>
        <v>86400</v>
      </c>
      <c r="G38" s="9">
        <v>4.6632042652511761E-13</v>
      </c>
      <c r="H38" s="10">
        <f t="shared" si="0"/>
        <v>0.40144780408800429</v>
      </c>
      <c r="I38" s="6">
        <v>5</v>
      </c>
      <c r="L38" s="6">
        <v>1</v>
      </c>
      <c r="M38" s="6">
        <v>0</v>
      </c>
      <c r="N38" s="6">
        <v>0</v>
      </c>
      <c r="O38" s="8">
        <v>0</v>
      </c>
      <c r="P38" s="6">
        <v>58.06</v>
      </c>
      <c r="Q38" s="6">
        <v>0.18</v>
      </c>
      <c r="R38" s="6">
        <v>16</v>
      </c>
      <c r="T38" s="6">
        <v>1.4</v>
      </c>
      <c r="V38" s="6">
        <v>1.1599999999999999</v>
      </c>
      <c r="W38" s="6">
        <v>0.7</v>
      </c>
      <c r="X38" s="6">
        <v>6.02</v>
      </c>
      <c r="Y38" s="6">
        <v>8.81</v>
      </c>
      <c r="Z38" s="6">
        <v>0.63</v>
      </c>
      <c r="AA38" s="6">
        <v>7.0000000000000007E-2</v>
      </c>
      <c r="AB38" s="6">
        <v>93.03</v>
      </c>
      <c r="AE38" s="6" t="s">
        <v>1116</v>
      </c>
    </row>
    <row r="39" spans="1:31" s="6" customFormat="1">
      <c r="A39" s="8" t="s">
        <v>1050</v>
      </c>
      <c r="B39" s="6" t="s">
        <v>228</v>
      </c>
      <c r="C39" s="6" t="s">
        <v>1160</v>
      </c>
      <c r="D39" s="6">
        <v>1000</v>
      </c>
      <c r="E39" s="8">
        <v>25</v>
      </c>
      <c r="F39" s="8">
        <f t="shared" si="1"/>
        <v>86400</v>
      </c>
      <c r="G39" s="9">
        <v>4.6632042652511761E-13</v>
      </c>
      <c r="H39" s="10">
        <f t="shared" si="0"/>
        <v>0.40144780408800429</v>
      </c>
      <c r="I39" s="6">
        <v>10</v>
      </c>
      <c r="L39" s="6">
        <v>1</v>
      </c>
      <c r="M39" s="6">
        <v>0</v>
      </c>
      <c r="N39" s="6">
        <v>0</v>
      </c>
      <c r="O39" s="8">
        <v>0</v>
      </c>
      <c r="P39" s="6">
        <v>57.43</v>
      </c>
      <c r="Q39" s="6">
        <v>0.41</v>
      </c>
      <c r="R39" s="6">
        <v>17.11</v>
      </c>
      <c r="T39" s="6">
        <v>1.53</v>
      </c>
      <c r="V39" s="6">
        <v>1.6</v>
      </c>
      <c r="W39" s="6">
        <v>1.7</v>
      </c>
      <c r="X39" s="6">
        <v>5.4</v>
      </c>
      <c r="Y39" s="6">
        <v>3.93</v>
      </c>
      <c r="Z39" s="6">
        <v>1.1399999999999999</v>
      </c>
      <c r="AA39" s="6">
        <v>0.05</v>
      </c>
      <c r="AB39" s="6">
        <v>90.26</v>
      </c>
      <c r="AE39" s="6" t="s">
        <v>1134</v>
      </c>
    </row>
    <row r="40" spans="1:31" s="6" customFormat="1">
      <c r="A40" s="8" t="s">
        <v>1050</v>
      </c>
      <c r="B40" s="6" t="s">
        <v>229</v>
      </c>
      <c r="C40" s="6" t="s">
        <v>1160</v>
      </c>
      <c r="D40" s="6">
        <v>1000</v>
      </c>
      <c r="E40" s="8">
        <v>25</v>
      </c>
      <c r="F40" s="8">
        <f t="shared" si="1"/>
        <v>86400</v>
      </c>
      <c r="G40" s="9">
        <v>4.6632042652511761E-13</v>
      </c>
      <c r="H40" s="10">
        <f t="shared" si="0"/>
        <v>0.40144780408800429</v>
      </c>
      <c r="I40" s="6">
        <v>10</v>
      </c>
      <c r="L40" s="6">
        <v>1</v>
      </c>
      <c r="M40" s="6">
        <v>0</v>
      </c>
      <c r="N40" s="6">
        <v>0</v>
      </c>
      <c r="O40" s="8">
        <v>0</v>
      </c>
      <c r="P40" s="6">
        <v>56.95</v>
      </c>
      <c r="Q40" s="6">
        <v>0.26</v>
      </c>
      <c r="R40" s="6">
        <v>15.76</v>
      </c>
      <c r="T40" s="6">
        <v>1.6</v>
      </c>
      <c r="V40" s="6">
        <v>1.67</v>
      </c>
      <c r="W40" s="6">
        <v>1.46</v>
      </c>
      <c r="X40" s="6">
        <v>5.08</v>
      </c>
      <c r="Y40" s="6">
        <v>6.01</v>
      </c>
      <c r="Z40" s="6">
        <v>1.1299999999999999</v>
      </c>
      <c r="AA40" s="6">
        <v>0.05</v>
      </c>
      <c r="AB40" s="6">
        <v>89.93</v>
      </c>
      <c r="AE40" s="6" t="s">
        <v>1134</v>
      </c>
    </row>
    <row r="41" spans="1:31" s="6" customFormat="1">
      <c r="A41" s="8" t="s">
        <v>1050</v>
      </c>
      <c r="B41" s="6" t="s">
        <v>230</v>
      </c>
      <c r="C41" s="6" t="s">
        <v>1160</v>
      </c>
      <c r="D41" s="6">
        <v>1000</v>
      </c>
      <c r="E41" s="8">
        <v>25</v>
      </c>
      <c r="F41" s="8">
        <f t="shared" si="1"/>
        <v>86400</v>
      </c>
      <c r="G41" s="9">
        <v>4.6632042652511761E-13</v>
      </c>
      <c r="H41" s="10">
        <f t="shared" si="0"/>
        <v>0.40144780408800429</v>
      </c>
      <c r="I41" s="6">
        <v>10</v>
      </c>
      <c r="L41" s="6">
        <v>1</v>
      </c>
      <c r="M41" s="6">
        <v>0</v>
      </c>
      <c r="N41" s="6">
        <v>0</v>
      </c>
      <c r="O41" s="8">
        <v>0</v>
      </c>
      <c r="P41" s="6">
        <v>56.55</v>
      </c>
      <c r="Q41" s="6">
        <v>0.22</v>
      </c>
      <c r="R41" s="6">
        <v>15.96</v>
      </c>
      <c r="T41" s="6">
        <v>1.35</v>
      </c>
      <c r="V41" s="6">
        <v>1.03</v>
      </c>
      <c r="W41" s="6">
        <v>0.81</v>
      </c>
      <c r="X41" s="6">
        <v>5.39</v>
      </c>
      <c r="Y41" s="6">
        <v>8.4499999999999993</v>
      </c>
      <c r="Z41" s="6">
        <v>0.79</v>
      </c>
      <c r="AA41" s="6">
        <v>7.0000000000000007E-2</v>
      </c>
      <c r="AB41" s="6">
        <v>90.58</v>
      </c>
      <c r="AE41" s="6" t="s">
        <v>1134</v>
      </c>
    </row>
    <row r="42" spans="1:31" s="6" customFormat="1">
      <c r="A42" s="8" t="s">
        <v>1050</v>
      </c>
      <c r="B42" s="6" t="s">
        <v>231</v>
      </c>
      <c r="C42" s="6" t="s">
        <v>1160</v>
      </c>
      <c r="D42" s="6">
        <v>1000</v>
      </c>
      <c r="E42" s="8">
        <v>35</v>
      </c>
      <c r="F42" s="8">
        <f t="shared" si="1"/>
        <v>86400</v>
      </c>
      <c r="G42" s="9">
        <v>4.6632042652511761E-13</v>
      </c>
      <c r="H42" s="10">
        <f t="shared" si="0"/>
        <v>0.40144780408800429</v>
      </c>
      <c r="I42" s="6">
        <v>10</v>
      </c>
      <c r="L42" s="6">
        <v>1</v>
      </c>
      <c r="M42" s="6">
        <v>0</v>
      </c>
      <c r="N42" s="6">
        <v>0</v>
      </c>
      <c r="O42" s="8">
        <v>0</v>
      </c>
      <c r="P42" s="6">
        <v>58.61</v>
      </c>
      <c r="Q42" s="6">
        <v>0.43</v>
      </c>
      <c r="R42" s="6">
        <v>14.64</v>
      </c>
      <c r="T42" s="6">
        <v>0.75</v>
      </c>
      <c r="V42" s="6">
        <v>1.27</v>
      </c>
      <c r="W42" s="6">
        <v>0.71</v>
      </c>
      <c r="X42" s="6">
        <v>6</v>
      </c>
      <c r="Y42" s="6">
        <v>4.8899999999999997</v>
      </c>
      <c r="Z42" s="6">
        <v>2.14</v>
      </c>
      <c r="AA42" s="6">
        <v>0.11</v>
      </c>
      <c r="AB42" s="6">
        <v>89.43</v>
      </c>
      <c r="AE42" s="6" t="s">
        <v>1134</v>
      </c>
    </row>
    <row r="43" spans="1:31" s="6" customFormat="1">
      <c r="A43" s="8" t="s">
        <v>1050</v>
      </c>
      <c r="B43" s="6" t="s">
        <v>232</v>
      </c>
      <c r="C43" s="6" t="s">
        <v>1160</v>
      </c>
      <c r="D43" s="6">
        <v>1000</v>
      </c>
      <c r="E43" s="8">
        <v>35</v>
      </c>
      <c r="F43" s="8">
        <f t="shared" si="1"/>
        <v>86400</v>
      </c>
      <c r="G43" s="9">
        <v>4.6632042652511761E-13</v>
      </c>
      <c r="H43" s="10">
        <f t="shared" si="0"/>
        <v>0.40144780408800429</v>
      </c>
      <c r="I43" s="6">
        <v>10</v>
      </c>
      <c r="L43" s="6">
        <v>1</v>
      </c>
      <c r="M43" s="6">
        <v>0</v>
      </c>
      <c r="N43" s="6">
        <v>0</v>
      </c>
      <c r="O43" s="8">
        <v>0</v>
      </c>
      <c r="P43" s="6">
        <v>57.44</v>
      </c>
      <c r="Q43" s="6">
        <v>0.2</v>
      </c>
      <c r="R43" s="6">
        <v>14.87</v>
      </c>
      <c r="T43" s="6">
        <v>0.68</v>
      </c>
      <c r="V43" s="6">
        <v>0.67</v>
      </c>
      <c r="W43" s="6">
        <v>0.45</v>
      </c>
      <c r="X43" s="6">
        <v>5.5</v>
      </c>
      <c r="Y43" s="6">
        <v>7.42</v>
      </c>
      <c r="Z43" s="6">
        <v>2.11</v>
      </c>
      <c r="AA43" s="6">
        <v>0.16</v>
      </c>
      <c r="AB43" s="6">
        <v>89.34</v>
      </c>
      <c r="AE43" s="6" t="s">
        <v>1134</v>
      </c>
    </row>
    <row r="44" spans="1:31" s="6" customFormat="1">
      <c r="A44" s="8" t="s">
        <v>1050</v>
      </c>
      <c r="B44" s="6" t="s">
        <v>233</v>
      </c>
      <c r="C44" s="6" t="s">
        <v>1160</v>
      </c>
      <c r="D44" s="6">
        <v>1000</v>
      </c>
      <c r="E44" s="8">
        <v>35</v>
      </c>
      <c r="F44" s="8">
        <f t="shared" si="1"/>
        <v>86400</v>
      </c>
      <c r="G44" s="9">
        <v>4.6632042652511761E-13</v>
      </c>
      <c r="H44" s="10">
        <f t="shared" si="0"/>
        <v>0.40144780408800429</v>
      </c>
      <c r="I44" s="6">
        <v>10</v>
      </c>
      <c r="L44" s="6">
        <v>1</v>
      </c>
      <c r="M44" s="6">
        <v>0</v>
      </c>
      <c r="N44" s="6">
        <v>0</v>
      </c>
      <c r="O44" s="8">
        <v>0</v>
      </c>
      <c r="P44" s="6">
        <v>56.28</v>
      </c>
      <c r="Q44" s="6">
        <v>0.14000000000000001</v>
      </c>
      <c r="R44" s="6">
        <v>15.05</v>
      </c>
      <c r="T44" s="6">
        <v>0.4</v>
      </c>
      <c r="V44" s="6">
        <v>0.2</v>
      </c>
      <c r="W44" s="6">
        <v>0.2</v>
      </c>
      <c r="X44" s="6">
        <v>5.5</v>
      </c>
      <c r="Y44" s="6">
        <v>9.7100000000000009</v>
      </c>
      <c r="Z44" s="6">
        <v>1.9</v>
      </c>
      <c r="AA44" s="6">
        <v>0.11</v>
      </c>
      <c r="AB44" s="6">
        <v>89.4</v>
      </c>
      <c r="AE44" s="6" t="s">
        <v>1135</v>
      </c>
    </row>
    <row r="45" spans="1:31" s="6" customFormat="1">
      <c r="A45" s="8" t="s">
        <v>1050</v>
      </c>
      <c r="B45" s="6" t="s">
        <v>238</v>
      </c>
      <c r="C45" s="6" t="s">
        <v>1160</v>
      </c>
      <c r="D45" s="6">
        <v>1000</v>
      </c>
      <c r="E45" s="8">
        <v>25</v>
      </c>
      <c r="F45" s="8">
        <f t="shared" si="1"/>
        <v>86400</v>
      </c>
      <c r="G45" s="9">
        <v>4.6632042652511761E-13</v>
      </c>
      <c r="H45" s="10">
        <f t="shared" si="0"/>
        <v>0.40144780408800429</v>
      </c>
      <c r="I45" s="6">
        <v>10</v>
      </c>
      <c r="L45" s="6">
        <v>1</v>
      </c>
      <c r="M45" s="6">
        <v>0</v>
      </c>
      <c r="N45" s="6">
        <v>0</v>
      </c>
      <c r="O45" s="8">
        <v>0</v>
      </c>
      <c r="P45" s="6">
        <v>62.99</v>
      </c>
      <c r="Q45" s="6">
        <v>0.31</v>
      </c>
      <c r="R45" s="6">
        <v>15.59</v>
      </c>
      <c r="T45" s="6">
        <v>2.5099999999999998</v>
      </c>
      <c r="V45" s="6">
        <v>0.9</v>
      </c>
      <c r="W45" s="6">
        <v>4.13</v>
      </c>
      <c r="X45" s="6">
        <v>4.1100000000000003</v>
      </c>
      <c r="Y45" s="6">
        <v>1.26</v>
      </c>
      <c r="Z45" s="6">
        <v>0.49</v>
      </c>
      <c r="AA45" s="6">
        <v>0.03</v>
      </c>
      <c r="AB45" s="6">
        <v>92.28</v>
      </c>
      <c r="AE45" s="6" t="s">
        <v>1136</v>
      </c>
    </row>
    <row r="46" spans="1:31" s="6" customFormat="1">
      <c r="A46" s="8" t="s">
        <v>1050</v>
      </c>
      <c r="B46" s="6" t="s">
        <v>239</v>
      </c>
      <c r="C46" s="6" t="s">
        <v>1160</v>
      </c>
      <c r="D46" s="6">
        <v>1000</v>
      </c>
      <c r="E46" s="8">
        <v>25</v>
      </c>
      <c r="F46" s="8">
        <f t="shared" si="1"/>
        <v>86400</v>
      </c>
      <c r="G46" s="9">
        <v>4.6632042652511761E-13</v>
      </c>
      <c r="H46" s="10">
        <f t="shared" si="0"/>
        <v>0.40144780408800429</v>
      </c>
      <c r="I46" s="6">
        <v>10</v>
      </c>
      <c r="L46" s="6">
        <v>1</v>
      </c>
      <c r="M46" s="6">
        <v>0</v>
      </c>
      <c r="N46" s="6">
        <v>0</v>
      </c>
      <c r="O46" s="8">
        <v>0</v>
      </c>
      <c r="P46" s="6">
        <v>65.819999999999993</v>
      </c>
      <c r="Q46" s="6">
        <v>0.21</v>
      </c>
      <c r="R46" s="6">
        <v>16.48</v>
      </c>
      <c r="T46" s="6">
        <v>1.53</v>
      </c>
      <c r="V46" s="6">
        <v>0.42</v>
      </c>
      <c r="W46" s="6">
        <v>2.78</v>
      </c>
      <c r="X46" s="6">
        <v>2.75</v>
      </c>
      <c r="Y46" s="6">
        <v>4.7699999999999996</v>
      </c>
      <c r="Z46" s="6">
        <v>0.34</v>
      </c>
      <c r="AA46" s="6">
        <v>0.02</v>
      </c>
      <c r="AB46" s="6">
        <v>95.1</v>
      </c>
      <c r="AE46" s="6" t="s">
        <v>1136</v>
      </c>
    </row>
    <row r="47" spans="1:31" s="6" customFormat="1">
      <c r="A47" s="8" t="s">
        <v>1050</v>
      </c>
      <c r="B47" s="6" t="s">
        <v>240</v>
      </c>
      <c r="C47" s="6" t="s">
        <v>1160</v>
      </c>
      <c r="D47" s="6">
        <v>1000</v>
      </c>
      <c r="E47" s="8">
        <v>25</v>
      </c>
      <c r="F47" s="8">
        <f t="shared" si="1"/>
        <v>86400</v>
      </c>
      <c r="G47" s="9">
        <v>4.6632042652511761E-13</v>
      </c>
      <c r="H47" s="10">
        <f t="shared" si="0"/>
        <v>0.40144780408800429</v>
      </c>
      <c r="I47" s="6">
        <v>10</v>
      </c>
      <c r="L47" s="6">
        <v>1</v>
      </c>
      <c r="M47" s="6">
        <v>0</v>
      </c>
      <c r="N47" s="6">
        <v>0</v>
      </c>
      <c r="O47" s="8">
        <v>0</v>
      </c>
      <c r="P47" s="6">
        <v>62.06</v>
      </c>
      <c r="Q47" s="6">
        <v>0.17</v>
      </c>
      <c r="R47" s="6">
        <v>16.190000000000001</v>
      </c>
      <c r="T47" s="6">
        <v>1.46</v>
      </c>
      <c r="V47" s="6">
        <v>0.54</v>
      </c>
      <c r="W47" s="6">
        <v>2.36</v>
      </c>
      <c r="X47" s="6">
        <v>2.4300000000000002</v>
      </c>
      <c r="Y47" s="6">
        <v>7.81</v>
      </c>
      <c r="Z47" s="6">
        <v>0.33</v>
      </c>
      <c r="AA47" s="6">
        <v>0.04</v>
      </c>
      <c r="AB47" s="6">
        <v>93.34</v>
      </c>
      <c r="AE47" s="6" t="s">
        <v>1136</v>
      </c>
    </row>
    <row r="48" spans="1:31" s="6" customFormat="1">
      <c r="A48" s="8" t="s">
        <v>1050</v>
      </c>
      <c r="B48" s="6" t="s">
        <v>241</v>
      </c>
      <c r="C48" s="6" t="s">
        <v>1160</v>
      </c>
      <c r="D48" s="6">
        <v>1000</v>
      </c>
      <c r="E48" s="8">
        <v>35</v>
      </c>
      <c r="F48" s="8">
        <f t="shared" si="1"/>
        <v>86400</v>
      </c>
      <c r="G48" s="9">
        <v>4.6632042652511761E-13</v>
      </c>
      <c r="H48" s="10">
        <f t="shared" si="0"/>
        <v>0.40144780408800429</v>
      </c>
      <c r="I48" s="6">
        <v>10</v>
      </c>
      <c r="L48" s="6">
        <v>1</v>
      </c>
      <c r="M48" s="6">
        <v>0</v>
      </c>
      <c r="N48" s="6">
        <v>0</v>
      </c>
      <c r="O48" s="8">
        <v>0</v>
      </c>
      <c r="P48" s="6">
        <v>63.94</v>
      </c>
      <c r="Q48" s="6">
        <v>0.27</v>
      </c>
      <c r="R48" s="6">
        <v>15.22</v>
      </c>
      <c r="T48" s="6">
        <v>1.71</v>
      </c>
      <c r="V48" s="6">
        <v>0.52</v>
      </c>
      <c r="W48" s="6">
        <v>3.41</v>
      </c>
      <c r="X48" s="6">
        <v>3.58</v>
      </c>
      <c r="Y48" s="6">
        <v>1.37</v>
      </c>
      <c r="Z48" s="6">
        <v>0.41</v>
      </c>
      <c r="AA48" s="6">
        <v>0.03</v>
      </c>
      <c r="AB48" s="6">
        <v>90.42</v>
      </c>
      <c r="AE48" s="6" t="s">
        <v>1136</v>
      </c>
    </row>
    <row r="49" spans="1:31" s="6" customFormat="1">
      <c r="A49" s="8" t="s">
        <v>1050</v>
      </c>
      <c r="B49" s="6" t="s">
        <v>242</v>
      </c>
      <c r="C49" s="6" t="s">
        <v>1160</v>
      </c>
      <c r="D49" s="6">
        <v>1000</v>
      </c>
      <c r="E49" s="8">
        <v>35</v>
      </c>
      <c r="F49" s="8">
        <f t="shared" si="1"/>
        <v>86400</v>
      </c>
      <c r="G49" s="9">
        <v>4.6632042652511761E-13</v>
      </c>
      <c r="H49" s="10">
        <f t="shared" si="0"/>
        <v>0.40144780408800429</v>
      </c>
      <c r="I49" s="6">
        <v>10</v>
      </c>
      <c r="L49" s="6">
        <v>1</v>
      </c>
      <c r="M49" s="6">
        <v>0</v>
      </c>
      <c r="N49" s="6">
        <v>0</v>
      </c>
      <c r="O49" s="8">
        <v>0</v>
      </c>
      <c r="P49" s="6">
        <v>65.53</v>
      </c>
      <c r="Q49" s="6">
        <v>0.21</v>
      </c>
      <c r="R49" s="6">
        <v>15.3</v>
      </c>
      <c r="T49" s="6">
        <v>1.04</v>
      </c>
      <c r="V49" s="6">
        <v>0.22</v>
      </c>
      <c r="W49" s="6">
        <v>1.98</v>
      </c>
      <c r="X49" s="6">
        <v>2.94</v>
      </c>
      <c r="Y49" s="6">
        <v>5.32</v>
      </c>
      <c r="Z49" s="6">
        <v>0.27</v>
      </c>
      <c r="AA49" s="6">
        <v>0.04</v>
      </c>
      <c r="AB49" s="6">
        <v>92.83</v>
      </c>
      <c r="AE49" s="6" t="s">
        <v>1136</v>
      </c>
    </row>
    <row r="50" spans="1:31" s="6" customFormat="1">
      <c r="A50" s="8" t="s">
        <v>1050</v>
      </c>
      <c r="B50" s="6" t="s">
        <v>243</v>
      </c>
      <c r="C50" s="6" t="s">
        <v>1160</v>
      </c>
      <c r="D50" s="6">
        <v>1000</v>
      </c>
      <c r="E50" s="8">
        <v>35</v>
      </c>
      <c r="F50" s="8">
        <f t="shared" si="1"/>
        <v>86400</v>
      </c>
      <c r="G50" s="9">
        <v>4.6632042652511761E-13</v>
      </c>
      <c r="H50" s="10">
        <f t="shared" si="0"/>
        <v>0.40144780408800429</v>
      </c>
      <c r="I50" s="6">
        <v>10</v>
      </c>
      <c r="L50" s="6">
        <v>1</v>
      </c>
      <c r="M50" s="6">
        <v>0</v>
      </c>
      <c r="N50" s="6">
        <v>0</v>
      </c>
      <c r="O50" s="8">
        <v>0</v>
      </c>
      <c r="P50" s="6">
        <v>61.95</v>
      </c>
      <c r="Q50" s="6">
        <v>0.14000000000000001</v>
      </c>
      <c r="R50" s="6">
        <v>16.2</v>
      </c>
      <c r="T50" s="6">
        <v>0.85</v>
      </c>
      <c r="V50" s="6">
        <v>0.28000000000000003</v>
      </c>
      <c r="W50" s="6">
        <v>1.78</v>
      </c>
      <c r="X50" s="6">
        <v>2.69</v>
      </c>
      <c r="Y50" s="6">
        <v>8.31</v>
      </c>
      <c r="Z50" s="6">
        <v>0.24</v>
      </c>
      <c r="AA50" s="6">
        <v>0.02</v>
      </c>
      <c r="AB50" s="6">
        <v>92.43</v>
      </c>
      <c r="AE50" s="6" t="s">
        <v>1136</v>
      </c>
    </row>
    <row r="51" spans="1:31" s="6" customFormat="1">
      <c r="A51" s="8" t="s">
        <v>1074</v>
      </c>
      <c r="B51" s="6" t="s">
        <v>585</v>
      </c>
      <c r="C51" s="8" t="s">
        <v>574</v>
      </c>
      <c r="D51" s="6">
        <v>725</v>
      </c>
      <c r="E51" s="8">
        <v>5</v>
      </c>
      <c r="G51" s="9"/>
      <c r="H51" s="10"/>
      <c r="I51" s="6" t="s">
        <v>41</v>
      </c>
      <c r="L51" s="6">
        <v>1</v>
      </c>
      <c r="M51" s="6">
        <v>1</v>
      </c>
      <c r="N51" s="6">
        <v>1</v>
      </c>
      <c r="O51" s="6">
        <v>1</v>
      </c>
      <c r="P51" s="6">
        <v>75.8</v>
      </c>
      <c r="Q51" s="6">
        <v>0.1</v>
      </c>
      <c r="R51" s="6">
        <v>15.8</v>
      </c>
      <c r="T51" s="6">
        <v>1.06</v>
      </c>
      <c r="V51" s="20"/>
      <c r="W51" s="6">
        <v>2.44</v>
      </c>
      <c r="X51" s="6">
        <v>2.4</v>
      </c>
      <c r="Y51" s="6">
        <v>2.4</v>
      </c>
      <c r="Z51" s="6">
        <v>0.01</v>
      </c>
      <c r="AB51" s="6">
        <f t="shared" ref="AB51:AB57" si="2">SUM(P51:Z51)</f>
        <v>100.01</v>
      </c>
      <c r="AC51" s="6">
        <v>9.9066399999999994</v>
      </c>
      <c r="AD51" s="6" t="s">
        <v>43</v>
      </c>
      <c r="AE51" s="6" t="s">
        <v>1150</v>
      </c>
    </row>
    <row r="52" spans="1:31" s="6" customFormat="1">
      <c r="A52" s="8" t="s">
        <v>1074</v>
      </c>
      <c r="B52" s="6" t="s">
        <v>598</v>
      </c>
      <c r="C52" s="8" t="s">
        <v>574</v>
      </c>
      <c r="D52" s="6">
        <v>725</v>
      </c>
      <c r="E52" s="8">
        <v>5</v>
      </c>
      <c r="F52" s="8">
        <f>9*24*3600</f>
        <v>777600</v>
      </c>
      <c r="G52" s="9">
        <v>1.0162452800040882E-14</v>
      </c>
      <c r="H52" s="10">
        <f t="shared" ref="H52:H57" si="3">2*SQRT(G52*F52)*1000</f>
        <v>0.17779002556174842</v>
      </c>
      <c r="I52" s="6" t="s">
        <v>41</v>
      </c>
      <c r="J52" s="6" t="s">
        <v>599</v>
      </c>
      <c r="K52" s="6">
        <v>9.1</v>
      </c>
      <c r="L52" s="6">
        <v>1</v>
      </c>
      <c r="M52" s="6">
        <v>1</v>
      </c>
      <c r="N52" s="6">
        <v>1</v>
      </c>
      <c r="O52" s="6">
        <v>1</v>
      </c>
      <c r="P52" s="6">
        <v>76</v>
      </c>
      <c r="Q52" s="6">
        <v>0.05</v>
      </c>
      <c r="R52" s="6">
        <v>15.3</v>
      </c>
      <c r="T52" s="6">
        <v>1.07</v>
      </c>
      <c r="V52" s="6">
        <v>0.04</v>
      </c>
      <c r="W52" s="6">
        <v>2.58</v>
      </c>
      <c r="X52" s="6">
        <v>2.6</v>
      </c>
      <c r="Y52" s="6">
        <v>2.4</v>
      </c>
      <c r="Z52" s="6">
        <v>0.01</v>
      </c>
      <c r="AB52" s="6">
        <f t="shared" si="2"/>
        <v>100.05</v>
      </c>
      <c r="AC52" s="6">
        <v>10.1076</v>
      </c>
      <c r="AD52" s="6" t="s">
        <v>43</v>
      </c>
      <c r="AE52" s="6" t="s">
        <v>1150</v>
      </c>
    </row>
    <row r="53" spans="1:31" s="6" customFormat="1">
      <c r="A53" s="6" t="s">
        <v>1105</v>
      </c>
      <c r="B53" s="6" t="s">
        <v>970</v>
      </c>
      <c r="C53" s="6" t="s">
        <v>574</v>
      </c>
      <c r="D53" s="6">
        <v>800</v>
      </c>
      <c r="E53" s="6">
        <v>35</v>
      </c>
      <c r="F53" s="6">
        <f>168*3600</f>
        <v>604800</v>
      </c>
      <c r="G53" s="9">
        <v>3.5046513928104248E-14</v>
      </c>
      <c r="H53" s="10">
        <f t="shared" si="3"/>
        <v>0.29117782624174837</v>
      </c>
      <c r="I53" s="6">
        <v>6.8</v>
      </c>
      <c r="J53" s="6" t="s">
        <v>971</v>
      </c>
      <c r="K53" s="6">
        <v>30</v>
      </c>
      <c r="L53" s="6">
        <v>1</v>
      </c>
      <c r="M53" s="6">
        <v>0</v>
      </c>
      <c r="N53" s="6">
        <v>0</v>
      </c>
      <c r="O53" s="6">
        <v>0</v>
      </c>
      <c r="P53" s="6">
        <v>59.67</v>
      </c>
      <c r="Q53" s="6">
        <v>0.25</v>
      </c>
      <c r="R53" s="6">
        <v>11.15</v>
      </c>
      <c r="T53" s="6">
        <v>0.71</v>
      </c>
      <c r="V53" s="6">
        <v>0.34</v>
      </c>
      <c r="W53" s="6">
        <v>1.1499999999999999</v>
      </c>
      <c r="X53" s="6">
        <v>4.82</v>
      </c>
      <c r="Y53" s="6">
        <v>2.66</v>
      </c>
      <c r="Z53" s="6">
        <v>0.18</v>
      </c>
      <c r="AA53" s="6">
        <v>0.04</v>
      </c>
      <c r="AB53" s="6">
        <f t="shared" si="2"/>
        <v>80.930000000000007</v>
      </c>
      <c r="AC53" s="6">
        <v>20</v>
      </c>
      <c r="AD53" s="6" t="s">
        <v>521</v>
      </c>
      <c r="AE53" s="6" t="s">
        <v>1136</v>
      </c>
    </row>
    <row r="54" spans="1:31" s="6" customFormat="1">
      <c r="A54" s="6" t="s">
        <v>1105</v>
      </c>
      <c r="B54" s="6" t="s">
        <v>972</v>
      </c>
      <c r="C54" s="6" t="s">
        <v>574</v>
      </c>
      <c r="D54" s="6">
        <v>900</v>
      </c>
      <c r="E54" s="6">
        <v>35</v>
      </c>
      <c r="F54" s="6">
        <f>164*3600</f>
        <v>590400</v>
      </c>
      <c r="G54" s="9">
        <v>1.4274849337614078E-13</v>
      </c>
      <c r="H54" s="10">
        <f t="shared" si="3"/>
        <v>0.58061591603838592</v>
      </c>
      <c r="I54" s="6">
        <v>6.1</v>
      </c>
      <c r="J54" s="6" t="s">
        <v>971</v>
      </c>
      <c r="K54" s="6">
        <v>55</v>
      </c>
      <c r="L54" s="6">
        <v>1</v>
      </c>
      <c r="M54" s="6">
        <v>0</v>
      </c>
      <c r="N54" s="6">
        <v>0</v>
      </c>
      <c r="O54" s="6">
        <v>0</v>
      </c>
      <c r="P54" s="6">
        <v>63.27</v>
      </c>
      <c r="Q54" s="6">
        <v>0.3</v>
      </c>
      <c r="R54" s="6">
        <v>12.41</v>
      </c>
      <c r="T54" s="6">
        <v>0.76</v>
      </c>
      <c r="V54" s="6">
        <v>0.35</v>
      </c>
      <c r="W54" s="6">
        <v>1.02</v>
      </c>
      <c r="X54" s="6">
        <v>3.23</v>
      </c>
      <c r="Y54" s="6">
        <v>4.46</v>
      </c>
      <c r="Z54" s="6">
        <v>0.22</v>
      </c>
      <c r="AA54" s="6">
        <v>0.05</v>
      </c>
      <c r="AB54" s="6">
        <f t="shared" si="2"/>
        <v>86.02</v>
      </c>
      <c r="AC54" s="6">
        <v>11</v>
      </c>
      <c r="AD54" s="6" t="s">
        <v>521</v>
      </c>
      <c r="AE54" s="6" t="s">
        <v>1136</v>
      </c>
    </row>
    <row r="55" spans="1:31" s="6" customFormat="1">
      <c r="A55" s="6" t="s">
        <v>1105</v>
      </c>
      <c r="B55" s="6" t="s">
        <v>973</v>
      </c>
      <c r="C55" s="6" t="s">
        <v>574</v>
      </c>
      <c r="D55" s="6">
        <v>900</v>
      </c>
      <c r="E55" s="6">
        <v>35</v>
      </c>
      <c r="F55" s="6">
        <f>260*3600</f>
        <v>936000</v>
      </c>
      <c r="G55" s="9">
        <v>1.4274849337614078E-13</v>
      </c>
      <c r="H55" s="10">
        <f t="shared" si="3"/>
        <v>0.73106111864896151</v>
      </c>
      <c r="I55" s="6">
        <v>3.1</v>
      </c>
      <c r="J55" s="6" t="s">
        <v>974</v>
      </c>
      <c r="K55" s="6">
        <v>20</v>
      </c>
      <c r="L55" s="6">
        <v>1</v>
      </c>
      <c r="M55" s="6">
        <v>0</v>
      </c>
      <c r="N55" s="6">
        <v>0</v>
      </c>
      <c r="O55" s="6">
        <v>0</v>
      </c>
      <c r="P55" s="6">
        <v>62.64</v>
      </c>
      <c r="Q55" s="6">
        <v>0.38</v>
      </c>
      <c r="R55" s="6">
        <v>12.71</v>
      </c>
      <c r="T55" s="6">
        <v>0.66</v>
      </c>
      <c r="V55" s="6">
        <v>0.25</v>
      </c>
      <c r="W55" s="6">
        <v>0.9</v>
      </c>
      <c r="X55" s="6">
        <v>2.94</v>
      </c>
      <c r="Y55" s="6">
        <v>4.93</v>
      </c>
      <c r="Z55" s="6">
        <v>0.23</v>
      </c>
      <c r="AA55" s="6">
        <v>0.05</v>
      </c>
      <c r="AB55" s="6">
        <f t="shared" si="2"/>
        <v>85.64</v>
      </c>
      <c r="AC55" s="6">
        <v>11</v>
      </c>
      <c r="AD55" s="6" t="s">
        <v>521</v>
      </c>
      <c r="AE55" s="6" t="s">
        <v>1136</v>
      </c>
    </row>
    <row r="56" spans="1:31" s="6" customFormat="1">
      <c r="A56" s="6" t="s">
        <v>1105</v>
      </c>
      <c r="B56" s="6" t="s">
        <v>975</v>
      </c>
      <c r="C56" s="6" t="s">
        <v>574</v>
      </c>
      <c r="D56" s="6">
        <v>950</v>
      </c>
      <c r="E56" s="6">
        <v>35</v>
      </c>
      <c r="F56" s="6">
        <f>170*3600</f>
        <v>612000</v>
      </c>
      <c r="G56" s="9">
        <v>2.6432360916877484E-13</v>
      </c>
      <c r="H56" s="10">
        <f t="shared" si="3"/>
        <v>0.80440300549237187</v>
      </c>
      <c r="I56" s="6">
        <v>2</v>
      </c>
      <c r="J56" s="6" t="s">
        <v>976</v>
      </c>
      <c r="K56" s="6">
        <v>26</v>
      </c>
      <c r="L56" s="6">
        <v>1</v>
      </c>
      <c r="M56" s="6">
        <v>0</v>
      </c>
      <c r="N56" s="6">
        <v>0</v>
      </c>
      <c r="O56" s="6">
        <v>0</v>
      </c>
      <c r="P56" s="6">
        <v>62.26</v>
      </c>
      <c r="Q56" s="6">
        <v>0.37</v>
      </c>
      <c r="R56" s="6">
        <v>12.94</v>
      </c>
      <c r="T56" s="6">
        <v>0.97</v>
      </c>
      <c r="V56" s="6">
        <v>0.2</v>
      </c>
      <c r="W56" s="6">
        <v>0.73</v>
      </c>
      <c r="X56" s="6">
        <v>2.5299999999999998</v>
      </c>
      <c r="Y56" s="6">
        <v>6.05</v>
      </c>
      <c r="Z56" s="6">
        <v>0.09</v>
      </c>
      <c r="AA56" s="6">
        <v>0.05</v>
      </c>
      <c r="AB56" s="6">
        <f t="shared" si="2"/>
        <v>86.14</v>
      </c>
      <c r="AC56" s="6">
        <v>6</v>
      </c>
      <c r="AD56" s="6" t="s">
        <v>521</v>
      </c>
      <c r="AE56" s="6" t="s">
        <v>1136</v>
      </c>
    </row>
    <row r="57" spans="1:31" s="6" customFormat="1">
      <c r="A57" s="6" t="s">
        <v>1105</v>
      </c>
      <c r="B57" s="6" t="s">
        <v>977</v>
      </c>
      <c r="C57" s="6" t="s">
        <v>574</v>
      </c>
      <c r="D57" s="6">
        <v>1050</v>
      </c>
      <c r="E57" s="6">
        <v>45</v>
      </c>
      <c r="F57" s="6">
        <f>120*3600</f>
        <v>432000</v>
      </c>
      <c r="G57" s="9">
        <v>7.8813293078769567E-13</v>
      </c>
      <c r="H57" s="10">
        <f t="shared" si="3"/>
        <v>1.1670020155942911</v>
      </c>
      <c r="I57" s="6">
        <v>2</v>
      </c>
      <c r="J57" s="6" t="s">
        <v>978</v>
      </c>
      <c r="K57" s="6">
        <v>30</v>
      </c>
      <c r="L57" s="6">
        <v>1</v>
      </c>
      <c r="M57" s="6">
        <v>0</v>
      </c>
      <c r="N57" s="6">
        <v>0</v>
      </c>
      <c r="O57" s="6">
        <v>0</v>
      </c>
      <c r="P57" s="6">
        <v>61.09</v>
      </c>
      <c r="Q57" s="6">
        <v>0.92</v>
      </c>
      <c r="R57" s="6">
        <v>13.25</v>
      </c>
      <c r="T57" s="6">
        <v>1.1499999999999999</v>
      </c>
      <c r="V57" s="6">
        <v>0.36</v>
      </c>
      <c r="W57" s="6">
        <v>0.72</v>
      </c>
      <c r="X57" s="6">
        <v>2.0299999999999998</v>
      </c>
      <c r="Y57" s="6">
        <v>8.93</v>
      </c>
      <c r="Z57" s="6">
        <v>0.43</v>
      </c>
      <c r="AA57" s="6">
        <v>0.05</v>
      </c>
      <c r="AB57" s="6">
        <f t="shared" si="2"/>
        <v>88.880000000000024</v>
      </c>
      <c r="AC57" s="6">
        <v>6</v>
      </c>
      <c r="AD57" s="6" t="s">
        <v>521</v>
      </c>
      <c r="AE57" s="6" t="s">
        <v>1135</v>
      </c>
    </row>
    <row r="58" spans="1:31" s="6" customFormat="1">
      <c r="A58" s="6" t="s">
        <v>1061</v>
      </c>
      <c r="B58" s="6" t="s">
        <v>421</v>
      </c>
      <c r="C58" s="6" t="s">
        <v>1127</v>
      </c>
      <c r="D58" s="6">
        <v>1050</v>
      </c>
      <c r="E58" s="6">
        <v>10</v>
      </c>
      <c r="F58" s="6">
        <v>230400</v>
      </c>
      <c r="G58" s="9">
        <v>7.8813293078769567E-13</v>
      </c>
      <c r="H58" s="10">
        <v>0.85225777145998527</v>
      </c>
      <c r="I58" s="6">
        <v>0.3</v>
      </c>
      <c r="J58" s="6" t="s">
        <v>420</v>
      </c>
      <c r="L58" s="6">
        <v>1</v>
      </c>
      <c r="M58" s="6">
        <v>0</v>
      </c>
      <c r="N58" s="6">
        <v>0</v>
      </c>
      <c r="O58" s="6">
        <v>0</v>
      </c>
      <c r="P58" s="6">
        <v>40.29</v>
      </c>
      <c r="Q58" s="6">
        <v>3.13</v>
      </c>
      <c r="R58" s="6">
        <v>8.17</v>
      </c>
      <c r="T58" s="6">
        <v>29.29</v>
      </c>
      <c r="U58" s="6">
        <v>1.05</v>
      </c>
      <c r="V58" s="6">
        <v>0.18</v>
      </c>
      <c r="W58" s="6">
        <v>8.7200000000000006</v>
      </c>
      <c r="X58" s="6">
        <v>0.71</v>
      </c>
      <c r="Y58" s="6">
        <v>0</v>
      </c>
      <c r="Z58" s="6">
        <v>3.89</v>
      </c>
      <c r="AA58" s="6">
        <v>7.0000000000000007E-2</v>
      </c>
      <c r="AB58" s="6">
        <v>95.44</v>
      </c>
      <c r="AE58" s="6" t="s">
        <v>1117</v>
      </c>
    </row>
    <row r="59" spans="1:31" s="6" customFormat="1">
      <c r="A59" s="6" t="s">
        <v>1061</v>
      </c>
      <c r="B59" s="6" t="s">
        <v>422</v>
      </c>
      <c r="C59" s="6" t="s">
        <v>1127</v>
      </c>
      <c r="D59" s="6">
        <v>1050</v>
      </c>
      <c r="E59" s="6">
        <v>10</v>
      </c>
      <c r="F59" s="6">
        <v>230400</v>
      </c>
      <c r="G59" s="9">
        <v>7.8813293078769567E-13</v>
      </c>
      <c r="H59" s="10">
        <v>0.85225777145998527</v>
      </c>
      <c r="I59" s="6">
        <v>0</v>
      </c>
      <c r="J59" s="6" t="s">
        <v>420</v>
      </c>
      <c r="L59" s="6">
        <v>0</v>
      </c>
      <c r="M59" s="6">
        <v>0</v>
      </c>
      <c r="N59" s="6">
        <v>1</v>
      </c>
      <c r="O59" s="6">
        <v>0</v>
      </c>
      <c r="P59" s="6">
        <v>40.229999999999997</v>
      </c>
      <c r="Q59" s="6">
        <v>3.97</v>
      </c>
      <c r="R59" s="6">
        <v>8.41</v>
      </c>
      <c r="T59" s="6">
        <v>29.51</v>
      </c>
      <c r="U59" s="6">
        <v>1.18</v>
      </c>
      <c r="V59" s="6">
        <v>0.4</v>
      </c>
      <c r="W59" s="6">
        <v>9.34</v>
      </c>
      <c r="X59" s="6">
        <v>0.61</v>
      </c>
      <c r="Y59" s="6">
        <v>0</v>
      </c>
      <c r="Z59" s="6">
        <v>3.08</v>
      </c>
      <c r="AA59" s="6">
        <v>7.0000000000000007E-2</v>
      </c>
      <c r="AB59" s="6">
        <v>97.17</v>
      </c>
      <c r="AC59" s="6">
        <v>0</v>
      </c>
      <c r="AD59" s="24" t="s">
        <v>33</v>
      </c>
      <c r="AE59" s="6" t="s">
        <v>1117</v>
      </c>
    </row>
    <row r="60" spans="1:31" s="6" customFormat="1">
      <c r="A60" s="6" t="s">
        <v>1061</v>
      </c>
      <c r="B60" s="6" t="s">
        <v>423</v>
      </c>
      <c r="C60" s="6" t="s">
        <v>1127</v>
      </c>
      <c r="D60" s="6">
        <v>1100</v>
      </c>
      <c r="E60" s="6">
        <v>10</v>
      </c>
      <c r="F60" s="6">
        <v>172800</v>
      </c>
      <c r="G60" s="9">
        <v>1.2820841702583668E-12</v>
      </c>
      <c r="H60" s="10">
        <v>0.94136952281374775</v>
      </c>
      <c r="I60" s="6">
        <v>0</v>
      </c>
      <c r="J60" s="6" t="s">
        <v>424</v>
      </c>
      <c r="L60" s="6">
        <v>0</v>
      </c>
      <c r="M60" s="6">
        <v>1</v>
      </c>
      <c r="N60" s="6">
        <v>0</v>
      </c>
      <c r="O60" s="6">
        <v>0</v>
      </c>
      <c r="P60" s="6">
        <v>41.89</v>
      </c>
      <c r="Q60" s="6">
        <v>5.15</v>
      </c>
      <c r="R60" s="6">
        <v>7.96</v>
      </c>
      <c r="T60" s="6">
        <v>26.48</v>
      </c>
      <c r="U60" s="6">
        <v>1.03</v>
      </c>
      <c r="V60" s="6">
        <v>1.26</v>
      </c>
      <c r="W60" s="6">
        <v>10.65</v>
      </c>
      <c r="X60" s="6">
        <v>0.89</v>
      </c>
      <c r="Y60" s="6">
        <v>0</v>
      </c>
      <c r="Z60" s="6">
        <v>1.55</v>
      </c>
      <c r="AA60" s="6">
        <v>0.06</v>
      </c>
      <c r="AB60" s="6">
        <v>97.72</v>
      </c>
      <c r="AC60" s="6">
        <v>0</v>
      </c>
      <c r="AD60" s="24" t="s">
        <v>33</v>
      </c>
      <c r="AE60" s="6" t="s">
        <v>1117</v>
      </c>
    </row>
    <row r="61" spans="1:31" s="6" customFormat="1">
      <c r="A61" s="6" t="s">
        <v>1061</v>
      </c>
      <c r="B61" s="6" t="s">
        <v>425</v>
      </c>
      <c r="C61" s="6" t="s">
        <v>1127</v>
      </c>
      <c r="D61" s="6">
        <v>1100</v>
      </c>
      <c r="E61" s="6">
        <v>10</v>
      </c>
      <c r="F61" s="6">
        <v>262800</v>
      </c>
      <c r="G61" s="9">
        <v>1.2820841702583668E-12</v>
      </c>
      <c r="H61" s="10">
        <v>1.1609163965486899</v>
      </c>
      <c r="I61" s="6">
        <v>0.3</v>
      </c>
      <c r="J61" s="6" t="s">
        <v>424</v>
      </c>
      <c r="L61" s="6">
        <v>1</v>
      </c>
      <c r="M61" s="6">
        <v>0</v>
      </c>
      <c r="N61" s="6">
        <v>0</v>
      </c>
      <c r="O61" s="6">
        <v>0</v>
      </c>
      <c r="P61" s="6">
        <v>40.409999999999997</v>
      </c>
      <c r="Q61" s="6">
        <v>3.52</v>
      </c>
      <c r="R61" s="6">
        <v>5.71</v>
      </c>
      <c r="T61" s="6">
        <v>31.22</v>
      </c>
      <c r="U61" s="6">
        <v>0.78</v>
      </c>
      <c r="V61" s="6">
        <v>0.98</v>
      </c>
      <c r="W61" s="6">
        <v>10.57</v>
      </c>
      <c r="X61" s="6">
        <v>0.81</v>
      </c>
      <c r="Y61" s="6">
        <v>0.26</v>
      </c>
      <c r="Z61" s="6">
        <v>3.91</v>
      </c>
      <c r="AA61" s="6">
        <v>7.0000000000000007E-2</v>
      </c>
      <c r="AB61" s="6">
        <v>98.19</v>
      </c>
      <c r="AE61" s="6" t="s">
        <v>1117</v>
      </c>
    </row>
    <row r="62" spans="1:31" s="6" customFormat="1">
      <c r="A62" s="6" t="s">
        <v>1061</v>
      </c>
      <c r="B62" s="6" t="s">
        <v>426</v>
      </c>
      <c r="C62" s="6" t="s">
        <v>1127</v>
      </c>
      <c r="D62" s="6">
        <v>1100</v>
      </c>
      <c r="E62" s="6">
        <v>10</v>
      </c>
      <c r="F62" s="6">
        <v>259200</v>
      </c>
      <c r="G62" s="9">
        <v>1.2820841702583668E-12</v>
      </c>
      <c r="H62" s="10">
        <v>1.1529374951504849</v>
      </c>
      <c r="I62" s="6">
        <v>0</v>
      </c>
      <c r="J62" s="6" t="s">
        <v>424</v>
      </c>
      <c r="L62" s="6">
        <v>0</v>
      </c>
      <c r="M62" s="6">
        <v>0</v>
      </c>
      <c r="N62" s="6">
        <v>1</v>
      </c>
      <c r="O62" s="6">
        <v>0</v>
      </c>
      <c r="P62" s="6">
        <v>40.32</v>
      </c>
      <c r="Q62" s="6">
        <v>5.09</v>
      </c>
      <c r="R62" s="6">
        <v>8</v>
      </c>
      <c r="T62" s="6">
        <v>25.98</v>
      </c>
      <c r="U62" s="6">
        <v>1.0900000000000001</v>
      </c>
      <c r="V62" s="6">
        <v>0.98</v>
      </c>
      <c r="W62" s="6">
        <v>11.01</v>
      </c>
      <c r="X62" s="6">
        <v>0.66</v>
      </c>
      <c r="Y62" s="6">
        <v>0.26</v>
      </c>
      <c r="Z62" s="6">
        <v>3.32</v>
      </c>
      <c r="AA62" s="6">
        <v>0.06</v>
      </c>
      <c r="AB62" s="6">
        <v>97.07</v>
      </c>
      <c r="AC62" s="6">
        <v>0</v>
      </c>
      <c r="AD62" s="24" t="s">
        <v>33</v>
      </c>
      <c r="AE62" s="6" t="s">
        <v>1117</v>
      </c>
    </row>
    <row r="63" spans="1:31" s="6" customFormat="1">
      <c r="A63" s="6" t="s">
        <v>1061</v>
      </c>
      <c r="B63" s="6" t="s">
        <v>430</v>
      </c>
      <c r="C63" s="6" t="s">
        <v>1127</v>
      </c>
      <c r="D63" s="6">
        <v>1100</v>
      </c>
      <c r="E63" s="6">
        <v>10</v>
      </c>
      <c r="F63" s="6">
        <v>262800</v>
      </c>
      <c r="G63" s="9">
        <v>1.2820841702583668E-12</v>
      </c>
      <c r="H63" s="10">
        <v>1.1609163965486899</v>
      </c>
      <c r="I63" s="6">
        <v>0</v>
      </c>
      <c r="J63" s="6" t="s">
        <v>431</v>
      </c>
      <c r="L63" s="6">
        <v>0</v>
      </c>
      <c r="M63" s="6">
        <v>0</v>
      </c>
      <c r="N63" s="6">
        <v>1</v>
      </c>
      <c r="O63" s="6">
        <v>0</v>
      </c>
      <c r="P63" s="6">
        <v>42.87</v>
      </c>
      <c r="Q63" s="6">
        <v>5.77</v>
      </c>
      <c r="R63" s="6">
        <v>8.69</v>
      </c>
      <c r="T63" s="6">
        <v>22.18</v>
      </c>
      <c r="U63" s="6">
        <v>1.52</v>
      </c>
      <c r="V63" s="6">
        <v>1.06</v>
      </c>
      <c r="W63" s="6">
        <v>11.03</v>
      </c>
      <c r="X63" s="6">
        <v>0.74</v>
      </c>
      <c r="Y63" s="6">
        <v>0.5</v>
      </c>
      <c r="Z63" s="6">
        <v>2.37</v>
      </c>
      <c r="AA63" s="6">
        <v>0.06</v>
      </c>
      <c r="AB63" s="6">
        <v>97.09</v>
      </c>
      <c r="AC63" s="6">
        <v>0</v>
      </c>
      <c r="AD63" s="24" t="s">
        <v>33</v>
      </c>
      <c r="AE63" s="6" t="s">
        <v>1117</v>
      </c>
    </row>
    <row r="64" spans="1:31" s="6" customFormat="1">
      <c r="A64" s="6" t="s">
        <v>1061</v>
      </c>
      <c r="B64" s="6" t="s">
        <v>434</v>
      </c>
      <c r="C64" s="6" t="s">
        <v>1127</v>
      </c>
      <c r="D64" s="6">
        <v>1100</v>
      </c>
      <c r="E64" s="6">
        <v>10</v>
      </c>
      <c r="F64" s="6">
        <v>259200</v>
      </c>
      <c r="G64" s="9">
        <v>1.2820841702583668E-12</v>
      </c>
      <c r="H64" s="10">
        <v>1.1529374951504849</v>
      </c>
      <c r="I64" s="6">
        <v>0.3</v>
      </c>
      <c r="J64" s="6" t="s">
        <v>433</v>
      </c>
      <c r="L64" s="6">
        <v>1</v>
      </c>
      <c r="M64" s="6">
        <v>1</v>
      </c>
      <c r="N64" s="6">
        <v>0</v>
      </c>
      <c r="O64" s="6">
        <v>0</v>
      </c>
      <c r="P64" s="6">
        <v>41.65</v>
      </c>
      <c r="Q64" s="6">
        <v>2.3199999999999998</v>
      </c>
      <c r="R64" s="6">
        <v>10.35</v>
      </c>
      <c r="T64" s="6">
        <v>22.84</v>
      </c>
      <c r="U64" s="6">
        <v>1.27</v>
      </c>
      <c r="V64" s="6">
        <v>2.06</v>
      </c>
      <c r="W64" s="6">
        <v>11.31</v>
      </c>
      <c r="X64" s="6">
        <v>0.35</v>
      </c>
      <c r="Y64" s="6">
        <v>0.03</v>
      </c>
      <c r="Z64" s="6">
        <v>3.37</v>
      </c>
      <c r="AA64" s="6">
        <v>0.14000000000000001</v>
      </c>
      <c r="AB64" s="6">
        <v>97.88</v>
      </c>
      <c r="AE64" s="6" t="s">
        <v>1117</v>
      </c>
    </row>
    <row r="65" spans="1:34" s="8" customFormat="1">
      <c r="A65" s="8" t="s">
        <v>1106</v>
      </c>
      <c r="B65" s="8" t="s">
        <v>979</v>
      </c>
      <c r="C65" s="8" t="s">
        <v>1161</v>
      </c>
      <c r="D65" s="8">
        <v>690</v>
      </c>
      <c r="E65" s="8">
        <v>25</v>
      </c>
      <c r="F65" s="8">
        <f>158*3600</f>
        <v>568800</v>
      </c>
      <c r="G65" s="32">
        <v>5.3387775489983715E-15</v>
      </c>
      <c r="H65" s="33">
        <f t="shared" ref="H65:H87" si="4">2*SQRT(G65*F65)*1000</f>
        <v>0.11021246154351645</v>
      </c>
      <c r="I65" s="8">
        <v>6.65</v>
      </c>
      <c r="J65" s="8" t="s">
        <v>980</v>
      </c>
      <c r="K65" s="8">
        <v>22</v>
      </c>
      <c r="L65" s="8">
        <v>1</v>
      </c>
      <c r="M65" s="8">
        <v>0</v>
      </c>
      <c r="N65" s="8">
        <v>1</v>
      </c>
      <c r="O65" s="8">
        <v>0</v>
      </c>
      <c r="P65" s="8">
        <v>62.53</v>
      </c>
      <c r="Q65" s="8">
        <v>0.17</v>
      </c>
      <c r="R65" s="8">
        <v>11.7</v>
      </c>
      <c r="T65" s="8">
        <v>0.57999999999999996</v>
      </c>
      <c r="V65" s="8">
        <v>0.31</v>
      </c>
      <c r="W65" s="8">
        <v>0.98</v>
      </c>
      <c r="X65" s="8">
        <v>4.62</v>
      </c>
      <c r="Y65" s="8">
        <v>1.56</v>
      </c>
      <c r="Z65" s="8">
        <v>0.15</v>
      </c>
      <c r="AA65" s="8">
        <v>0.06</v>
      </c>
      <c r="AB65" s="8">
        <v>82.73</v>
      </c>
      <c r="AC65" s="8">
        <v>24</v>
      </c>
      <c r="AD65" s="8" t="s">
        <v>521</v>
      </c>
      <c r="AE65" s="8" t="s">
        <v>1136</v>
      </c>
    </row>
    <row r="66" spans="1:34" s="8" customFormat="1">
      <c r="A66" s="8" t="s">
        <v>1106</v>
      </c>
      <c r="B66" s="8" t="s">
        <v>981</v>
      </c>
      <c r="C66" s="8" t="s">
        <v>1161</v>
      </c>
      <c r="D66" s="8">
        <v>720</v>
      </c>
      <c r="E66" s="8">
        <v>25</v>
      </c>
      <c r="F66" s="8">
        <f>144*3600</f>
        <v>518400</v>
      </c>
      <c r="G66" s="32">
        <v>9.2954031785240284E-15</v>
      </c>
      <c r="H66" s="33">
        <f t="shared" si="4"/>
        <v>0.13883424660719496</v>
      </c>
      <c r="I66" s="8">
        <v>6.65</v>
      </c>
      <c r="J66" s="8" t="s">
        <v>980</v>
      </c>
      <c r="K66" s="8">
        <v>24</v>
      </c>
      <c r="L66" s="8">
        <v>1</v>
      </c>
      <c r="M66" s="8">
        <v>0</v>
      </c>
      <c r="N66" s="8">
        <v>1</v>
      </c>
      <c r="O66" s="8">
        <v>0</v>
      </c>
      <c r="P66" s="8">
        <v>59.23</v>
      </c>
      <c r="Q66" s="8">
        <v>0.13</v>
      </c>
      <c r="R66" s="8">
        <v>12.09</v>
      </c>
      <c r="T66" s="8">
        <v>0.45</v>
      </c>
      <c r="V66" s="8">
        <v>0.27</v>
      </c>
      <c r="W66" s="8">
        <v>1.07</v>
      </c>
      <c r="X66" s="8">
        <v>5.51</v>
      </c>
      <c r="Y66" s="8">
        <v>1.26</v>
      </c>
      <c r="Z66" s="8">
        <v>0.28000000000000003</v>
      </c>
      <c r="AA66" s="8">
        <v>0.23</v>
      </c>
      <c r="AB66" s="8">
        <v>80.37</v>
      </c>
      <c r="AC66" s="8">
        <v>22</v>
      </c>
      <c r="AD66" s="8" t="s">
        <v>521</v>
      </c>
      <c r="AE66" s="8" t="s">
        <v>1136</v>
      </c>
    </row>
    <row r="67" spans="1:34" s="8" customFormat="1">
      <c r="A67" s="8" t="s">
        <v>1106</v>
      </c>
      <c r="B67" s="8" t="s">
        <v>982</v>
      </c>
      <c r="C67" s="8" t="s">
        <v>1161</v>
      </c>
      <c r="D67" s="8">
        <v>760</v>
      </c>
      <c r="E67" s="8">
        <v>25</v>
      </c>
      <c r="F67" s="8">
        <f>162*3600</f>
        <v>583200</v>
      </c>
      <c r="G67" s="32">
        <v>1.85188572501501E-14</v>
      </c>
      <c r="H67" s="33">
        <f t="shared" si="4"/>
        <v>0.20784799780885585</v>
      </c>
      <c r="I67" s="8">
        <v>6.65</v>
      </c>
      <c r="J67" s="8" t="s">
        <v>983</v>
      </c>
      <c r="K67" s="8">
        <v>36</v>
      </c>
      <c r="L67" s="8">
        <v>1</v>
      </c>
      <c r="M67" s="8">
        <v>0</v>
      </c>
      <c r="N67" s="8">
        <v>1</v>
      </c>
      <c r="O67" s="8">
        <v>0</v>
      </c>
      <c r="P67" s="8">
        <v>63.37</v>
      </c>
      <c r="Q67" s="8">
        <v>0.18</v>
      </c>
      <c r="R67" s="8">
        <v>12.62</v>
      </c>
      <c r="T67" s="8">
        <v>0.38</v>
      </c>
      <c r="V67" s="8">
        <v>0.31</v>
      </c>
      <c r="W67" s="8">
        <v>0.9</v>
      </c>
      <c r="X67" s="8">
        <v>4.25</v>
      </c>
      <c r="Y67" s="8">
        <v>2.36</v>
      </c>
      <c r="Z67" s="8">
        <v>0.11</v>
      </c>
      <c r="AA67" s="8">
        <v>0.05</v>
      </c>
      <c r="AB67" s="8">
        <v>84.6</v>
      </c>
      <c r="AC67" s="8">
        <v>16</v>
      </c>
      <c r="AD67" s="8" t="s">
        <v>521</v>
      </c>
      <c r="AE67" s="8" t="s">
        <v>1136</v>
      </c>
    </row>
    <row r="68" spans="1:34" s="8" customFormat="1">
      <c r="A68" s="8" t="s">
        <v>1106</v>
      </c>
      <c r="B68" s="8" t="s">
        <v>984</v>
      </c>
      <c r="C68" s="8" t="s">
        <v>1161</v>
      </c>
      <c r="D68" s="8">
        <v>800</v>
      </c>
      <c r="E68" s="8">
        <v>25</v>
      </c>
      <c r="F68" s="8">
        <f>162*3600</f>
        <v>583200</v>
      </c>
      <c r="G68" s="32">
        <v>3.5046513928104248E-14</v>
      </c>
      <c r="H68" s="33">
        <f t="shared" si="4"/>
        <v>0.28593094916689515</v>
      </c>
      <c r="I68" s="8">
        <v>6.65</v>
      </c>
      <c r="J68" s="8" t="s">
        <v>985</v>
      </c>
      <c r="K68" s="8">
        <v>57</v>
      </c>
      <c r="L68" s="8">
        <v>1</v>
      </c>
      <c r="M68" s="8">
        <v>0</v>
      </c>
      <c r="N68" s="8">
        <v>1</v>
      </c>
      <c r="O68" s="8">
        <v>0</v>
      </c>
      <c r="P68" s="8">
        <v>63.6</v>
      </c>
      <c r="Q68" s="8">
        <v>0.22</v>
      </c>
      <c r="R68" s="8">
        <v>12.42</v>
      </c>
      <c r="T68" s="8">
        <v>0.54</v>
      </c>
      <c r="V68" s="8">
        <v>0.39</v>
      </c>
      <c r="W68" s="8">
        <v>0.87</v>
      </c>
      <c r="X68" s="8">
        <v>3.12</v>
      </c>
      <c r="Y68" s="8">
        <v>3.33</v>
      </c>
      <c r="Z68" s="8">
        <v>0.19064171798052817</v>
      </c>
      <c r="AA68" s="8">
        <v>6.1866903671565637E-3</v>
      </c>
      <c r="AB68" s="8">
        <v>84.85</v>
      </c>
      <c r="AC68" s="8">
        <v>11</v>
      </c>
      <c r="AD68" s="8" t="s">
        <v>521</v>
      </c>
      <c r="AE68" s="8" t="s">
        <v>1136</v>
      </c>
      <c r="AH68" s="8" t="s">
        <v>1185</v>
      </c>
    </row>
    <row r="69" spans="1:34" s="8" customFormat="1">
      <c r="A69" s="8" t="s">
        <v>1106</v>
      </c>
      <c r="B69" s="8" t="s">
        <v>986</v>
      </c>
      <c r="C69" s="8" t="s">
        <v>1161</v>
      </c>
      <c r="D69" s="8">
        <v>750</v>
      </c>
      <c r="E69" s="8">
        <v>35</v>
      </c>
      <c r="F69" s="8">
        <f>168*3600</f>
        <v>604800</v>
      </c>
      <c r="G69" s="32">
        <v>1.5666500344126923E-14</v>
      </c>
      <c r="H69" s="33">
        <f t="shared" si="4"/>
        <v>0.19468024458714822</v>
      </c>
      <c r="I69" s="8">
        <v>6.65</v>
      </c>
      <c r="J69" s="8" t="s">
        <v>987</v>
      </c>
      <c r="K69" s="8">
        <v>22</v>
      </c>
      <c r="L69" s="8">
        <v>1</v>
      </c>
      <c r="M69" s="8">
        <v>0</v>
      </c>
      <c r="N69" s="8">
        <v>1</v>
      </c>
      <c r="O69" s="8">
        <v>0</v>
      </c>
      <c r="P69" s="8">
        <v>55.35</v>
      </c>
      <c r="Q69" s="8">
        <v>0.12</v>
      </c>
      <c r="R69" s="8">
        <v>7.99</v>
      </c>
      <c r="T69" s="8">
        <v>0.32</v>
      </c>
      <c r="V69" s="8">
        <v>0.1</v>
      </c>
      <c r="W69" s="8">
        <v>0.52</v>
      </c>
      <c r="X69" s="8">
        <v>3.18</v>
      </c>
      <c r="Y69" s="8">
        <v>2.2000000000000002</v>
      </c>
      <c r="Z69" s="8">
        <v>0.41</v>
      </c>
      <c r="AA69" s="8">
        <v>0.12</v>
      </c>
      <c r="AB69" s="8">
        <v>70.459999999999994</v>
      </c>
      <c r="AC69" s="8">
        <v>26</v>
      </c>
      <c r="AD69" s="8" t="s">
        <v>521</v>
      </c>
      <c r="AE69" s="8" t="s">
        <v>1134</v>
      </c>
    </row>
    <row r="70" spans="1:34" s="8" customFormat="1">
      <c r="A70" s="8" t="s">
        <v>1106</v>
      </c>
      <c r="B70" s="8" t="s">
        <v>988</v>
      </c>
      <c r="C70" s="8" t="s">
        <v>1161</v>
      </c>
      <c r="D70" s="8">
        <v>800</v>
      </c>
      <c r="E70" s="8">
        <v>35</v>
      </c>
      <c r="F70" s="8">
        <f>165*3600</f>
        <v>594000</v>
      </c>
      <c r="G70" s="32">
        <v>3.5046513928104248E-14</v>
      </c>
      <c r="H70" s="33">
        <f t="shared" si="4"/>
        <v>0.28856631316419401</v>
      </c>
      <c r="I70" s="8">
        <v>6.65</v>
      </c>
      <c r="J70" s="8" t="s">
        <v>987</v>
      </c>
      <c r="K70" s="8">
        <v>27</v>
      </c>
      <c r="L70" s="8">
        <v>1</v>
      </c>
      <c r="M70" s="8">
        <v>0</v>
      </c>
      <c r="N70" s="8">
        <v>1</v>
      </c>
      <c r="O70" s="8">
        <v>0</v>
      </c>
      <c r="P70" s="8">
        <v>62.23</v>
      </c>
      <c r="Q70" s="8">
        <v>0.31</v>
      </c>
      <c r="R70" s="8">
        <v>11.68</v>
      </c>
      <c r="T70" s="8">
        <v>0.36</v>
      </c>
      <c r="V70" s="8">
        <v>0.05</v>
      </c>
      <c r="W70" s="8">
        <v>0.75</v>
      </c>
      <c r="X70" s="8">
        <v>4.88</v>
      </c>
      <c r="Y70" s="8">
        <v>2.25</v>
      </c>
      <c r="Z70" s="8">
        <v>0.24</v>
      </c>
      <c r="AA70" s="8">
        <v>0.06</v>
      </c>
      <c r="AB70" s="8">
        <v>82.82</v>
      </c>
      <c r="AC70" s="8">
        <v>21</v>
      </c>
      <c r="AD70" s="8" t="s">
        <v>521</v>
      </c>
      <c r="AE70" s="8" t="s">
        <v>1136</v>
      </c>
    </row>
    <row r="71" spans="1:34" s="8" customFormat="1">
      <c r="A71" s="8" t="s">
        <v>1106</v>
      </c>
      <c r="B71" s="8" t="s">
        <v>989</v>
      </c>
      <c r="C71" s="8" t="s">
        <v>1161</v>
      </c>
      <c r="D71" s="8">
        <v>750</v>
      </c>
      <c r="E71" s="8">
        <v>45</v>
      </c>
      <c r="F71" s="8">
        <f t="shared" ref="F71:F76" si="5">168*3600</f>
        <v>604800</v>
      </c>
      <c r="G71" s="32">
        <v>1.5666500344126923E-14</v>
      </c>
      <c r="H71" s="33">
        <f t="shared" si="4"/>
        <v>0.19468024458714822</v>
      </c>
      <c r="I71" s="8">
        <v>6.65</v>
      </c>
      <c r="J71" s="8" t="s">
        <v>987</v>
      </c>
      <c r="K71" s="8">
        <v>15</v>
      </c>
      <c r="L71" s="8">
        <v>1</v>
      </c>
      <c r="M71" s="8">
        <v>0</v>
      </c>
      <c r="N71" s="8">
        <v>1</v>
      </c>
      <c r="O71" s="8">
        <v>0</v>
      </c>
      <c r="P71" s="8">
        <v>46.68</v>
      </c>
      <c r="Q71" s="8">
        <v>0.16</v>
      </c>
      <c r="R71" s="8">
        <v>5.45</v>
      </c>
      <c r="T71" s="8">
        <v>0.72</v>
      </c>
      <c r="V71" s="8">
        <v>0.27</v>
      </c>
      <c r="W71" s="8">
        <v>0.67</v>
      </c>
      <c r="X71" s="8">
        <v>1.45</v>
      </c>
      <c r="Y71" s="8">
        <v>3.22</v>
      </c>
      <c r="Z71" s="8">
        <v>0.5</v>
      </c>
      <c r="AA71" s="8">
        <v>0.06</v>
      </c>
      <c r="AB71" s="8">
        <v>59.54</v>
      </c>
      <c r="AC71" s="8">
        <v>39</v>
      </c>
      <c r="AD71" s="8" t="s">
        <v>521</v>
      </c>
      <c r="AE71" s="8" t="s">
        <v>1134</v>
      </c>
    </row>
    <row r="72" spans="1:34" s="8" customFormat="1">
      <c r="A72" s="8" t="s">
        <v>1106</v>
      </c>
      <c r="B72" s="8" t="s">
        <v>990</v>
      </c>
      <c r="C72" s="8" t="s">
        <v>1161</v>
      </c>
      <c r="D72" s="8">
        <v>800</v>
      </c>
      <c r="E72" s="8">
        <v>45</v>
      </c>
      <c r="F72" s="8">
        <f t="shared" si="5"/>
        <v>604800</v>
      </c>
      <c r="G72" s="32">
        <v>3.5046513928104248E-14</v>
      </c>
      <c r="H72" s="33">
        <f t="shared" si="4"/>
        <v>0.29117782624174837</v>
      </c>
      <c r="I72" s="8">
        <v>6.65</v>
      </c>
      <c r="J72" s="8" t="s">
        <v>987</v>
      </c>
      <c r="K72" s="8">
        <v>18</v>
      </c>
      <c r="L72" s="8">
        <v>1</v>
      </c>
      <c r="M72" s="8">
        <v>0</v>
      </c>
      <c r="N72" s="8">
        <v>1</v>
      </c>
      <c r="O72" s="8">
        <v>0</v>
      </c>
      <c r="P72" s="8">
        <v>57.27</v>
      </c>
      <c r="Q72" s="8">
        <v>0.42</v>
      </c>
      <c r="R72" s="8">
        <v>8.85</v>
      </c>
      <c r="T72" s="8">
        <v>0.56000000000000005</v>
      </c>
      <c r="V72" s="8">
        <v>0.1</v>
      </c>
      <c r="W72" s="8">
        <v>0.98</v>
      </c>
      <c r="X72" s="8">
        <v>2.69</v>
      </c>
      <c r="Y72" s="8">
        <v>4.28</v>
      </c>
      <c r="Z72" s="8">
        <v>0.34</v>
      </c>
      <c r="AA72" s="8">
        <v>0.21</v>
      </c>
      <c r="AB72" s="8">
        <v>75.72</v>
      </c>
      <c r="AC72" s="8">
        <v>32</v>
      </c>
      <c r="AD72" s="8" t="s">
        <v>521</v>
      </c>
      <c r="AE72" s="8" t="s">
        <v>1136</v>
      </c>
    </row>
    <row r="73" spans="1:34" s="8" customFormat="1">
      <c r="A73" s="8" t="s">
        <v>1106</v>
      </c>
      <c r="B73" s="8" t="s">
        <v>991</v>
      </c>
      <c r="C73" s="8" t="s">
        <v>1161</v>
      </c>
      <c r="D73" s="8">
        <v>850</v>
      </c>
      <c r="E73" s="8">
        <v>45</v>
      </c>
      <c r="F73" s="8">
        <f t="shared" si="5"/>
        <v>604800</v>
      </c>
      <c r="G73" s="32">
        <v>7.2976735414337512E-14</v>
      </c>
      <c r="H73" s="33">
        <f t="shared" si="4"/>
        <v>0.42017296237902468</v>
      </c>
      <c r="I73" s="8">
        <v>6.65</v>
      </c>
      <c r="J73" s="8" t="s">
        <v>987</v>
      </c>
      <c r="K73" s="8">
        <v>23</v>
      </c>
      <c r="L73" s="8">
        <v>1</v>
      </c>
      <c r="M73" s="8">
        <v>0</v>
      </c>
      <c r="N73" s="8">
        <v>1</v>
      </c>
      <c r="O73" s="8">
        <v>0</v>
      </c>
      <c r="P73" s="8">
        <v>58.6</v>
      </c>
      <c r="Q73" s="8">
        <v>0.42</v>
      </c>
      <c r="R73" s="8">
        <v>9.4600000000000009</v>
      </c>
      <c r="T73" s="8">
        <v>0.77</v>
      </c>
      <c r="V73" s="8">
        <v>0.25</v>
      </c>
      <c r="W73" s="8">
        <v>0.82</v>
      </c>
      <c r="X73" s="8">
        <v>2.59</v>
      </c>
      <c r="Y73" s="8">
        <v>4.53</v>
      </c>
      <c r="Z73" s="8">
        <v>0.39</v>
      </c>
      <c r="AA73" s="8">
        <v>0.23</v>
      </c>
      <c r="AB73" s="8">
        <v>78.19</v>
      </c>
      <c r="AC73" s="8">
        <v>26</v>
      </c>
      <c r="AD73" s="8" t="s">
        <v>521</v>
      </c>
      <c r="AE73" s="8" t="s">
        <v>1134</v>
      </c>
    </row>
    <row r="74" spans="1:34" s="8" customFormat="1">
      <c r="A74" s="8" t="s">
        <v>1106</v>
      </c>
      <c r="B74" s="8" t="s">
        <v>992</v>
      </c>
      <c r="C74" s="8" t="s">
        <v>1161</v>
      </c>
      <c r="D74" s="8">
        <v>800</v>
      </c>
      <c r="E74" s="8">
        <v>25</v>
      </c>
      <c r="F74" s="8">
        <f t="shared" si="5"/>
        <v>604800</v>
      </c>
      <c r="G74" s="32">
        <v>3.5046513928104248E-14</v>
      </c>
      <c r="H74" s="33">
        <f t="shared" si="4"/>
        <v>0.29117782624174837</v>
      </c>
      <c r="I74" s="8">
        <v>6.68</v>
      </c>
      <c r="J74" s="8" t="s">
        <v>993</v>
      </c>
      <c r="K74" s="8">
        <v>57</v>
      </c>
      <c r="L74" s="8">
        <v>1</v>
      </c>
      <c r="M74" s="8">
        <v>0</v>
      </c>
      <c r="N74" s="8">
        <v>1</v>
      </c>
      <c r="O74" s="8">
        <v>0</v>
      </c>
      <c r="P74" s="8">
        <v>64.47</v>
      </c>
      <c r="Q74" s="8">
        <v>0.17</v>
      </c>
      <c r="R74" s="8">
        <v>12.58</v>
      </c>
      <c r="T74" s="8">
        <v>0.56999999999999995</v>
      </c>
      <c r="V74" s="8">
        <v>0.38</v>
      </c>
      <c r="W74" s="8">
        <v>0.72</v>
      </c>
      <c r="X74" s="8">
        <v>3.75</v>
      </c>
      <c r="Y74" s="8">
        <v>3.09</v>
      </c>
      <c r="Z74" s="8">
        <v>0.2252413567005519</v>
      </c>
      <c r="AA74" s="8">
        <v>1.0082013931662547E-2</v>
      </c>
      <c r="AB74" s="8">
        <v>86.3</v>
      </c>
      <c r="AC74" s="8">
        <v>11</v>
      </c>
      <c r="AD74" s="8" t="s">
        <v>521</v>
      </c>
      <c r="AE74" s="8" t="s">
        <v>1136</v>
      </c>
      <c r="AH74" s="8" t="s">
        <v>1185</v>
      </c>
    </row>
    <row r="75" spans="1:34" s="8" customFormat="1">
      <c r="A75" s="8" t="s">
        <v>1106</v>
      </c>
      <c r="B75" s="8" t="s">
        <v>994</v>
      </c>
      <c r="C75" s="8" t="s">
        <v>1161</v>
      </c>
      <c r="D75" s="8">
        <v>800</v>
      </c>
      <c r="E75" s="8">
        <v>35</v>
      </c>
      <c r="F75" s="8">
        <f t="shared" si="5"/>
        <v>604800</v>
      </c>
      <c r="G75" s="32">
        <v>3.5046513928104248E-14</v>
      </c>
      <c r="H75" s="33">
        <f t="shared" si="4"/>
        <v>0.29117782624174837</v>
      </c>
      <c r="I75" s="8">
        <v>6.68</v>
      </c>
      <c r="J75" s="8" t="s">
        <v>995</v>
      </c>
      <c r="K75" s="8">
        <v>26</v>
      </c>
      <c r="L75" s="8">
        <v>1</v>
      </c>
      <c r="M75" s="8">
        <v>0</v>
      </c>
      <c r="N75" s="8">
        <v>1</v>
      </c>
      <c r="O75" s="8">
        <v>0</v>
      </c>
      <c r="P75" s="8">
        <v>63.51</v>
      </c>
      <c r="Q75" s="8">
        <v>0.31</v>
      </c>
      <c r="R75" s="8">
        <v>11.6</v>
      </c>
      <c r="T75" s="8">
        <v>0.44</v>
      </c>
      <c r="V75" s="8">
        <v>0.15</v>
      </c>
      <c r="W75" s="8">
        <v>0.97</v>
      </c>
      <c r="X75" s="8">
        <v>5.31</v>
      </c>
      <c r="Y75" s="8">
        <v>3.22</v>
      </c>
      <c r="Z75" s="8">
        <v>0.59</v>
      </c>
      <c r="AA75" s="8">
        <v>0.09</v>
      </c>
      <c r="AB75" s="8">
        <v>86.26</v>
      </c>
      <c r="AC75" s="8">
        <v>22</v>
      </c>
      <c r="AD75" s="8" t="s">
        <v>521</v>
      </c>
      <c r="AE75" s="8" t="s">
        <v>1134</v>
      </c>
    </row>
    <row r="76" spans="1:34" s="8" customFormat="1">
      <c r="A76" s="8" t="s">
        <v>1106</v>
      </c>
      <c r="B76" s="8" t="s">
        <v>996</v>
      </c>
      <c r="C76" s="8" t="s">
        <v>1161</v>
      </c>
      <c r="D76" s="8">
        <v>900</v>
      </c>
      <c r="E76" s="8">
        <v>35</v>
      </c>
      <c r="F76" s="8">
        <f t="shared" si="5"/>
        <v>604800</v>
      </c>
      <c r="G76" s="32">
        <v>1.4274849337614078E-13</v>
      </c>
      <c r="H76" s="33">
        <f t="shared" si="4"/>
        <v>0.58765394168299401</v>
      </c>
      <c r="I76" s="8">
        <v>6.68</v>
      </c>
      <c r="J76" s="8" t="s">
        <v>997</v>
      </c>
      <c r="K76" s="8">
        <v>66</v>
      </c>
      <c r="L76" s="8">
        <v>1</v>
      </c>
      <c r="M76" s="8">
        <v>0</v>
      </c>
      <c r="N76" s="8">
        <v>1</v>
      </c>
      <c r="O76" s="8">
        <v>0</v>
      </c>
      <c r="P76" s="8">
        <v>63.51</v>
      </c>
      <c r="Q76" s="8">
        <v>0.47</v>
      </c>
      <c r="R76" s="8">
        <v>12.43</v>
      </c>
      <c r="T76" s="8">
        <v>0.97</v>
      </c>
      <c r="V76" s="8">
        <v>0.39</v>
      </c>
      <c r="W76" s="8">
        <v>1.1499999999999999</v>
      </c>
      <c r="X76" s="8">
        <v>3.18</v>
      </c>
      <c r="Y76" s="8">
        <v>3.98</v>
      </c>
      <c r="Z76" s="8">
        <v>0.49</v>
      </c>
      <c r="AA76" s="8">
        <v>0.11</v>
      </c>
      <c r="AB76" s="8">
        <v>86.82</v>
      </c>
      <c r="AC76" s="8">
        <v>10</v>
      </c>
      <c r="AD76" s="8" t="s">
        <v>521</v>
      </c>
      <c r="AE76" s="8" t="s">
        <v>1136</v>
      </c>
    </row>
    <row r="77" spans="1:34" s="8" customFormat="1">
      <c r="A77" s="8" t="s">
        <v>1106</v>
      </c>
      <c r="B77" s="8" t="s">
        <v>998</v>
      </c>
      <c r="C77" s="8" t="s">
        <v>1161</v>
      </c>
      <c r="D77" s="8">
        <v>800</v>
      </c>
      <c r="E77" s="8">
        <v>45</v>
      </c>
      <c r="F77" s="8">
        <f>165*3600</f>
        <v>594000</v>
      </c>
      <c r="G77" s="32">
        <v>3.5046513928104248E-14</v>
      </c>
      <c r="H77" s="33">
        <f t="shared" si="4"/>
        <v>0.28856631316419401</v>
      </c>
      <c r="I77" s="8">
        <v>6.68</v>
      </c>
      <c r="J77" s="8" t="s">
        <v>995</v>
      </c>
      <c r="K77" s="8">
        <v>18</v>
      </c>
      <c r="L77" s="8">
        <v>1</v>
      </c>
      <c r="M77" s="8">
        <v>0</v>
      </c>
      <c r="N77" s="8">
        <v>1</v>
      </c>
      <c r="O77" s="8">
        <v>0</v>
      </c>
      <c r="P77" s="8">
        <v>56.15</v>
      </c>
      <c r="Q77" s="8">
        <v>0.42</v>
      </c>
      <c r="R77" s="8">
        <v>6.65</v>
      </c>
      <c r="T77" s="8">
        <v>0.77</v>
      </c>
      <c r="V77" s="8">
        <v>0.12</v>
      </c>
      <c r="W77" s="8">
        <v>0.54</v>
      </c>
      <c r="X77" s="8">
        <v>2.38</v>
      </c>
      <c r="Y77" s="8">
        <v>4.7699999999999996</v>
      </c>
      <c r="Z77" s="8">
        <v>0.49</v>
      </c>
      <c r="AA77" s="8">
        <v>0.24</v>
      </c>
      <c r="AB77" s="8">
        <v>73.97</v>
      </c>
      <c r="AC77" s="8">
        <v>32</v>
      </c>
      <c r="AD77" s="8" t="s">
        <v>521</v>
      </c>
      <c r="AE77" s="8" t="s">
        <v>1134</v>
      </c>
    </row>
    <row r="78" spans="1:34" s="6" customFormat="1">
      <c r="A78" s="6" t="s">
        <v>1106</v>
      </c>
      <c r="B78" s="6" t="s">
        <v>999</v>
      </c>
      <c r="C78" s="6" t="s">
        <v>1161</v>
      </c>
      <c r="D78" s="6">
        <v>800</v>
      </c>
      <c r="E78" s="6">
        <v>25</v>
      </c>
      <c r="F78" s="6">
        <f>119*3600</f>
        <v>428400</v>
      </c>
      <c r="G78" s="9">
        <v>3.5046513928104248E-14</v>
      </c>
      <c r="H78" s="10">
        <f t="shared" si="4"/>
        <v>0.24506265783917272</v>
      </c>
      <c r="I78" s="6">
        <v>6.29</v>
      </c>
      <c r="J78" s="6" t="s">
        <v>1000</v>
      </c>
      <c r="K78" s="6">
        <v>55</v>
      </c>
      <c r="L78" s="6">
        <v>1</v>
      </c>
      <c r="M78" s="6">
        <v>1</v>
      </c>
      <c r="N78" s="6">
        <v>1</v>
      </c>
      <c r="O78" s="6">
        <v>0</v>
      </c>
      <c r="P78" s="6">
        <v>64.540000000000006</v>
      </c>
      <c r="Q78" s="6">
        <v>0.2</v>
      </c>
      <c r="R78" s="6">
        <v>11.89</v>
      </c>
      <c r="T78" s="6">
        <v>0.64</v>
      </c>
      <c r="V78" s="6">
        <v>0.49</v>
      </c>
      <c r="W78" s="6">
        <v>0.93</v>
      </c>
      <c r="X78" s="6">
        <v>3.04</v>
      </c>
      <c r="Y78" s="6">
        <v>3.48</v>
      </c>
      <c r="Z78" s="6">
        <v>0.24242660772043123</v>
      </c>
      <c r="AA78" s="6">
        <v>7.3323737684818525E-3</v>
      </c>
      <c r="AB78" s="6">
        <v>85.74</v>
      </c>
      <c r="AC78" s="6">
        <v>11</v>
      </c>
      <c r="AD78" s="6" t="s">
        <v>521</v>
      </c>
      <c r="AE78" s="6" t="s">
        <v>1136</v>
      </c>
      <c r="AH78" s="8" t="s">
        <v>1185</v>
      </c>
    </row>
    <row r="79" spans="1:34" s="6" customFormat="1">
      <c r="A79" s="6" t="s">
        <v>1106</v>
      </c>
      <c r="B79" s="6" t="s">
        <v>1001</v>
      </c>
      <c r="C79" s="6" t="s">
        <v>1161</v>
      </c>
      <c r="D79" s="6">
        <v>800</v>
      </c>
      <c r="E79" s="6">
        <v>45</v>
      </c>
      <c r="F79" s="6">
        <f>136*3600</f>
        <v>489600</v>
      </c>
      <c r="G79" s="9">
        <v>3.5046513928104248E-14</v>
      </c>
      <c r="H79" s="10">
        <f t="shared" si="4"/>
        <v>0.26198300112182726</v>
      </c>
      <c r="I79" s="6">
        <v>6.29</v>
      </c>
      <c r="J79" s="6" t="s">
        <v>1002</v>
      </c>
      <c r="K79" s="6">
        <v>16</v>
      </c>
      <c r="L79" s="6">
        <v>1</v>
      </c>
      <c r="M79" s="6">
        <v>1</v>
      </c>
      <c r="N79" s="6">
        <v>1</v>
      </c>
      <c r="O79" s="6">
        <v>0</v>
      </c>
      <c r="P79" s="6">
        <v>61.48</v>
      </c>
      <c r="Q79" s="6">
        <v>0.33</v>
      </c>
      <c r="R79" s="6">
        <v>7.75</v>
      </c>
      <c r="T79" s="6">
        <v>0.54</v>
      </c>
      <c r="V79" s="6">
        <v>7.0000000000000007E-2</v>
      </c>
      <c r="W79" s="6">
        <v>0.62</v>
      </c>
      <c r="X79" s="6">
        <v>1.57</v>
      </c>
      <c r="Y79" s="6">
        <v>4.1100000000000003</v>
      </c>
      <c r="Z79" s="6">
        <v>0.38</v>
      </c>
      <c r="AA79" s="6">
        <v>0.16</v>
      </c>
      <c r="AB79" s="6">
        <v>77.34</v>
      </c>
      <c r="AC79" s="6">
        <v>32</v>
      </c>
      <c r="AD79" s="6" t="s">
        <v>521</v>
      </c>
      <c r="AE79" s="6" t="s">
        <v>1134</v>
      </c>
    </row>
    <row r="80" spans="1:34" s="6" customFormat="1">
      <c r="A80" s="6" t="s">
        <v>1107</v>
      </c>
      <c r="B80" s="6" t="s">
        <v>1003</v>
      </c>
      <c r="C80" s="6" t="s">
        <v>1161</v>
      </c>
      <c r="D80" s="6">
        <v>800</v>
      </c>
      <c r="E80" s="6">
        <v>25</v>
      </c>
      <c r="F80" s="6">
        <f t="shared" ref="F80:F85" si="6">168*3600</f>
        <v>604800</v>
      </c>
      <c r="G80" s="9">
        <v>3.5046513928104248E-14</v>
      </c>
      <c r="H80" s="10">
        <f t="shared" si="4"/>
        <v>0.29117782624174837</v>
      </c>
      <c r="I80" s="6">
        <v>6.29</v>
      </c>
      <c r="J80" s="6" t="s">
        <v>1000</v>
      </c>
      <c r="K80" s="6">
        <v>52</v>
      </c>
      <c r="L80" s="6">
        <v>1</v>
      </c>
      <c r="M80" s="6">
        <v>1</v>
      </c>
      <c r="N80" s="6">
        <v>0</v>
      </c>
      <c r="O80" s="6">
        <v>0</v>
      </c>
      <c r="P80" s="6">
        <v>64.91</v>
      </c>
      <c r="Q80" s="6">
        <v>0.15</v>
      </c>
      <c r="R80" s="6">
        <v>12.63</v>
      </c>
      <c r="T80" s="6">
        <v>0.33</v>
      </c>
      <c r="V80" s="6">
        <v>0.39</v>
      </c>
      <c r="W80" s="6">
        <v>0.64</v>
      </c>
      <c r="X80" s="6">
        <v>4.3</v>
      </c>
      <c r="Y80" s="6">
        <v>3.04</v>
      </c>
      <c r="Z80" s="6">
        <v>0.17253992023958861</v>
      </c>
      <c r="AA80" s="6">
        <v>1.099856065272278E-2</v>
      </c>
      <c r="AB80" s="6">
        <v>86.6</v>
      </c>
      <c r="AC80" s="6">
        <v>12</v>
      </c>
      <c r="AD80" s="6" t="s">
        <v>521</v>
      </c>
      <c r="AE80" s="6" t="s">
        <v>1136</v>
      </c>
    </row>
    <row r="81" spans="1:33" s="6" customFormat="1">
      <c r="A81" s="6" t="s">
        <v>1107</v>
      </c>
      <c r="B81" s="6" t="s">
        <v>1004</v>
      </c>
      <c r="C81" s="6" t="s">
        <v>1161</v>
      </c>
      <c r="D81" s="6">
        <v>800</v>
      </c>
      <c r="E81" s="6">
        <v>25</v>
      </c>
      <c r="F81" s="6">
        <f t="shared" si="6"/>
        <v>604800</v>
      </c>
      <c r="G81" s="9">
        <v>3.5046513928104248E-14</v>
      </c>
      <c r="H81" s="10">
        <f t="shared" si="4"/>
        <v>0.29117782624174837</v>
      </c>
      <c r="I81" s="6">
        <v>6.29</v>
      </c>
      <c r="J81" s="6" t="s">
        <v>1005</v>
      </c>
      <c r="K81" s="6">
        <v>48</v>
      </c>
      <c r="L81" s="6">
        <v>1</v>
      </c>
      <c r="M81" s="6">
        <v>1</v>
      </c>
      <c r="N81" s="6">
        <v>1</v>
      </c>
      <c r="O81" s="6">
        <v>0</v>
      </c>
      <c r="P81" s="6">
        <v>63.42</v>
      </c>
      <c r="Q81" s="6">
        <v>0.22</v>
      </c>
      <c r="R81" s="6">
        <v>12.59</v>
      </c>
      <c r="T81" s="6">
        <v>0.42</v>
      </c>
      <c r="V81" s="6">
        <v>0.35</v>
      </c>
      <c r="W81" s="6">
        <v>0.62</v>
      </c>
      <c r="X81" s="6">
        <v>4.6399999999999997</v>
      </c>
      <c r="Y81" s="6">
        <v>2.76</v>
      </c>
      <c r="Z81" s="6">
        <v>0.16452013643031158</v>
      </c>
      <c r="AA81" s="6">
        <v>1.420647417643359E-2</v>
      </c>
      <c r="AB81" s="6">
        <v>85.3</v>
      </c>
      <c r="AC81" s="6">
        <v>12</v>
      </c>
      <c r="AD81" s="6" t="s">
        <v>521</v>
      </c>
      <c r="AE81" s="6" t="s">
        <v>1136</v>
      </c>
    </row>
    <row r="82" spans="1:33" s="6" customFormat="1">
      <c r="A82" s="6" t="s">
        <v>1107</v>
      </c>
      <c r="B82" s="6" t="s">
        <v>1006</v>
      </c>
      <c r="C82" s="6" t="s">
        <v>1161</v>
      </c>
      <c r="D82" s="6">
        <v>800</v>
      </c>
      <c r="E82" s="6">
        <v>25</v>
      </c>
      <c r="F82" s="6">
        <f t="shared" si="6"/>
        <v>604800</v>
      </c>
      <c r="G82" s="9">
        <v>3.5046513928104248E-14</v>
      </c>
      <c r="H82" s="10">
        <f t="shared" si="4"/>
        <v>0.29117782624174837</v>
      </c>
      <c r="I82" s="6">
        <v>6.29</v>
      </c>
      <c r="J82" s="6" t="s">
        <v>993</v>
      </c>
      <c r="K82" s="6">
        <v>53</v>
      </c>
      <c r="L82" s="6">
        <v>1</v>
      </c>
      <c r="M82" s="6">
        <v>0</v>
      </c>
      <c r="N82" s="6">
        <v>1</v>
      </c>
      <c r="O82" s="6">
        <v>0</v>
      </c>
      <c r="P82" s="6">
        <v>62.64</v>
      </c>
      <c r="Q82" s="6">
        <v>0.21</v>
      </c>
      <c r="R82" s="6">
        <v>12.73</v>
      </c>
      <c r="T82" s="6">
        <v>0.48</v>
      </c>
      <c r="V82" s="6">
        <v>0.42</v>
      </c>
      <c r="W82" s="6">
        <v>0.68</v>
      </c>
      <c r="X82" s="6">
        <v>4.12</v>
      </c>
      <c r="Y82" s="6">
        <v>3.07</v>
      </c>
      <c r="Z82" s="6">
        <v>0.23234459378876868</v>
      </c>
      <c r="AA82" s="6">
        <v>1.420647417643359E-2</v>
      </c>
      <c r="AB82" s="6">
        <v>84.9</v>
      </c>
      <c r="AC82" s="6">
        <v>12</v>
      </c>
      <c r="AD82" s="6" t="s">
        <v>521</v>
      </c>
      <c r="AE82" s="6" t="s">
        <v>1136</v>
      </c>
    </row>
    <row r="83" spans="1:33" s="6" customFormat="1">
      <c r="A83" s="6" t="s">
        <v>1107</v>
      </c>
      <c r="B83" s="6" t="s">
        <v>1007</v>
      </c>
      <c r="C83" s="6" t="s">
        <v>1161</v>
      </c>
      <c r="D83" s="6">
        <v>800</v>
      </c>
      <c r="E83" s="6">
        <v>25</v>
      </c>
      <c r="F83" s="6">
        <f t="shared" si="6"/>
        <v>604800</v>
      </c>
      <c r="G83" s="9">
        <v>3.5046513928104248E-14</v>
      </c>
      <c r="H83" s="10">
        <f t="shared" si="4"/>
        <v>0.29117782624174837</v>
      </c>
      <c r="I83" s="6">
        <v>6.29</v>
      </c>
      <c r="J83" s="6" t="s">
        <v>1000</v>
      </c>
      <c r="K83" s="6">
        <v>62</v>
      </c>
      <c r="L83" s="6">
        <v>1</v>
      </c>
      <c r="M83" s="6">
        <v>1</v>
      </c>
      <c r="N83" s="6">
        <v>1</v>
      </c>
      <c r="O83" s="6">
        <v>0</v>
      </c>
      <c r="P83" s="6">
        <v>63.48</v>
      </c>
      <c r="Q83" s="6">
        <v>0.19</v>
      </c>
      <c r="R83" s="6">
        <v>12.3</v>
      </c>
      <c r="T83" s="6">
        <v>0.73</v>
      </c>
      <c r="V83" s="6">
        <v>0.6</v>
      </c>
      <c r="W83" s="6">
        <v>1.1100000000000001</v>
      </c>
      <c r="X83" s="6">
        <v>3.41</v>
      </c>
      <c r="Y83" s="6">
        <v>3.48</v>
      </c>
      <c r="Z83" s="6">
        <v>0.18949603457920286</v>
      </c>
      <c r="AA83" s="6">
        <v>4.3535969250361002E-3</v>
      </c>
      <c r="AB83" s="6">
        <v>86.06</v>
      </c>
      <c r="AC83" s="6">
        <v>11</v>
      </c>
      <c r="AD83" s="6" t="s">
        <v>521</v>
      </c>
      <c r="AE83" s="6" t="s">
        <v>1136</v>
      </c>
    </row>
    <row r="84" spans="1:33" s="6" customFormat="1">
      <c r="A84" s="6" t="s">
        <v>1107</v>
      </c>
      <c r="B84" s="6" t="s">
        <v>1008</v>
      </c>
      <c r="C84" s="6" t="s">
        <v>1161</v>
      </c>
      <c r="D84" s="6">
        <v>800</v>
      </c>
      <c r="E84" s="6">
        <v>25</v>
      </c>
      <c r="F84" s="6">
        <f t="shared" si="6"/>
        <v>604800</v>
      </c>
      <c r="G84" s="9">
        <v>3.5046513928104248E-14</v>
      </c>
      <c r="H84" s="10">
        <f t="shared" si="4"/>
        <v>0.29117782624174837</v>
      </c>
      <c r="I84" s="6">
        <v>6.29</v>
      </c>
      <c r="J84" s="6" t="s">
        <v>1005</v>
      </c>
      <c r="K84" s="6">
        <v>57</v>
      </c>
      <c r="L84" s="6">
        <v>1</v>
      </c>
      <c r="M84" s="6">
        <v>1</v>
      </c>
      <c r="N84" s="6">
        <v>1</v>
      </c>
      <c r="O84" s="6">
        <v>0</v>
      </c>
      <c r="P84" s="6">
        <v>62.38</v>
      </c>
      <c r="Q84" s="6">
        <v>0.19</v>
      </c>
      <c r="R84" s="6">
        <v>12.22</v>
      </c>
      <c r="T84" s="6">
        <v>0.65</v>
      </c>
      <c r="V84" s="6">
        <v>0.63</v>
      </c>
      <c r="W84" s="6">
        <v>0.95</v>
      </c>
      <c r="X84" s="6">
        <v>4</v>
      </c>
      <c r="Y84" s="6">
        <v>2.88</v>
      </c>
      <c r="Z84" s="6">
        <v>0.21745070957153995</v>
      </c>
      <c r="AA84" s="6">
        <v>3.6661868842409262E-3</v>
      </c>
      <c r="AB84" s="6">
        <v>84.48</v>
      </c>
      <c r="AC84" s="6">
        <v>12</v>
      </c>
      <c r="AD84" s="6" t="s">
        <v>521</v>
      </c>
      <c r="AE84" s="6" t="s">
        <v>1136</v>
      </c>
    </row>
    <row r="85" spans="1:33" s="6" customFormat="1">
      <c r="A85" s="6" t="s">
        <v>1107</v>
      </c>
      <c r="B85" s="6" t="s">
        <v>1009</v>
      </c>
      <c r="C85" s="6" t="s">
        <v>1161</v>
      </c>
      <c r="D85" s="6">
        <v>800</v>
      </c>
      <c r="E85" s="6">
        <v>25</v>
      </c>
      <c r="F85" s="6">
        <f t="shared" si="6"/>
        <v>604800</v>
      </c>
      <c r="G85" s="9">
        <v>3.5046513928104248E-14</v>
      </c>
      <c r="H85" s="10">
        <f t="shared" si="4"/>
        <v>0.29117782624174837</v>
      </c>
      <c r="I85" s="6">
        <v>6.29</v>
      </c>
      <c r="J85" s="6" t="s">
        <v>1010</v>
      </c>
      <c r="K85" s="6">
        <v>54</v>
      </c>
      <c r="L85" s="6">
        <v>1</v>
      </c>
      <c r="M85" s="6">
        <v>1</v>
      </c>
      <c r="N85" s="6">
        <v>1</v>
      </c>
      <c r="O85" s="6">
        <v>0</v>
      </c>
      <c r="P85" s="6">
        <v>63.13</v>
      </c>
      <c r="Q85" s="6">
        <v>0.23</v>
      </c>
      <c r="R85" s="6">
        <v>12.55</v>
      </c>
      <c r="T85" s="6">
        <v>0.56000000000000005</v>
      </c>
      <c r="V85" s="6">
        <v>0.49</v>
      </c>
      <c r="W85" s="6">
        <v>0.82</v>
      </c>
      <c r="X85" s="6">
        <v>4.2300000000000004</v>
      </c>
      <c r="Y85" s="6">
        <v>2.78</v>
      </c>
      <c r="Z85" s="6">
        <v>0.20370250875563647</v>
      </c>
      <c r="AA85" s="6">
        <v>1.2831654094843242E-2</v>
      </c>
      <c r="AB85" s="6">
        <v>85.19</v>
      </c>
      <c r="AC85" s="6">
        <v>12</v>
      </c>
      <c r="AD85" s="6" t="s">
        <v>521</v>
      </c>
      <c r="AE85" s="6" t="s">
        <v>1136</v>
      </c>
    </row>
    <row r="86" spans="1:33" s="6" customFormat="1">
      <c r="A86" s="6" t="s">
        <v>1103</v>
      </c>
      <c r="B86" s="6">
        <v>1</v>
      </c>
      <c r="C86" s="24" t="s">
        <v>574</v>
      </c>
      <c r="D86" s="6">
        <v>1225</v>
      </c>
      <c r="E86" s="6">
        <v>30</v>
      </c>
      <c r="F86" s="6">
        <f>5*3600</f>
        <v>18000</v>
      </c>
      <c r="G86" s="9">
        <v>3.7540404238698074E-12</v>
      </c>
      <c r="H86" s="10">
        <f t="shared" si="4"/>
        <v>0.51989509568626069</v>
      </c>
      <c r="I86" s="6" t="s">
        <v>950</v>
      </c>
      <c r="J86" s="6" t="s">
        <v>963</v>
      </c>
      <c r="K86" s="6">
        <v>20</v>
      </c>
      <c r="L86" s="6">
        <v>1</v>
      </c>
      <c r="M86" s="6">
        <v>1</v>
      </c>
      <c r="N86" s="6">
        <v>1</v>
      </c>
      <c r="O86" s="6">
        <v>0</v>
      </c>
      <c r="P86" s="6">
        <v>39.200000000000003</v>
      </c>
      <c r="Q86" s="6">
        <v>3.54</v>
      </c>
      <c r="R86" s="6">
        <v>5.76</v>
      </c>
      <c r="T86" s="6">
        <v>11.7</v>
      </c>
      <c r="U86" s="6">
        <v>0.08</v>
      </c>
      <c r="V86" s="6">
        <v>10.6</v>
      </c>
      <c r="W86" s="6">
        <v>14</v>
      </c>
      <c r="X86" s="6">
        <v>1.75</v>
      </c>
      <c r="Y86" s="6">
        <v>3.07</v>
      </c>
      <c r="Z86" s="6">
        <v>0.91</v>
      </c>
      <c r="AB86" s="6">
        <v>90.61</v>
      </c>
      <c r="AE86" s="6" t="s">
        <v>1159</v>
      </c>
    </row>
    <row r="87" spans="1:33" s="6" customFormat="1">
      <c r="A87" s="8" t="s">
        <v>1073</v>
      </c>
      <c r="B87" s="6" t="s">
        <v>576</v>
      </c>
      <c r="C87" s="8" t="s">
        <v>645</v>
      </c>
      <c r="D87" s="6">
        <v>1026</v>
      </c>
      <c r="E87" s="8">
        <v>1.0000000000000001E-5</v>
      </c>
      <c r="F87" s="6">
        <f>72*3600</f>
        <v>259200</v>
      </c>
      <c r="G87" s="9">
        <v>6.1572909166176672E-13</v>
      </c>
      <c r="H87" s="10">
        <f t="shared" si="4"/>
        <v>0.79899181612512138</v>
      </c>
      <c r="I87" s="6">
        <v>0</v>
      </c>
      <c r="J87" s="6" t="s">
        <v>577</v>
      </c>
      <c r="K87" s="6">
        <v>28</v>
      </c>
      <c r="L87" s="6">
        <v>1</v>
      </c>
      <c r="M87" s="6">
        <v>1</v>
      </c>
      <c r="N87" s="6">
        <v>1</v>
      </c>
      <c r="O87" s="6">
        <v>1</v>
      </c>
      <c r="P87" s="6">
        <v>50.3</v>
      </c>
      <c r="Q87" s="6">
        <v>1.53</v>
      </c>
      <c r="R87" s="6">
        <v>18.5</v>
      </c>
      <c r="T87" s="6">
        <v>7.58</v>
      </c>
      <c r="U87" s="6">
        <v>0.14000000000000001</v>
      </c>
      <c r="V87" s="6">
        <v>3.28</v>
      </c>
      <c r="W87" s="6">
        <v>4.32</v>
      </c>
      <c r="X87" s="6">
        <v>6.51</v>
      </c>
      <c r="Y87" s="6">
        <v>5.0999999999999996</v>
      </c>
      <c r="Z87" s="6">
        <v>2.69</v>
      </c>
      <c r="AB87" s="6">
        <f>SUM(P87:Z87)</f>
        <v>99.95</v>
      </c>
      <c r="AC87" s="6">
        <v>0</v>
      </c>
      <c r="AD87" s="6" t="s">
        <v>33</v>
      </c>
      <c r="AE87" s="6" t="s">
        <v>1116</v>
      </c>
    </row>
    <row r="88" spans="1:33" s="6" customFormat="1">
      <c r="A88" s="8" t="s">
        <v>1069</v>
      </c>
      <c r="B88" s="6" t="s">
        <v>529</v>
      </c>
      <c r="C88" s="8" t="s">
        <v>1126</v>
      </c>
      <c r="D88" s="25">
        <v>1082</v>
      </c>
      <c r="E88" s="8">
        <v>2</v>
      </c>
      <c r="F88" s="6">
        <v>507600</v>
      </c>
      <c r="G88" s="9">
        <v>1.0805348563450973E-12</v>
      </c>
      <c r="H88" s="10">
        <v>1.4811880273358564</v>
      </c>
      <c r="L88" s="6">
        <v>1</v>
      </c>
      <c r="M88" s="6">
        <v>1</v>
      </c>
      <c r="N88" s="6">
        <v>1</v>
      </c>
      <c r="O88" s="6">
        <v>0</v>
      </c>
      <c r="P88" s="6">
        <v>43.4</v>
      </c>
      <c r="Q88" s="6">
        <v>0.56999999999999995</v>
      </c>
      <c r="R88" s="6">
        <v>13.71</v>
      </c>
      <c r="T88" s="6">
        <v>13.82</v>
      </c>
      <c r="U88" s="6">
        <v>0.28000000000000003</v>
      </c>
      <c r="V88" s="6">
        <v>6.53</v>
      </c>
      <c r="W88" s="6">
        <v>12.39</v>
      </c>
      <c r="X88" s="6">
        <v>1.64</v>
      </c>
      <c r="Y88" s="6">
        <v>0.65</v>
      </c>
      <c r="Z88" s="6">
        <v>3.69</v>
      </c>
      <c r="AA88" s="6">
        <v>0.04</v>
      </c>
      <c r="AB88" s="6">
        <v>98.54</v>
      </c>
      <c r="AE88" s="6" t="s">
        <v>1117</v>
      </c>
    </row>
    <row r="89" spans="1:33" s="6" customFormat="1">
      <c r="A89" s="8" t="s">
        <v>1069</v>
      </c>
      <c r="B89" s="6" t="s">
        <v>530</v>
      </c>
      <c r="C89" s="8" t="s">
        <v>1126</v>
      </c>
      <c r="D89" s="25">
        <v>1066</v>
      </c>
      <c r="E89" s="8">
        <v>2</v>
      </c>
      <c r="F89" s="6">
        <v>424800</v>
      </c>
      <c r="G89" s="9">
        <v>9.245657304618105E-13</v>
      </c>
      <c r="H89" s="10">
        <v>1.2534042002485504</v>
      </c>
      <c r="L89" s="6">
        <v>1</v>
      </c>
      <c r="M89" s="6">
        <v>1</v>
      </c>
      <c r="N89" s="6">
        <v>1</v>
      </c>
      <c r="O89" s="6">
        <v>0</v>
      </c>
      <c r="P89" s="6">
        <v>42.4</v>
      </c>
      <c r="Q89" s="6">
        <v>0.57999999999999996</v>
      </c>
      <c r="R89" s="6">
        <v>13.34</v>
      </c>
      <c r="T89" s="6">
        <v>12.1</v>
      </c>
      <c r="U89" s="6">
        <v>0.32</v>
      </c>
      <c r="V89" s="6">
        <v>6.72</v>
      </c>
      <c r="W89" s="6">
        <v>13.42</v>
      </c>
      <c r="X89" s="6">
        <v>1.21</v>
      </c>
      <c r="Y89" s="6">
        <v>0.15</v>
      </c>
      <c r="Z89" s="6">
        <v>4.8499999999999996</v>
      </c>
      <c r="AA89" s="6">
        <v>0.16</v>
      </c>
      <c r="AB89" s="6">
        <v>97</v>
      </c>
      <c r="AE89" s="6" t="s">
        <v>1117</v>
      </c>
    </row>
    <row r="90" spans="1:33" s="6" customFormat="1">
      <c r="A90" s="8" t="s">
        <v>1069</v>
      </c>
      <c r="B90" s="6" t="s">
        <v>533</v>
      </c>
      <c r="C90" s="8" t="s">
        <v>1126</v>
      </c>
      <c r="D90" s="25">
        <v>1110</v>
      </c>
      <c r="E90" s="8">
        <v>2</v>
      </c>
      <c r="F90" s="6">
        <v>1159200</v>
      </c>
      <c r="G90" s="9">
        <v>1.407170091714212E-12</v>
      </c>
      <c r="H90" s="10">
        <v>2.5543622063561107</v>
      </c>
      <c r="L90" s="6">
        <v>1</v>
      </c>
      <c r="M90" s="6">
        <v>1</v>
      </c>
      <c r="N90" s="6">
        <v>1</v>
      </c>
      <c r="O90" s="6">
        <v>0</v>
      </c>
      <c r="P90" s="6">
        <v>39.82</v>
      </c>
      <c r="Q90" s="6">
        <v>0.5</v>
      </c>
      <c r="R90" s="6">
        <v>12.21</v>
      </c>
      <c r="T90" s="6">
        <v>13.79</v>
      </c>
      <c r="U90" s="6">
        <v>0.32</v>
      </c>
      <c r="V90" s="6">
        <v>5.77</v>
      </c>
      <c r="W90" s="6">
        <v>13.67</v>
      </c>
      <c r="X90" s="6">
        <v>1.06</v>
      </c>
      <c r="Y90" s="6">
        <v>0.15</v>
      </c>
      <c r="Z90" s="6">
        <v>4.28</v>
      </c>
      <c r="AA90" s="6">
        <v>0.04</v>
      </c>
      <c r="AB90" s="6">
        <v>95.31</v>
      </c>
      <c r="AE90" s="6" t="s">
        <v>1117</v>
      </c>
    </row>
    <row r="91" spans="1:33" s="6" customFormat="1">
      <c r="A91" s="8" t="s">
        <v>1095</v>
      </c>
      <c r="B91" s="36" t="s">
        <v>875</v>
      </c>
      <c r="C91" s="8" t="s">
        <v>1126</v>
      </c>
      <c r="D91" s="12">
        <v>1050</v>
      </c>
      <c r="E91" s="6">
        <v>1E-4</v>
      </c>
      <c r="F91" s="11">
        <f t="shared" ref="F91:F104" si="7">8*3600</f>
        <v>28800</v>
      </c>
      <c r="G91" s="9">
        <v>7.8813293078769567E-13</v>
      </c>
      <c r="H91" s="10">
        <f t="shared" ref="H91:H122" si="8">2*SQRT(G91*F91)*1000</f>
        <v>0.30131862475914523</v>
      </c>
      <c r="I91" s="13" t="s">
        <v>616</v>
      </c>
      <c r="J91" s="6" t="s">
        <v>876</v>
      </c>
      <c r="L91" s="6">
        <v>0</v>
      </c>
      <c r="M91" s="6">
        <v>1</v>
      </c>
      <c r="N91" s="6">
        <v>1</v>
      </c>
      <c r="O91" s="6">
        <v>0</v>
      </c>
      <c r="P91" s="14">
        <v>44.04</v>
      </c>
      <c r="Q91" s="14">
        <v>1.84</v>
      </c>
      <c r="R91" s="14">
        <v>12.36</v>
      </c>
      <c r="S91" s="14">
        <v>0.06</v>
      </c>
      <c r="T91" s="14">
        <v>18.82</v>
      </c>
      <c r="U91" s="14">
        <v>0.42</v>
      </c>
      <c r="V91" s="14">
        <v>6.18</v>
      </c>
      <c r="W91" s="14">
        <v>7.63</v>
      </c>
      <c r="X91" s="14">
        <v>1.37</v>
      </c>
      <c r="Y91" s="14"/>
      <c r="Z91" s="14">
        <v>6.63</v>
      </c>
      <c r="AA91" s="14">
        <v>0.12</v>
      </c>
      <c r="AB91" s="14"/>
      <c r="AC91" s="15">
        <v>0</v>
      </c>
      <c r="AE91" s="6" t="s">
        <v>1116</v>
      </c>
    </row>
    <row r="92" spans="1:33" s="6" customFormat="1">
      <c r="A92" s="8" t="s">
        <v>1095</v>
      </c>
      <c r="B92" s="36" t="s">
        <v>877</v>
      </c>
      <c r="C92" s="8" t="s">
        <v>1126</v>
      </c>
      <c r="D92" s="12">
        <v>1000</v>
      </c>
      <c r="E92" s="6">
        <v>1E-4</v>
      </c>
      <c r="F92" s="11">
        <f t="shared" si="7"/>
        <v>28800</v>
      </c>
      <c r="G92" s="9">
        <v>4.6632042652511761E-13</v>
      </c>
      <c r="H92" s="10">
        <f t="shared" si="8"/>
        <v>0.23177599775579338</v>
      </c>
      <c r="I92" s="13" t="s">
        <v>616</v>
      </c>
      <c r="J92" s="6" t="s">
        <v>878</v>
      </c>
      <c r="L92" s="6">
        <v>0</v>
      </c>
      <c r="M92" s="6">
        <v>1</v>
      </c>
      <c r="N92" s="6">
        <v>1</v>
      </c>
      <c r="O92" s="6">
        <v>0</v>
      </c>
      <c r="P92" s="14">
        <v>46.59</v>
      </c>
      <c r="Q92" s="14">
        <v>2.0499999999999998</v>
      </c>
      <c r="R92" s="14">
        <v>15.5</v>
      </c>
      <c r="S92" s="14">
        <v>0.01</v>
      </c>
      <c r="T92" s="14">
        <v>17.78</v>
      </c>
      <c r="U92" s="14">
        <v>0.42</v>
      </c>
      <c r="V92" s="14">
        <v>3.87</v>
      </c>
      <c r="W92" s="14">
        <v>6.06</v>
      </c>
      <c r="X92" s="14">
        <v>1.76</v>
      </c>
      <c r="Y92" s="14"/>
      <c r="Z92" s="14">
        <v>5.3</v>
      </c>
      <c r="AA92" s="14">
        <v>0.56999999999999995</v>
      </c>
      <c r="AB92" s="14"/>
      <c r="AC92" s="15">
        <v>0</v>
      </c>
      <c r="AE92" s="6" t="s">
        <v>1116</v>
      </c>
      <c r="AG92" s="6" t="s">
        <v>1181</v>
      </c>
    </row>
    <row r="93" spans="1:33" s="6" customFormat="1">
      <c r="A93" s="8" t="s">
        <v>1095</v>
      </c>
      <c r="B93" s="36" t="s">
        <v>879</v>
      </c>
      <c r="C93" s="8" t="s">
        <v>1126</v>
      </c>
      <c r="D93" s="12">
        <v>950</v>
      </c>
      <c r="E93" s="6">
        <v>1E-4</v>
      </c>
      <c r="F93" s="11">
        <f t="shared" si="7"/>
        <v>28800</v>
      </c>
      <c r="G93" s="9">
        <v>2.6432360916877484E-13</v>
      </c>
      <c r="H93" s="10">
        <f t="shared" si="8"/>
        <v>0.17449951225216323</v>
      </c>
      <c r="I93" s="13" t="s">
        <v>616</v>
      </c>
      <c r="J93" s="6" t="s">
        <v>880</v>
      </c>
      <c r="L93" s="6">
        <v>0</v>
      </c>
      <c r="M93" s="6">
        <v>1</v>
      </c>
      <c r="N93" s="6">
        <v>1</v>
      </c>
      <c r="O93" s="6">
        <v>0</v>
      </c>
      <c r="P93" s="14">
        <v>48.19</v>
      </c>
      <c r="Q93" s="14">
        <v>2.08</v>
      </c>
      <c r="R93" s="14">
        <v>16.16</v>
      </c>
      <c r="S93" s="14">
        <v>0</v>
      </c>
      <c r="T93" s="14">
        <v>17.899999999999999</v>
      </c>
      <c r="U93" s="14">
        <v>0.41</v>
      </c>
      <c r="V93" s="14">
        <v>2.75</v>
      </c>
      <c r="W93" s="14">
        <v>4.8499999999999996</v>
      </c>
      <c r="X93" s="14">
        <v>2.16</v>
      </c>
      <c r="Z93" s="14">
        <v>4.34</v>
      </c>
      <c r="AA93" s="14">
        <v>0.37</v>
      </c>
      <c r="AB93" s="14"/>
      <c r="AC93" s="15">
        <v>0</v>
      </c>
      <c r="AE93" s="6" t="s">
        <v>1116</v>
      </c>
      <c r="AG93" s="6" t="s">
        <v>1181</v>
      </c>
    </row>
    <row r="94" spans="1:33" s="6" customFormat="1">
      <c r="A94" s="8" t="s">
        <v>1095</v>
      </c>
      <c r="B94" s="36" t="s">
        <v>881</v>
      </c>
      <c r="C94" s="8" t="s">
        <v>1126</v>
      </c>
      <c r="D94" s="12">
        <v>1050</v>
      </c>
      <c r="E94" s="6">
        <v>1E-4</v>
      </c>
      <c r="F94" s="11">
        <f t="shared" si="7"/>
        <v>28800</v>
      </c>
      <c r="G94" s="9">
        <v>7.8813293078769567E-13</v>
      </c>
      <c r="H94" s="10">
        <f t="shared" si="8"/>
        <v>0.30131862475914523</v>
      </c>
      <c r="I94" s="13" t="s">
        <v>616</v>
      </c>
      <c r="J94" s="6" t="s">
        <v>882</v>
      </c>
      <c r="L94" s="6">
        <v>0</v>
      </c>
      <c r="M94" s="6">
        <v>1</v>
      </c>
      <c r="N94" s="6">
        <v>1</v>
      </c>
      <c r="O94" s="6">
        <v>0</v>
      </c>
      <c r="P94" s="14">
        <v>43.69</v>
      </c>
      <c r="Q94" s="14">
        <v>1.8</v>
      </c>
      <c r="R94" s="14">
        <v>12.29</v>
      </c>
      <c r="S94" s="14">
        <v>7.0000000000000007E-2</v>
      </c>
      <c r="T94" s="14">
        <v>18.64</v>
      </c>
      <c r="U94" s="14">
        <v>0.42</v>
      </c>
      <c r="V94" s="14">
        <v>6.02</v>
      </c>
      <c r="W94" s="14">
        <v>7.9</v>
      </c>
      <c r="X94" s="14">
        <v>1.43</v>
      </c>
      <c r="Y94" s="14"/>
      <c r="Z94" s="14">
        <v>6.76</v>
      </c>
      <c r="AA94" s="14">
        <v>0.18</v>
      </c>
      <c r="AB94" s="14"/>
      <c r="AC94" s="15">
        <v>0</v>
      </c>
      <c r="AE94" s="6" t="s">
        <v>1116</v>
      </c>
    </row>
    <row r="95" spans="1:33" s="6" customFormat="1">
      <c r="A95" s="8" t="s">
        <v>1095</v>
      </c>
      <c r="B95" s="36" t="s">
        <v>883</v>
      </c>
      <c r="C95" s="8" t="s">
        <v>1126</v>
      </c>
      <c r="D95" s="12">
        <v>1000</v>
      </c>
      <c r="E95" s="6">
        <v>1E-4</v>
      </c>
      <c r="F95" s="11">
        <f t="shared" si="7"/>
        <v>28800</v>
      </c>
      <c r="G95" s="9">
        <v>4.6632042652511761E-13</v>
      </c>
      <c r="H95" s="10">
        <f t="shared" si="8"/>
        <v>0.23177599775579338</v>
      </c>
      <c r="I95" s="13" t="s">
        <v>616</v>
      </c>
      <c r="J95" s="6" t="s">
        <v>884</v>
      </c>
      <c r="L95" s="6">
        <v>0</v>
      </c>
      <c r="M95" s="6">
        <v>1</v>
      </c>
      <c r="N95" s="6">
        <v>1</v>
      </c>
      <c r="O95" s="6">
        <v>0</v>
      </c>
      <c r="P95" s="14">
        <v>44.96</v>
      </c>
      <c r="Q95" s="14">
        <v>2.2000000000000002</v>
      </c>
      <c r="R95" s="14">
        <v>14.89</v>
      </c>
      <c r="S95" s="14">
        <v>0.01</v>
      </c>
      <c r="T95" s="14">
        <v>19.03</v>
      </c>
      <c r="U95" s="14">
        <v>0.42</v>
      </c>
      <c r="V95" s="14">
        <v>4.0199999999999996</v>
      </c>
      <c r="W95" s="14">
        <v>6.36</v>
      </c>
      <c r="X95" s="14">
        <v>1.72</v>
      </c>
      <c r="Y95" s="14"/>
      <c r="Z95" s="14">
        <v>5.63</v>
      </c>
      <c r="AA95" s="14">
        <v>0.28999999999999998</v>
      </c>
      <c r="AB95" s="14"/>
      <c r="AC95" s="15">
        <v>0</v>
      </c>
      <c r="AE95" s="6" t="s">
        <v>1116</v>
      </c>
    </row>
    <row r="96" spans="1:33" s="6" customFormat="1">
      <c r="A96" s="8" t="s">
        <v>1095</v>
      </c>
      <c r="B96" s="36" t="s">
        <v>885</v>
      </c>
      <c r="C96" s="8" t="s">
        <v>1126</v>
      </c>
      <c r="D96" s="12">
        <v>950</v>
      </c>
      <c r="E96" s="6">
        <v>1E-4</v>
      </c>
      <c r="F96" s="11">
        <f t="shared" si="7"/>
        <v>28800</v>
      </c>
      <c r="G96" s="9">
        <v>2.6432360916877484E-13</v>
      </c>
      <c r="H96" s="10">
        <f t="shared" si="8"/>
        <v>0.17449951225216323</v>
      </c>
      <c r="I96" s="13" t="s">
        <v>616</v>
      </c>
      <c r="J96" s="6" t="s">
        <v>886</v>
      </c>
      <c r="L96" s="6">
        <v>0</v>
      </c>
      <c r="M96" s="6">
        <v>1</v>
      </c>
      <c r="N96" s="6">
        <v>1</v>
      </c>
      <c r="O96" s="6">
        <v>0</v>
      </c>
      <c r="P96" s="14">
        <v>49.94</v>
      </c>
      <c r="Q96" s="14">
        <v>2.0499999999999998</v>
      </c>
      <c r="R96" s="14">
        <v>15.87</v>
      </c>
      <c r="S96" s="14">
        <v>0.01</v>
      </c>
      <c r="T96" s="14">
        <v>17.149999999999999</v>
      </c>
      <c r="U96" s="14">
        <v>0.41</v>
      </c>
      <c r="V96" s="14">
        <v>2.37</v>
      </c>
      <c r="W96" s="14">
        <v>4.72</v>
      </c>
      <c r="X96" s="14">
        <v>2.25</v>
      </c>
      <c r="Y96" s="14"/>
      <c r="Z96" s="14">
        <v>4.0199999999999996</v>
      </c>
      <c r="AA96" s="14">
        <v>1.05</v>
      </c>
      <c r="AB96" s="14"/>
      <c r="AC96" s="15">
        <v>0</v>
      </c>
      <c r="AE96" s="6" t="s">
        <v>1116</v>
      </c>
      <c r="AG96" s="6" t="s">
        <v>1181</v>
      </c>
    </row>
    <row r="97" spans="1:33" s="6" customFormat="1">
      <c r="A97" s="8" t="s">
        <v>1095</v>
      </c>
      <c r="B97" s="36" t="s">
        <v>887</v>
      </c>
      <c r="C97" s="8" t="s">
        <v>1126</v>
      </c>
      <c r="D97" s="12">
        <v>1050</v>
      </c>
      <c r="E97" s="6">
        <v>1E-4</v>
      </c>
      <c r="F97" s="11">
        <f t="shared" si="7"/>
        <v>28800</v>
      </c>
      <c r="G97" s="9">
        <v>7.8813293078769567E-13</v>
      </c>
      <c r="H97" s="10">
        <f t="shared" si="8"/>
        <v>0.30131862475914523</v>
      </c>
      <c r="I97" s="13" t="s">
        <v>616</v>
      </c>
      <c r="J97" s="6" t="s">
        <v>882</v>
      </c>
      <c r="L97" s="6">
        <v>0</v>
      </c>
      <c r="M97" s="6">
        <v>1</v>
      </c>
      <c r="N97" s="6">
        <v>1</v>
      </c>
      <c r="O97" s="6">
        <v>0</v>
      </c>
      <c r="P97" s="14">
        <v>43.26</v>
      </c>
      <c r="Q97" s="14">
        <v>1.84</v>
      </c>
      <c r="R97" s="14">
        <v>12.07</v>
      </c>
      <c r="S97" s="14">
        <v>7.0000000000000007E-2</v>
      </c>
      <c r="T97" s="14">
        <v>18.64</v>
      </c>
      <c r="U97" s="14">
        <v>0.52</v>
      </c>
      <c r="V97" s="14">
        <v>5.93</v>
      </c>
      <c r="W97" s="14">
        <v>8.0399999999999991</v>
      </c>
      <c r="X97" s="14">
        <v>1.46</v>
      </c>
      <c r="Y97" s="14"/>
      <c r="Z97" s="14">
        <v>6.99</v>
      </c>
      <c r="AA97" s="14">
        <v>0.12</v>
      </c>
      <c r="AB97" s="14"/>
      <c r="AC97" s="15">
        <v>0</v>
      </c>
      <c r="AE97" s="6" t="s">
        <v>1116</v>
      </c>
    </row>
    <row r="98" spans="1:33" s="6" customFormat="1">
      <c r="A98" s="8" t="s">
        <v>1095</v>
      </c>
      <c r="B98" s="36" t="s">
        <v>888</v>
      </c>
      <c r="C98" s="8" t="s">
        <v>1126</v>
      </c>
      <c r="D98" s="12">
        <v>1000</v>
      </c>
      <c r="E98" s="6">
        <v>1E-4</v>
      </c>
      <c r="F98" s="11">
        <f t="shared" si="7"/>
        <v>28800</v>
      </c>
      <c r="G98" s="9">
        <v>4.6632042652511761E-13</v>
      </c>
      <c r="H98" s="10">
        <f t="shared" si="8"/>
        <v>0.23177599775579338</v>
      </c>
      <c r="I98" s="13" t="s">
        <v>616</v>
      </c>
      <c r="J98" s="6" t="s">
        <v>884</v>
      </c>
      <c r="L98" s="6">
        <v>0</v>
      </c>
      <c r="M98" s="6">
        <v>1</v>
      </c>
      <c r="N98" s="6">
        <v>1</v>
      </c>
      <c r="O98" s="6">
        <v>0</v>
      </c>
      <c r="P98" s="14">
        <v>45.32</v>
      </c>
      <c r="Q98" s="14">
        <v>2.11</v>
      </c>
      <c r="R98" s="14">
        <v>14.83</v>
      </c>
      <c r="S98" s="14">
        <v>0.02</v>
      </c>
      <c r="T98" s="14">
        <v>18.29</v>
      </c>
      <c r="U98" s="14">
        <v>0.4</v>
      </c>
      <c r="V98" s="14">
        <v>3.98</v>
      </c>
      <c r="W98" s="14">
        <v>6.59</v>
      </c>
      <c r="X98" s="14">
        <v>1.68</v>
      </c>
      <c r="Y98" s="14"/>
      <c r="Z98" s="14">
        <v>5.84</v>
      </c>
      <c r="AA98" s="14">
        <v>0.35</v>
      </c>
      <c r="AB98" s="14"/>
      <c r="AC98" s="15">
        <v>0</v>
      </c>
      <c r="AE98" s="6" t="s">
        <v>1116</v>
      </c>
    </row>
    <row r="99" spans="1:33" s="6" customFormat="1">
      <c r="A99" s="8" t="s">
        <v>1095</v>
      </c>
      <c r="B99" s="36" t="s">
        <v>889</v>
      </c>
      <c r="C99" s="8" t="s">
        <v>1126</v>
      </c>
      <c r="D99" s="12">
        <v>950</v>
      </c>
      <c r="E99" s="6">
        <v>1E-4</v>
      </c>
      <c r="F99" s="11">
        <f t="shared" si="7"/>
        <v>28800</v>
      </c>
      <c r="G99" s="9">
        <v>2.6432360916877484E-13</v>
      </c>
      <c r="H99" s="10">
        <f t="shared" si="8"/>
        <v>0.17449951225216323</v>
      </c>
      <c r="I99" s="13" t="s">
        <v>616</v>
      </c>
      <c r="J99" s="6" t="s">
        <v>890</v>
      </c>
      <c r="L99" s="6">
        <v>0</v>
      </c>
      <c r="M99" s="6">
        <v>1</v>
      </c>
      <c r="N99" s="6">
        <v>1</v>
      </c>
      <c r="O99" s="6">
        <v>0</v>
      </c>
      <c r="P99" s="14">
        <v>48.53</v>
      </c>
      <c r="Q99" s="14">
        <v>2.0299999999999998</v>
      </c>
      <c r="R99" s="14">
        <v>15.21</v>
      </c>
      <c r="S99" s="14">
        <v>0.01</v>
      </c>
      <c r="T99" s="14">
        <v>17.71</v>
      </c>
      <c r="U99" s="14">
        <v>0.42</v>
      </c>
      <c r="V99" s="14">
        <v>2.3199999999999998</v>
      </c>
      <c r="W99" s="14">
        <v>5.36</v>
      </c>
      <c r="X99" s="14">
        <v>2.46</v>
      </c>
      <c r="Y99" s="14"/>
      <c r="Z99" s="14">
        <v>4.18</v>
      </c>
      <c r="AA99" s="14">
        <v>0.84</v>
      </c>
      <c r="AB99" s="14"/>
      <c r="AC99" s="15">
        <v>0</v>
      </c>
      <c r="AE99" s="6" t="s">
        <v>1116</v>
      </c>
    </row>
    <row r="100" spans="1:33" s="6" customFormat="1">
      <c r="A100" s="8" t="s">
        <v>1095</v>
      </c>
      <c r="B100" s="36" t="s">
        <v>891</v>
      </c>
      <c r="C100" s="8" t="s">
        <v>1126</v>
      </c>
      <c r="D100" s="12">
        <v>1050</v>
      </c>
      <c r="E100" s="6">
        <v>1E-4</v>
      </c>
      <c r="F100" s="11">
        <f t="shared" si="7"/>
        <v>28800</v>
      </c>
      <c r="G100" s="9">
        <v>7.8813293078769567E-13</v>
      </c>
      <c r="H100" s="10">
        <f t="shared" si="8"/>
        <v>0.30131862475914523</v>
      </c>
      <c r="I100" s="13" t="s">
        <v>616</v>
      </c>
      <c r="J100" s="6" t="s">
        <v>882</v>
      </c>
      <c r="L100" s="6">
        <v>0</v>
      </c>
      <c r="M100" s="6">
        <v>1</v>
      </c>
      <c r="N100" s="6">
        <v>1</v>
      </c>
      <c r="O100" s="6">
        <v>0</v>
      </c>
      <c r="P100" s="14">
        <v>42.51</v>
      </c>
      <c r="Q100" s="14">
        <v>1.77</v>
      </c>
      <c r="R100" s="14">
        <v>11.99</v>
      </c>
      <c r="S100" s="14">
        <v>7.0000000000000007E-2</v>
      </c>
      <c r="T100" s="14">
        <v>18.78</v>
      </c>
      <c r="U100" s="14">
        <v>0.43</v>
      </c>
      <c r="V100" s="14">
        <v>5.87</v>
      </c>
      <c r="W100" s="14">
        <v>8.4</v>
      </c>
      <c r="X100" s="14">
        <v>1.41</v>
      </c>
      <c r="Y100" s="14"/>
      <c r="Z100" s="14">
        <v>7.24</v>
      </c>
      <c r="AA100" s="14">
        <v>0.19</v>
      </c>
      <c r="AB100" s="14"/>
      <c r="AC100" s="15">
        <v>0</v>
      </c>
      <c r="AE100" s="6" t="s">
        <v>1116</v>
      </c>
    </row>
    <row r="101" spans="1:33" s="6" customFormat="1">
      <c r="A101" s="8" t="s">
        <v>1095</v>
      </c>
      <c r="B101" s="36" t="s">
        <v>892</v>
      </c>
      <c r="C101" s="8" t="s">
        <v>1126</v>
      </c>
      <c r="D101" s="12">
        <v>950</v>
      </c>
      <c r="E101" s="6">
        <v>1E-4</v>
      </c>
      <c r="F101" s="11">
        <f t="shared" si="7"/>
        <v>28800</v>
      </c>
      <c r="G101" s="9">
        <v>2.6432360916877484E-13</v>
      </c>
      <c r="H101" s="10">
        <f t="shared" si="8"/>
        <v>0.17449951225216323</v>
      </c>
      <c r="I101" s="13" t="s">
        <v>616</v>
      </c>
      <c r="J101" s="6" t="s">
        <v>893</v>
      </c>
      <c r="L101" s="6">
        <v>0</v>
      </c>
      <c r="M101" s="6">
        <v>1</v>
      </c>
      <c r="N101" s="6">
        <v>1</v>
      </c>
      <c r="O101" s="6">
        <v>0</v>
      </c>
      <c r="P101" s="14">
        <v>34.68</v>
      </c>
      <c r="Q101" s="14">
        <v>2.21</v>
      </c>
      <c r="R101" s="14">
        <v>10.71</v>
      </c>
      <c r="S101" s="14">
        <v>0.01</v>
      </c>
      <c r="T101" s="14">
        <v>26.86</v>
      </c>
      <c r="U101" s="14">
        <v>0.64</v>
      </c>
      <c r="V101" s="14">
        <v>3.77</v>
      </c>
      <c r="W101" s="14">
        <v>6.4</v>
      </c>
      <c r="X101" s="14">
        <v>1.37</v>
      </c>
      <c r="Y101" s="14"/>
      <c r="Z101" s="14">
        <v>10.11</v>
      </c>
      <c r="AA101" s="14">
        <v>5.16</v>
      </c>
      <c r="AB101" s="14"/>
      <c r="AC101" s="15">
        <v>0</v>
      </c>
      <c r="AE101" s="6" t="s">
        <v>1116</v>
      </c>
      <c r="AG101" s="6" t="s">
        <v>1181</v>
      </c>
    </row>
    <row r="102" spans="1:33" s="6" customFormat="1">
      <c r="A102" s="8" t="s">
        <v>1095</v>
      </c>
      <c r="B102" s="36" t="s">
        <v>894</v>
      </c>
      <c r="C102" s="8" t="s">
        <v>1126</v>
      </c>
      <c r="D102" s="12">
        <v>1050</v>
      </c>
      <c r="E102" s="6">
        <v>1E-4</v>
      </c>
      <c r="F102" s="11">
        <f t="shared" si="7"/>
        <v>28800</v>
      </c>
      <c r="G102" s="9">
        <v>7.8813293078769567E-13</v>
      </c>
      <c r="H102" s="10">
        <f t="shared" si="8"/>
        <v>0.30131862475914523</v>
      </c>
      <c r="I102" s="13" t="s">
        <v>616</v>
      </c>
      <c r="J102" s="6" t="s">
        <v>882</v>
      </c>
      <c r="L102" s="6">
        <v>0</v>
      </c>
      <c r="M102" s="6">
        <v>1</v>
      </c>
      <c r="N102" s="6">
        <v>1</v>
      </c>
      <c r="O102" s="6">
        <v>0</v>
      </c>
      <c r="P102" s="14">
        <v>42.33</v>
      </c>
      <c r="Q102" s="14">
        <v>1.79</v>
      </c>
      <c r="R102" s="14">
        <v>12.07</v>
      </c>
      <c r="S102" s="14">
        <v>7.0000000000000007E-2</v>
      </c>
      <c r="T102" s="14">
        <v>18.760000000000002</v>
      </c>
      <c r="U102" s="14">
        <v>0.42</v>
      </c>
      <c r="V102" s="14">
        <v>5.82</v>
      </c>
      <c r="W102" s="14">
        <v>8.57</v>
      </c>
      <c r="X102" s="14">
        <v>1.45</v>
      </c>
      <c r="Y102" s="14"/>
      <c r="Z102" s="14">
        <v>7.18</v>
      </c>
      <c r="AA102" s="14">
        <v>0.1</v>
      </c>
      <c r="AB102" s="14"/>
      <c r="AC102" s="15">
        <v>0</v>
      </c>
      <c r="AE102" s="6" t="s">
        <v>1152</v>
      </c>
    </row>
    <row r="103" spans="1:33" s="6" customFormat="1">
      <c r="A103" s="8" t="s">
        <v>1095</v>
      </c>
      <c r="B103" s="36" t="s">
        <v>895</v>
      </c>
      <c r="C103" s="8" t="s">
        <v>1126</v>
      </c>
      <c r="D103" s="12">
        <v>1000</v>
      </c>
      <c r="E103" s="6">
        <v>1E-4</v>
      </c>
      <c r="F103" s="11">
        <f t="shared" si="7"/>
        <v>28800</v>
      </c>
      <c r="G103" s="9">
        <v>4.6632042652511761E-13</v>
      </c>
      <c r="H103" s="10">
        <f t="shared" si="8"/>
        <v>0.23177599775579338</v>
      </c>
      <c r="I103" s="13" t="s">
        <v>616</v>
      </c>
      <c r="J103" s="6" t="s">
        <v>884</v>
      </c>
      <c r="L103" s="6">
        <v>0</v>
      </c>
      <c r="M103" s="6">
        <v>1</v>
      </c>
      <c r="N103" s="6">
        <v>1</v>
      </c>
      <c r="O103" s="6">
        <v>0</v>
      </c>
      <c r="P103" s="14">
        <v>42.97</v>
      </c>
      <c r="Q103" s="14">
        <v>2.0299999999999998</v>
      </c>
      <c r="R103" s="14">
        <v>13.54</v>
      </c>
      <c r="S103" s="14">
        <v>0.03</v>
      </c>
      <c r="T103" s="14">
        <v>19.600000000000001</v>
      </c>
      <c r="U103" s="14">
        <v>0.44</v>
      </c>
      <c r="V103" s="14">
        <v>4.32</v>
      </c>
      <c r="W103" s="14">
        <v>7.4</v>
      </c>
      <c r="X103" s="14">
        <v>1.52</v>
      </c>
      <c r="Y103" s="14"/>
      <c r="Z103" s="14">
        <v>6.36</v>
      </c>
      <c r="AA103" s="14">
        <v>0.24</v>
      </c>
      <c r="AB103" s="14"/>
      <c r="AC103" s="15">
        <v>0</v>
      </c>
      <c r="AE103" s="6" t="s">
        <v>1116</v>
      </c>
    </row>
    <row r="104" spans="1:33" s="6" customFormat="1">
      <c r="A104" s="8" t="s">
        <v>1095</v>
      </c>
      <c r="B104" s="36" t="s">
        <v>896</v>
      </c>
      <c r="C104" s="8" t="s">
        <v>1126</v>
      </c>
      <c r="D104" s="12">
        <v>950</v>
      </c>
      <c r="E104" s="6">
        <v>1E-4</v>
      </c>
      <c r="F104" s="11">
        <f t="shared" si="7"/>
        <v>28800</v>
      </c>
      <c r="G104" s="9">
        <v>2.6432360916877484E-13</v>
      </c>
      <c r="H104" s="10">
        <f t="shared" si="8"/>
        <v>0.17449951225216323</v>
      </c>
      <c r="I104" s="13" t="s">
        <v>616</v>
      </c>
      <c r="J104" s="6" t="s">
        <v>897</v>
      </c>
      <c r="L104" s="6">
        <v>0</v>
      </c>
      <c r="M104" s="6">
        <v>1</v>
      </c>
      <c r="N104" s="6">
        <v>1</v>
      </c>
      <c r="O104" s="6">
        <v>0</v>
      </c>
      <c r="P104" s="14">
        <v>43.51</v>
      </c>
      <c r="Q104" s="14">
        <v>2.35</v>
      </c>
      <c r="R104" s="14">
        <v>14.38</v>
      </c>
      <c r="S104" s="14">
        <v>0</v>
      </c>
      <c r="T104" s="14">
        <v>20.87</v>
      </c>
      <c r="U104" s="14">
        <v>0.48</v>
      </c>
      <c r="V104" s="14">
        <v>2.87</v>
      </c>
      <c r="W104" s="14">
        <v>5.92</v>
      </c>
      <c r="X104" s="14">
        <v>2.14</v>
      </c>
      <c r="Y104" s="14"/>
      <c r="Z104" s="14">
        <v>5.1100000000000003</v>
      </c>
      <c r="AA104" s="14">
        <v>0.12</v>
      </c>
      <c r="AB104" s="14"/>
      <c r="AC104" s="15">
        <v>0</v>
      </c>
      <c r="AE104" s="6" t="s">
        <v>1116</v>
      </c>
    </row>
    <row r="105" spans="1:33" s="6" customFormat="1">
      <c r="A105" s="6" t="s">
        <v>1063</v>
      </c>
      <c r="B105" s="25" t="s">
        <v>444</v>
      </c>
      <c r="C105" s="8" t="s">
        <v>1126</v>
      </c>
      <c r="D105" s="25">
        <v>1000</v>
      </c>
      <c r="E105" s="6">
        <v>10</v>
      </c>
      <c r="F105" s="6">
        <f>8.5*3600</f>
        <v>30600</v>
      </c>
      <c r="G105" s="9">
        <v>4.6632042652511761E-13</v>
      </c>
      <c r="H105" s="10">
        <f t="shared" si="8"/>
        <v>0.23890923005751449</v>
      </c>
      <c r="I105" s="6">
        <v>1</v>
      </c>
      <c r="J105" s="6" t="s">
        <v>445</v>
      </c>
      <c r="L105" s="6">
        <v>1</v>
      </c>
      <c r="M105" s="6">
        <v>1</v>
      </c>
      <c r="N105" s="6">
        <v>1</v>
      </c>
      <c r="O105" s="6">
        <v>0</v>
      </c>
      <c r="P105" s="39">
        <v>51.595800000000011</v>
      </c>
      <c r="Q105" s="39">
        <v>1.1233166806090469</v>
      </c>
      <c r="R105" s="39">
        <v>15.852486849951237</v>
      </c>
      <c r="S105" s="39">
        <v>2.1965831811384066E-3</v>
      </c>
      <c r="T105" s="39">
        <v>12.773266234994722</v>
      </c>
      <c r="U105" s="39">
        <v>0.32177912294777583</v>
      </c>
      <c r="V105" s="39">
        <v>1.8193425462309123</v>
      </c>
      <c r="W105" s="39">
        <v>3.8354801094413657</v>
      </c>
      <c r="X105" s="39">
        <v>2.104248022655919</v>
      </c>
      <c r="Z105" s="39">
        <v>3.1587757076883136</v>
      </c>
      <c r="AB105" s="6">
        <v>95.439629706004681</v>
      </c>
      <c r="AC105" s="33">
        <v>2.57</v>
      </c>
      <c r="AE105" s="6" t="s">
        <v>1152</v>
      </c>
    </row>
    <row r="106" spans="1:33" s="6" customFormat="1">
      <c r="A106" s="6" t="s">
        <v>1063</v>
      </c>
      <c r="B106" s="6" t="s">
        <v>446</v>
      </c>
      <c r="C106" s="8" t="s">
        <v>1126</v>
      </c>
      <c r="D106" s="6">
        <v>1000</v>
      </c>
      <c r="E106" s="6">
        <v>10</v>
      </c>
      <c r="F106" s="6">
        <f>3*3600</f>
        <v>10800</v>
      </c>
      <c r="G106" s="9">
        <v>4.6632042652511761E-13</v>
      </c>
      <c r="H106" s="10">
        <f t="shared" si="8"/>
        <v>0.14193323228153823</v>
      </c>
      <c r="I106" s="30">
        <v>1</v>
      </c>
      <c r="J106" s="6" t="s">
        <v>445</v>
      </c>
      <c r="L106" s="6">
        <v>1</v>
      </c>
      <c r="M106" s="6">
        <v>1</v>
      </c>
      <c r="N106" s="6">
        <v>1</v>
      </c>
      <c r="O106" s="6">
        <v>0</v>
      </c>
      <c r="P106" s="39">
        <v>48.260680246643062</v>
      </c>
      <c r="Q106" s="39">
        <v>1.8105160722247819</v>
      </c>
      <c r="R106" s="39">
        <v>14.303666249186437</v>
      </c>
      <c r="S106" s="39">
        <v>2.3712296708307764E-2</v>
      </c>
      <c r="T106" s="39">
        <v>15.497225335359635</v>
      </c>
      <c r="U106" s="39">
        <v>0.37716864478840034</v>
      </c>
      <c r="V106" s="39">
        <v>2.9960781802161298</v>
      </c>
      <c r="W106" s="39">
        <v>4.387880909438886</v>
      </c>
      <c r="X106" s="39">
        <v>1.8370305777336953</v>
      </c>
      <c r="Z106" s="39">
        <v>3.8485885790505674</v>
      </c>
      <c r="AB106" s="6">
        <v>93.891918503587689</v>
      </c>
      <c r="AC106" s="33">
        <v>2.61</v>
      </c>
      <c r="AE106" s="6" t="s">
        <v>1116</v>
      </c>
    </row>
    <row r="107" spans="1:33" s="6" customFormat="1">
      <c r="A107" s="6" t="s">
        <v>1063</v>
      </c>
      <c r="B107" s="6" t="s">
        <v>447</v>
      </c>
      <c r="C107" s="8" t="s">
        <v>1126</v>
      </c>
      <c r="D107" s="6">
        <v>1000</v>
      </c>
      <c r="E107" s="6">
        <v>10</v>
      </c>
      <c r="F107" s="6">
        <f>3.25*3600</f>
        <v>11700</v>
      </c>
      <c r="G107" s="9">
        <v>4.6632042652511761E-13</v>
      </c>
      <c r="H107" s="10">
        <f t="shared" si="8"/>
        <v>0.14772879191740351</v>
      </c>
      <c r="I107" s="6">
        <v>1</v>
      </c>
      <c r="J107" s="6" t="s">
        <v>445</v>
      </c>
      <c r="L107" s="6">
        <v>1</v>
      </c>
      <c r="M107" s="6">
        <v>1</v>
      </c>
      <c r="N107" s="6">
        <v>1</v>
      </c>
      <c r="O107" s="6">
        <v>0</v>
      </c>
      <c r="P107" s="39">
        <v>49.052958209450992</v>
      </c>
      <c r="Q107" s="39">
        <v>1.263469371316267</v>
      </c>
      <c r="R107" s="39">
        <v>14.17780164803014</v>
      </c>
      <c r="S107" s="39">
        <v>1.324995510393596E-2</v>
      </c>
      <c r="T107" s="39">
        <v>14.842500353390284</v>
      </c>
      <c r="U107" s="39">
        <v>0.37748604127299273</v>
      </c>
      <c r="V107" s="39">
        <v>2.7460459552602408</v>
      </c>
      <c r="W107" s="39">
        <v>3.8887935028654614</v>
      </c>
      <c r="X107" s="39">
        <v>2.0148718081557475</v>
      </c>
      <c r="Z107" s="39">
        <v>3.5080584738651388</v>
      </c>
      <c r="AB107" s="6">
        <v>92.391899854551468</v>
      </c>
      <c r="AC107" s="33">
        <v>2.9</v>
      </c>
      <c r="AE107" s="6" t="s">
        <v>1145</v>
      </c>
    </row>
    <row r="108" spans="1:33" s="6" customFormat="1">
      <c r="A108" s="6" t="s">
        <v>1063</v>
      </c>
      <c r="B108" s="6" t="s">
        <v>448</v>
      </c>
      <c r="C108" s="8" t="s">
        <v>1126</v>
      </c>
      <c r="D108" s="6">
        <v>990</v>
      </c>
      <c r="E108" s="6">
        <v>10</v>
      </c>
      <c r="F108" s="6">
        <f>5.5*3600</f>
        <v>19800</v>
      </c>
      <c r="G108" s="9">
        <v>4.1776901507917872E-13</v>
      </c>
      <c r="H108" s="10">
        <f t="shared" si="8"/>
        <v>0.18189916435836356</v>
      </c>
      <c r="I108" s="6">
        <v>1</v>
      </c>
      <c r="J108" s="6" t="s">
        <v>449</v>
      </c>
      <c r="L108" s="6">
        <v>1</v>
      </c>
      <c r="M108" s="6">
        <v>1</v>
      </c>
      <c r="N108" s="6">
        <v>1</v>
      </c>
      <c r="O108" s="6">
        <v>0</v>
      </c>
      <c r="P108" s="39">
        <v>46.351479395516598</v>
      </c>
      <c r="Q108" s="39">
        <v>1.8575439836704326</v>
      </c>
      <c r="R108" s="39">
        <v>13.402270413372525</v>
      </c>
      <c r="S108" s="39">
        <v>1.9741384743413148E-2</v>
      </c>
      <c r="T108" s="39">
        <v>15.866025312414834</v>
      </c>
      <c r="U108" s="39">
        <v>0.35225223432959052</v>
      </c>
      <c r="V108" s="39">
        <v>2.9754133758706596</v>
      </c>
      <c r="W108" s="39">
        <v>4.5726747643487542</v>
      </c>
      <c r="X108" s="39">
        <v>1.7165155109394195</v>
      </c>
      <c r="Z108" s="39">
        <v>3.9944147174021358</v>
      </c>
      <c r="AB108" s="6">
        <v>91.544893207990157</v>
      </c>
      <c r="AC108" s="33">
        <v>2.71</v>
      </c>
      <c r="AE108" s="6" t="s">
        <v>1152</v>
      </c>
    </row>
    <row r="109" spans="1:33" s="6" customFormat="1">
      <c r="A109" s="6" t="s">
        <v>1063</v>
      </c>
      <c r="B109" s="6" t="s">
        <v>450</v>
      </c>
      <c r="C109" s="8" t="s">
        <v>1126</v>
      </c>
      <c r="D109" s="6">
        <v>990</v>
      </c>
      <c r="E109" s="6">
        <v>10</v>
      </c>
      <c r="F109" s="6">
        <f>7*3600</f>
        <v>25200</v>
      </c>
      <c r="G109" s="9">
        <v>4.1776901507917872E-13</v>
      </c>
      <c r="H109" s="10">
        <f t="shared" si="8"/>
        <v>0.20520993328779488</v>
      </c>
      <c r="I109" s="6">
        <v>1</v>
      </c>
      <c r="J109" s="6" t="s">
        <v>451</v>
      </c>
      <c r="L109" s="6">
        <v>1</v>
      </c>
      <c r="M109" s="6">
        <v>1</v>
      </c>
      <c r="N109" s="6">
        <v>1</v>
      </c>
      <c r="O109" s="6">
        <v>0</v>
      </c>
      <c r="P109" s="39">
        <v>46.484102377286618</v>
      </c>
      <c r="Q109" s="39">
        <v>1.8965162051101903</v>
      </c>
      <c r="R109" s="39">
        <v>13.813541743216632</v>
      </c>
      <c r="S109" s="39">
        <v>1.3002911420931105E-2</v>
      </c>
      <c r="T109" s="39">
        <v>15.743873293088766</v>
      </c>
      <c r="U109" s="39">
        <v>0.34601209864138088</v>
      </c>
      <c r="V109" s="39">
        <v>2.750529754667177</v>
      </c>
      <c r="W109" s="39">
        <v>4.3732085669234362</v>
      </c>
      <c r="X109" s="39">
        <v>1.6804175953543592</v>
      </c>
      <c r="Z109" s="39">
        <v>3.7868842948471189</v>
      </c>
      <c r="AB109" s="6">
        <v>91.662031938069305</v>
      </c>
      <c r="AC109" s="8">
        <v>2.92</v>
      </c>
      <c r="AE109" s="6" t="s">
        <v>1116</v>
      </c>
    </row>
    <row r="110" spans="1:33" s="6" customFormat="1">
      <c r="A110" s="6" t="s">
        <v>1063</v>
      </c>
      <c r="B110" s="6" t="s">
        <v>452</v>
      </c>
      <c r="C110" s="8" t="s">
        <v>1126</v>
      </c>
      <c r="D110" s="6">
        <v>990</v>
      </c>
      <c r="E110" s="6">
        <v>10</v>
      </c>
      <c r="F110" s="6">
        <f>6.5*3600</f>
        <v>23400</v>
      </c>
      <c r="G110" s="9">
        <v>4.1776901507917872E-13</v>
      </c>
      <c r="H110" s="10">
        <f t="shared" si="8"/>
        <v>0.19774523966814253</v>
      </c>
      <c r="I110" s="6">
        <v>1</v>
      </c>
      <c r="J110" s="6" t="s">
        <v>453</v>
      </c>
      <c r="L110" s="6">
        <v>1</v>
      </c>
      <c r="M110" s="6">
        <v>1</v>
      </c>
      <c r="N110" s="6">
        <v>1</v>
      </c>
      <c r="O110" s="6">
        <v>0</v>
      </c>
      <c r="P110" s="39">
        <v>49.275768854628325</v>
      </c>
      <c r="Q110" s="39">
        <v>1.4891652166338964</v>
      </c>
      <c r="R110" s="39">
        <v>14.569109553676418</v>
      </c>
      <c r="S110" s="39">
        <v>8.4082900660710745E-3</v>
      </c>
      <c r="T110" s="39">
        <v>14.724246550489125</v>
      </c>
      <c r="U110" s="39">
        <v>0.35949830814463485</v>
      </c>
      <c r="V110" s="39">
        <v>2.3474698363970381</v>
      </c>
      <c r="W110" s="39">
        <v>3.8763934086232728</v>
      </c>
      <c r="X110" s="39">
        <v>1.8584507649856883</v>
      </c>
      <c r="Z110" s="39">
        <v>3.4432147706216152</v>
      </c>
      <c r="AB110" s="6">
        <v>92.308223152541927</v>
      </c>
      <c r="AC110" s="8">
        <v>2.67</v>
      </c>
      <c r="AE110" s="6" t="s">
        <v>1116</v>
      </c>
    </row>
    <row r="111" spans="1:33" s="6" customFormat="1">
      <c r="A111" s="6" t="s">
        <v>1063</v>
      </c>
      <c r="B111" s="6" t="s">
        <v>454</v>
      </c>
      <c r="C111" s="8" t="s">
        <v>1126</v>
      </c>
      <c r="D111" s="6">
        <v>995</v>
      </c>
      <c r="E111" s="6">
        <v>10</v>
      </c>
      <c r="F111" s="6">
        <f>18.5*3600</f>
        <v>66600</v>
      </c>
      <c r="G111" s="9">
        <v>4.4147332001536297E-13</v>
      </c>
      <c r="H111" s="10">
        <f t="shared" si="8"/>
        <v>0.3429409460127103</v>
      </c>
      <c r="I111" s="6">
        <v>1</v>
      </c>
      <c r="J111" s="6" t="s">
        <v>445</v>
      </c>
      <c r="L111" s="6">
        <v>1</v>
      </c>
      <c r="M111" s="6">
        <v>1</v>
      </c>
      <c r="N111" s="6">
        <v>1</v>
      </c>
      <c r="O111" s="6">
        <v>0</v>
      </c>
      <c r="P111" s="39">
        <v>45.711203649926794</v>
      </c>
      <c r="Q111" s="39">
        <v>1.958468078048581</v>
      </c>
      <c r="R111" s="39">
        <v>14.906731401799915</v>
      </c>
      <c r="S111" s="39">
        <v>1.1896656912326144E-2</v>
      </c>
      <c r="T111" s="39">
        <v>15.885884629232116</v>
      </c>
      <c r="U111" s="39">
        <v>0.32782046773358126</v>
      </c>
      <c r="V111" s="39">
        <v>2.9731899692067714</v>
      </c>
      <c r="W111" s="39">
        <v>5.5221986375311323</v>
      </c>
      <c r="X111" s="39">
        <v>1.6180843071848856</v>
      </c>
      <c r="Z111" s="39">
        <v>4.6915187375648619</v>
      </c>
      <c r="AB111" s="6">
        <v>94.636969999241018</v>
      </c>
      <c r="AC111" s="40">
        <v>3.2589999999999999</v>
      </c>
      <c r="AE111" s="6" t="s">
        <v>1152</v>
      </c>
    </row>
    <row r="112" spans="1:33" s="6" customFormat="1">
      <c r="A112" s="6" t="s">
        <v>1063</v>
      </c>
      <c r="B112" s="6" t="s">
        <v>455</v>
      </c>
      <c r="C112" s="8" t="s">
        <v>1126</v>
      </c>
      <c r="D112" s="6">
        <v>985</v>
      </c>
      <c r="E112" s="6">
        <v>10</v>
      </c>
      <c r="F112" s="6">
        <f>12.5*3600</f>
        <v>45000</v>
      </c>
      <c r="G112" s="9">
        <v>3.9516410307248342E-13</v>
      </c>
      <c r="H112" s="10">
        <f t="shared" si="8"/>
        <v>0.26670121588220591</v>
      </c>
      <c r="I112" s="6">
        <v>1</v>
      </c>
      <c r="J112" s="6" t="s">
        <v>445</v>
      </c>
      <c r="L112" s="6">
        <v>1</v>
      </c>
      <c r="M112" s="6">
        <v>1</v>
      </c>
      <c r="N112" s="6">
        <v>1</v>
      </c>
      <c r="O112" s="6">
        <v>0</v>
      </c>
      <c r="P112" s="39">
        <v>48.354346466921193</v>
      </c>
      <c r="Q112" s="39">
        <v>1.6291517851851973</v>
      </c>
      <c r="R112" s="39">
        <v>16.396239828887854</v>
      </c>
      <c r="S112" s="39">
        <v>8.1685933226897118E-3</v>
      </c>
      <c r="T112" s="39">
        <v>14.556899153641838</v>
      </c>
      <c r="U112" s="39">
        <v>0.33694364413136141</v>
      </c>
      <c r="V112" s="39">
        <v>2.9673437403313145</v>
      </c>
      <c r="W112" s="39">
        <v>4.871923149637305</v>
      </c>
      <c r="X112" s="39">
        <v>1.8545634127916115</v>
      </c>
      <c r="Z112" s="39">
        <v>4.1725455182551547</v>
      </c>
      <c r="AB112" s="6">
        <v>95.620349526776252</v>
      </c>
      <c r="AC112" s="40">
        <v>3.1179999999999999</v>
      </c>
      <c r="AE112" s="6" t="s">
        <v>1153</v>
      </c>
    </row>
    <row r="113" spans="1:33" s="6" customFormat="1">
      <c r="A113" s="6" t="s">
        <v>1063</v>
      </c>
      <c r="B113" s="6" t="s">
        <v>456</v>
      </c>
      <c r="C113" s="8" t="s">
        <v>1126</v>
      </c>
      <c r="D113" s="6">
        <v>1000</v>
      </c>
      <c r="E113" s="6">
        <v>12</v>
      </c>
      <c r="F113" s="6">
        <f>8*3600</f>
        <v>28800</v>
      </c>
      <c r="G113" s="9">
        <v>4.6632042652511761E-13</v>
      </c>
      <c r="H113" s="10">
        <f t="shared" si="8"/>
        <v>0.23177599775579338</v>
      </c>
      <c r="I113" s="6">
        <v>1</v>
      </c>
      <c r="J113" s="6" t="s">
        <v>445</v>
      </c>
      <c r="L113" s="6">
        <v>1</v>
      </c>
      <c r="M113" s="6">
        <v>1</v>
      </c>
      <c r="N113" s="6">
        <v>1</v>
      </c>
      <c r="O113" s="6">
        <v>0</v>
      </c>
      <c r="P113" s="39">
        <v>44.634766021649007</v>
      </c>
      <c r="Q113" s="39">
        <v>1.9826391300993371</v>
      </c>
      <c r="R113" s="39">
        <v>15.894892155552961</v>
      </c>
      <c r="S113" s="39">
        <v>1.5073493715936059E-2</v>
      </c>
      <c r="T113" s="39">
        <v>16.480167769526737</v>
      </c>
      <c r="U113" s="39">
        <v>0.40285647092889382</v>
      </c>
      <c r="V113" s="39">
        <v>2.7268159466411261</v>
      </c>
      <c r="W113" s="39">
        <v>5.4454511554333003</v>
      </c>
      <c r="X113" s="39">
        <v>2.0536929332754705</v>
      </c>
      <c r="Z113" s="39">
        <v>4.3470055494343187</v>
      </c>
      <c r="AB113" s="6">
        <v>95.734394378046645</v>
      </c>
      <c r="AC113" s="40">
        <v>3.0049999999999999</v>
      </c>
      <c r="AE113" s="6" t="s">
        <v>1152</v>
      </c>
    </row>
    <row r="114" spans="1:33" s="6" customFormat="1">
      <c r="A114" s="6" t="s">
        <v>1063</v>
      </c>
      <c r="B114" s="6" t="s">
        <v>457</v>
      </c>
      <c r="C114" s="8" t="s">
        <v>1126</v>
      </c>
      <c r="D114" s="6">
        <v>1000</v>
      </c>
      <c r="E114" s="6">
        <v>12</v>
      </c>
      <c r="F114" s="6">
        <f>7*3600</f>
        <v>25200</v>
      </c>
      <c r="G114" s="9">
        <v>4.6632042652511761E-13</v>
      </c>
      <c r="H114" s="10">
        <f t="shared" si="8"/>
        <v>0.21680659351996623</v>
      </c>
      <c r="I114" s="6">
        <v>1</v>
      </c>
      <c r="J114" s="6" t="s">
        <v>445</v>
      </c>
      <c r="L114" s="6">
        <v>1</v>
      </c>
      <c r="M114" s="6">
        <v>1</v>
      </c>
      <c r="N114" s="6">
        <v>1</v>
      </c>
      <c r="O114" s="6">
        <v>0</v>
      </c>
      <c r="P114" s="41">
        <v>44.852618162917906</v>
      </c>
      <c r="Q114" s="41">
        <v>1.9011575121318407</v>
      </c>
      <c r="R114" s="41">
        <v>13.260648365554459</v>
      </c>
      <c r="S114" s="41">
        <v>2.4719965577328289E-2</v>
      </c>
      <c r="T114" s="41">
        <v>16.658955526368185</v>
      </c>
      <c r="U114" s="41">
        <v>0.39679141044420679</v>
      </c>
      <c r="V114" s="41">
        <v>3.2784447247250861</v>
      </c>
      <c r="W114" s="41">
        <v>5.4434627198061873</v>
      </c>
      <c r="X114" s="41">
        <v>1.3435329780397056</v>
      </c>
      <c r="Z114" s="41">
        <v>4.6888944802204602</v>
      </c>
      <c r="AB114" s="6">
        <v>93.613983810902454</v>
      </c>
      <c r="AC114" s="40">
        <v>3.411</v>
      </c>
      <c r="AE114" s="6" t="s">
        <v>1152</v>
      </c>
    </row>
    <row r="115" spans="1:33" s="6" customFormat="1">
      <c r="A115" s="6" t="s">
        <v>1063</v>
      </c>
      <c r="B115" s="6" t="s">
        <v>458</v>
      </c>
      <c r="C115" s="8" t="s">
        <v>1126</v>
      </c>
      <c r="D115" s="6">
        <v>950</v>
      </c>
      <c r="E115" s="6">
        <v>12</v>
      </c>
      <c r="F115" s="6">
        <f>8.5*3600</f>
        <v>30600</v>
      </c>
      <c r="G115" s="9">
        <v>2.6432360916877484E-13</v>
      </c>
      <c r="H115" s="10">
        <f t="shared" si="8"/>
        <v>0.179869980158608</v>
      </c>
      <c r="I115" s="6">
        <v>1</v>
      </c>
      <c r="J115" s="6" t="s">
        <v>445</v>
      </c>
      <c r="L115" s="6">
        <v>1</v>
      </c>
      <c r="M115" s="6">
        <v>1</v>
      </c>
      <c r="N115" s="6">
        <v>1</v>
      </c>
      <c r="O115" s="6">
        <v>0</v>
      </c>
      <c r="P115" s="42">
        <v>48.037567372407381</v>
      </c>
      <c r="Q115" s="42">
        <v>1.1520529991232147</v>
      </c>
      <c r="R115" s="42">
        <v>15.174341529906755</v>
      </c>
      <c r="S115" s="42">
        <v>5.7042466609087423E-3</v>
      </c>
      <c r="T115" s="42">
        <v>15.439101524017005</v>
      </c>
      <c r="U115" s="42">
        <v>0.39039200079307551</v>
      </c>
      <c r="V115" s="42">
        <v>1.9955177648700615</v>
      </c>
      <c r="W115" s="42">
        <v>4.4118929682968204</v>
      </c>
      <c r="X115" s="42">
        <v>1.4826367320917291</v>
      </c>
      <c r="Z115" s="42">
        <v>3.4646435758516168</v>
      </c>
      <c r="AB115" s="6">
        <v>93.967554190483284</v>
      </c>
      <c r="AC115" s="40">
        <v>3.3340000000000001</v>
      </c>
      <c r="AE115" s="6" t="s">
        <v>1152</v>
      </c>
    </row>
    <row r="116" spans="1:33" s="6" customFormat="1">
      <c r="A116" s="6" t="s">
        <v>1058</v>
      </c>
      <c r="B116" s="6" t="s">
        <v>348</v>
      </c>
      <c r="C116" s="6" t="s">
        <v>645</v>
      </c>
      <c r="D116" s="6">
        <v>715</v>
      </c>
      <c r="E116" s="6">
        <v>2</v>
      </c>
      <c r="F116" s="6">
        <f>11*24*3600</f>
        <v>950400</v>
      </c>
      <c r="G116" s="9">
        <v>8.4946594747020488E-15</v>
      </c>
      <c r="H116" s="10">
        <f t="shared" si="8"/>
        <v>0.17970335962086881</v>
      </c>
      <c r="I116" s="6">
        <v>15</v>
      </c>
      <c r="J116" s="6" t="s">
        <v>349</v>
      </c>
      <c r="L116" s="6">
        <v>1</v>
      </c>
      <c r="M116" s="6">
        <v>1</v>
      </c>
      <c r="N116" s="6">
        <v>1</v>
      </c>
      <c r="O116" s="6">
        <v>1</v>
      </c>
      <c r="P116" s="6">
        <v>71.09</v>
      </c>
      <c r="Q116" s="6">
        <v>0.02</v>
      </c>
      <c r="R116" s="6">
        <v>12.29</v>
      </c>
      <c r="T116" s="6">
        <v>0.56999999999999995</v>
      </c>
      <c r="U116" s="6">
        <v>0.02</v>
      </c>
      <c r="V116" s="6">
        <v>0.09</v>
      </c>
      <c r="W116" s="6">
        <v>1.31</v>
      </c>
      <c r="X116" s="6">
        <v>2.65</v>
      </c>
      <c r="Y116" s="6">
        <v>4.2699999999999996</v>
      </c>
      <c r="Z116" s="6">
        <v>0.03</v>
      </c>
      <c r="AA116" s="6">
        <v>0.02</v>
      </c>
      <c r="AB116" s="6">
        <v>92.36</v>
      </c>
      <c r="AC116" s="6">
        <v>6.1</v>
      </c>
      <c r="AD116" s="6" t="s">
        <v>43</v>
      </c>
      <c r="AE116" s="6" t="s">
        <v>1131</v>
      </c>
    </row>
    <row r="117" spans="1:33" s="6" customFormat="1">
      <c r="A117" s="6" t="s">
        <v>1058</v>
      </c>
      <c r="B117" s="6" t="s">
        <v>350</v>
      </c>
      <c r="C117" s="6" t="s">
        <v>645</v>
      </c>
      <c r="D117" s="6">
        <v>715</v>
      </c>
      <c r="E117" s="6">
        <v>5</v>
      </c>
      <c r="F117" s="6">
        <f>10*24*3600</f>
        <v>864000</v>
      </c>
      <c r="G117" s="9">
        <v>8.4946594747020488E-15</v>
      </c>
      <c r="H117" s="10">
        <f t="shared" si="8"/>
        <v>0.17134043056024542</v>
      </c>
      <c r="I117" s="6">
        <v>15</v>
      </c>
      <c r="J117" s="6" t="s">
        <v>351</v>
      </c>
      <c r="L117" s="6">
        <v>1</v>
      </c>
      <c r="M117" s="6">
        <v>1</v>
      </c>
      <c r="N117" s="6">
        <v>1</v>
      </c>
      <c r="O117" s="6">
        <v>1</v>
      </c>
      <c r="P117" s="6">
        <v>70.66</v>
      </c>
      <c r="Q117" s="6">
        <v>0.05</v>
      </c>
      <c r="R117" s="6">
        <v>11.98</v>
      </c>
      <c r="T117" s="6">
        <v>0.98</v>
      </c>
      <c r="U117" s="6">
        <v>0.05</v>
      </c>
      <c r="V117" s="6">
        <v>0.17</v>
      </c>
      <c r="W117" s="6">
        <v>1.01</v>
      </c>
      <c r="X117" s="6">
        <v>3.07</v>
      </c>
      <c r="Y117" s="6">
        <v>4.3499999999999996</v>
      </c>
      <c r="Z117" s="6">
        <v>0.01</v>
      </c>
      <c r="AA117" s="6">
        <v>0.03</v>
      </c>
      <c r="AB117" s="6">
        <v>92.39</v>
      </c>
      <c r="AC117" s="6">
        <v>8.33</v>
      </c>
      <c r="AD117" s="6" t="s">
        <v>303</v>
      </c>
      <c r="AE117" s="6" t="s">
        <v>1138</v>
      </c>
    </row>
    <row r="118" spans="1:33" s="6" customFormat="1">
      <c r="A118" s="6" t="s">
        <v>1058</v>
      </c>
      <c r="B118" s="6" t="s">
        <v>352</v>
      </c>
      <c r="C118" s="6" t="s">
        <v>645</v>
      </c>
      <c r="D118" s="6">
        <v>710</v>
      </c>
      <c r="E118" s="6">
        <v>10</v>
      </c>
      <c r="F118" s="6">
        <f>6*24*3600</f>
        <v>518400</v>
      </c>
      <c r="G118" s="9">
        <v>7.7557854885126625E-15</v>
      </c>
      <c r="H118" s="10">
        <f t="shared" si="8"/>
        <v>0.12681639006445444</v>
      </c>
      <c r="I118" s="6">
        <v>12</v>
      </c>
      <c r="J118" s="6" t="s">
        <v>353</v>
      </c>
      <c r="L118" s="6">
        <v>1</v>
      </c>
      <c r="M118" s="6">
        <v>1</v>
      </c>
      <c r="N118" s="6">
        <v>1</v>
      </c>
      <c r="O118" s="6">
        <v>1</v>
      </c>
      <c r="P118" s="6">
        <v>66.989999999999995</v>
      </c>
      <c r="Q118" s="6">
        <v>0.1</v>
      </c>
      <c r="R118" s="6">
        <v>13.52</v>
      </c>
      <c r="T118" s="6">
        <v>1.0900000000000001</v>
      </c>
      <c r="U118" s="6">
        <v>0.06</v>
      </c>
      <c r="V118" s="6">
        <v>0.22</v>
      </c>
      <c r="W118" s="6">
        <v>2.44</v>
      </c>
      <c r="X118" s="6">
        <v>2.97</v>
      </c>
      <c r="Y118" s="6">
        <v>3.12</v>
      </c>
      <c r="Z118" s="6">
        <v>0.03</v>
      </c>
      <c r="AA118" s="6">
        <v>0.04</v>
      </c>
      <c r="AB118" s="6">
        <v>90.55</v>
      </c>
      <c r="AC118" s="6">
        <f>100-AB118</f>
        <v>9.4500000000000028</v>
      </c>
      <c r="AD118" s="6" t="s">
        <v>354</v>
      </c>
      <c r="AE118" s="6" t="s">
        <v>1131</v>
      </c>
    </row>
    <row r="119" spans="1:33" s="6" customFormat="1">
      <c r="A119" s="6" t="s">
        <v>1058</v>
      </c>
      <c r="B119" s="6" t="s">
        <v>355</v>
      </c>
      <c r="C119" s="6" t="s">
        <v>645</v>
      </c>
      <c r="D119" s="6">
        <v>715</v>
      </c>
      <c r="E119" s="6">
        <v>8</v>
      </c>
      <c r="F119" s="6">
        <f>24*10*3600</f>
        <v>864000</v>
      </c>
      <c r="G119" s="9">
        <v>8.4946594747020488E-15</v>
      </c>
      <c r="H119" s="10">
        <f t="shared" si="8"/>
        <v>0.17134043056024542</v>
      </c>
      <c r="I119" s="6">
        <v>14</v>
      </c>
      <c r="J119" s="6" t="s">
        <v>356</v>
      </c>
      <c r="L119" s="6">
        <v>1</v>
      </c>
      <c r="M119" s="6">
        <v>1</v>
      </c>
      <c r="N119" s="6">
        <v>1</v>
      </c>
      <c r="O119" s="6">
        <v>1</v>
      </c>
      <c r="P119" s="6">
        <v>68.56</v>
      </c>
      <c r="Q119" s="6">
        <v>0.04</v>
      </c>
      <c r="R119" s="6">
        <v>12.96</v>
      </c>
      <c r="T119" s="6">
        <v>0.95</v>
      </c>
      <c r="U119" s="6">
        <v>0.06</v>
      </c>
      <c r="V119" s="6">
        <v>0.09</v>
      </c>
      <c r="W119" s="6">
        <v>1.78</v>
      </c>
      <c r="X119" s="6">
        <v>2.89</v>
      </c>
      <c r="Y119" s="6">
        <v>4.26</v>
      </c>
      <c r="Z119" s="6">
        <v>0.09</v>
      </c>
      <c r="AA119" s="6">
        <v>0.11</v>
      </c>
      <c r="AB119" s="6">
        <v>91.72</v>
      </c>
      <c r="AC119" s="6">
        <v>7.34</v>
      </c>
      <c r="AD119" s="6" t="s">
        <v>303</v>
      </c>
      <c r="AE119" s="6" t="s">
        <v>1131</v>
      </c>
    </row>
    <row r="120" spans="1:33" s="6" customFormat="1">
      <c r="A120" s="6" t="s">
        <v>1058</v>
      </c>
      <c r="B120" s="6" t="s">
        <v>357</v>
      </c>
      <c r="C120" s="6" t="s">
        <v>645</v>
      </c>
      <c r="D120" s="6">
        <v>710</v>
      </c>
      <c r="E120" s="6">
        <v>10</v>
      </c>
      <c r="F120" s="6">
        <f>10*24*3600</f>
        <v>864000</v>
      </c>
      <c r="G120" s="9">
        <v>7.7557854885126625E-15</v>
      </c>
      <c r="H120" s="10">
        <f t="shared" si="8"/>
        <v>0.16371925558192524</v>
      </c>
      <c r="I120" s="6">
        <v>12</v>
      </c>
      <c r="J120" s="6" t="s">
        <v>358</v>
      </c>
      <c r="L120" s="6">
        <v>1</v>
      </c>
      <c r="M120" s="6">
        <v>1</v>
      </c>
      <c r="N120" s="6">
        <v>1</v>
      </c>
      <c r="O120" s="6">
        <v>1</v>
      </c>
      <c r="P120" s="6">
        <v>67.47</v>
      </c>
      <c r="Q120" s="6">
        <v>0.04</v>
      </c>
      <c r="R120" s="6">
        <v>13.67</v>
      </c>
      <c r="T120" s="6">
        <v>0.75</v>
      </c>
      <c r="U120" s="6">
        <v>0.04</v>
      </c>
      <c r="V120" s="6">
        <v>0.06</v>
      </c>
      <c r="W120" s="6">
        <v>1.94</v>
      </c>
      <c r="X120" s="6">
        <v>3.18</v>
      </c>
      <c r="Y120" s="6">
        <v>4.16</v>
      </c>
      <c r="Z120" s="6">
        <v>0.02</v>
      </c>
      <c r="AA120" s="6">
        <v>0.02</v>
      </c>
      <c r="AB120" s="6">
        <v>91.36</v>
      </c>
      <c r="AC120" s="6">
        <f>100-AB120</f>
        <v>8.64</v>
      </c>
      <c r="AD120" s="6" t="s">
        <v>354</v>
      </c>
      <c r="AE120" s="6" t="s">
        <v>1131</v>
      </c>
    </row>
    <row r="121" spans="1:33" s="6" customFormat="1">
      <c r="A121" s="6" t="s">
        <v>1058</v>
      </c>
      <c r="B121" s="6" t="s">
        <v>359</v>
      </c>
      <c r="C121" s="6" t="s">
        <v>645</v>
      </c>
      <c r="D121" s="6">
        <v>680</v>
      </c>
      <c r="E121" s="6">
        <v>4.3</v>
      </c>
      <c r="F121" s="6">
        <f>10*24*3600</f>
        <v>864000</v>
      </c>
      <c r="G121" s="9">
        <v>4.4034949987168444E-15</v>
      </c>
      <c r="H121" s="10">
        <f t="shared" si="8"/>
        <v>0.12336319838414296</v>
      </c>
      <c r="I121" s="6">
        <v>10</v>
      </c>
      <c r="J121" s="6" t="s">
        <v>360</v>
      </c>
      <c r="L121" s="6">
        <v>1</v>
      </c>
      <c r="M121" s="6">
        <v>1</v>
      </c>
      <c r="N121" s="6">
        <v>1</v>
      </c>
      <c r="O121" s="6">
        <v>1</v>
      </c>
      <c r="P121" s="6">
        <v>70.77</v>
      </c>
      <c r="Q121" s="6">
        <v>0.06</v>
      </c>
      <c r="R121" s="6">
        <v>11.84</v>
      </c>
      <c r="T121" s="6">
        <v>0.73</v>
      </c>
      <c r="U121" s="6">
        <v>0.04</v>
      </c>
      <c r="V121" s="6">
        <v>0.06</v>
      </c>
      <c r="W121" s="6">
        <v>1.56</v>
      </c>
      <c r="X121" s="6">
        <v>2.5099999999999998</v>
      </c>
      <c r="Y121" s="6">
        <v>4.2300000000000004</v>
      </c>
      <c r="Z121" s="6">
        <v>0.01</v>
      </c>
      <c r="AA121" s="6">
        <v>0.01</v>
      </c>
      <c r="AB121" s="6">
        <v>91.85</v>
      </c>
      <c r="AC121" s="6">
        <v>8.19</v>
      </c>
      <c r="AD121" s="24" t="s">
        <v>303</v>
      </c>
      <c r="AE121" s="6" t="s">
        <v>1131</v>
      </c>
    </row>
    <row r="122" spans="1:33" s="6" customFormat="1">
      <c r="A122" s="6" t="s">
        <v>1058</v>
      </c>
      <c r="B122" s="6" t="s">
        <v>361</v>
      </c>
      <c r="C122" s="6" t="s">
        <v>645</v>
      </c>
      <c r="D122" s="6">
        <v>680</v>
      </c>
      <c r="E122" s="6">
        <v>4.3</v>
      </c>
      <c r="F122" s="6">
        <f>10*24*3600</f>
        <v>864000</v>
      </c>
      <c r="G122" s="9">
        <v>4.4034949987168444E-15</v>
      </c>
      <c r="H122" s="10">
        <f t="shared" si="8"/>
        <v>0.12336319838414296</v>
      </c>
      <c r="I122" s="6">
        <v>10</v>
      </c>
      <c r="J122" s="6" t="s">
        <v>362</v>
      </c>
      <c r="L122" s="6">
        <v>1</v>
      </c>
      <c r="M122" s="6">
        <v>1</v>
      </c>
      <c r="N122" s="6">
        <v>1</v>
      </c>
      <c r="O122" s="6">
        <v>1</v>
      </c>
      <c r="P122" s="6">
        <v>71</v>
      </c>
      <c r="Q122" s="6">
        <v>0.05</v>
      </c>
      <c r="R122" s="6">
        <v>11.9</v>
      </c>
      <c r="T122" s="6">
        <v>0.74</v>
      </c>
      <c r="U122" s="6">
        <v>0.06</v>
      </c>
      <c r="V122" s="6">
        <v>0.05</v>
      </c>
      <c r="W122" s="6">
        <v>1.64</v>
      </c>
      <c r="X122" s="6">
        <v>2.4700000000000002</v>
      </c>
      <c r="Y122" s="6">
        <v>4.09</v>
      </c>
      <c r="Z122" s="6">
        <v>0.03</v>
      </c>
      <c r="AA122" s="6">
        <v>0.06</v>
      </c>
      <c r="AB122" s="6">
        <v>92.05</v>
      </c>
      <c r="AC122" s="6">
        <v>8.58</v>
      </c>
      <c r="AD122" s="24" t="s">
        <v>303</v>
      </c>
      <c r="AE122" s="6" t="s">
        <v>1131</v>
      </c>
    </row>
    <row r="123" spans="1:33" s="6" customFormat="1">
      <c r="A123" s="6" t="s">
        <v>1058</v>
      </c>
      <c r="B123" s="6" t="s">
        <v>363</v>
      </c>
      <c r="C123" s="6" t="s">
        <v>645</v>
      </c>
      <c r="D123" s="6">
        <v>760</v>
      </c>
      <c r="E123" s="6">
        <v>0.8</v>
      </c>
      <c r="F123" s="6">
        <f>10*24*3600</f>
        <v>864000</v>
      </c>
      <c r="G123" s="9">
        <v>1.85188572501501E-14</v>
      </c>
      <c r="H123" s="10">
        <f t="shared" ref="H123:H154" si="9">2*SQRT(G123*F123)*1000</f>
        <v>0.25298452651598824</v>
      </c>
      <c r="I123" s="6">
        <v>3</v>
      </c>
      <c r="J123" s="6" t="s">
        <v>349</v>
      </c>
      <c r="L123" s="6">
        <v>1</v>
      </c>
      <c r="M123" s="6">
        <v>1</v>
      </c>
      <c r="N123" s="6">
        <v>1</v>
      </c>
      <c r="O123" s="6">
        <v>1</v>
      </c>
      <c r="P123" s="6">
        <v>74.52</v>
      </c>
      <c r="Q123" s="6">
        <v>0.11</v>
      </c>
      <c r="R123" s="6">
        <v>11.43</v>
      </c>
      <c r="T123" s="6">
        <v>0.96</v>
      </c>
      <c r="U123" s="6">
        <v>0.03</v>
      </c>
      <c r="V123" s="6">
        <v>0.1</v>
      </c>
      <c r="W123" s="6">
        <v>0.68</v>
      </c>
      <c r="X123" s="6">
        <v>2.71</v>
      </c>
      <c r="Y123" s="6">
        <v>4.9400000000000004</v>
      </c>
      <c r="Z123" s="6">
        <v>0.03</v>
      </c>
      <c r="AA123" s="6">
        <v>0.02</v>
      </c>
      <c r="AB123" s="6">
        <v>95.54</v>
      </c>
      <c r="AC123" s="6">
        <v>5.15</v>
      </c>
      <c r="AD123" s="24" t="s">
        <v>303</v>
      </c>
      <c r="AE123" s="6" t="s">
        <v>1131</v>
      </c>
    </row>
    <row r="124" spans="1:33" s="6" customFormat="1">
      <c r="A124" s="6" t="s">
        <v>1058</v>
      </c>
      <c r="B124" s="6" t="s">
        <v>364</v>
      </c>
      <c r="C124" s="6" t="s">
        <v>645</v>
      </c>
      <c r="D124" s="6">
        <v>750</v>
      </c>
      <c r="E124" s="6">
        <v>1</v>
      </c>
      <c r="F124" s="6">
        <f>11*24*3600</f>
        <v>950400</v>
      </c>
      <c r="G124" s="9">
        <v>1.5666500344126923E-14</v>
      </c>
      <c r="H124" s="10">
        <f t="shared" si="9"/>
        <v>0.24404460188300195</v>
      </c>
      <c r="I124" s="6">
        <v>3</v>
      </c>
      <c r="J124" s="6" t="s">
        <v>365</v>
      </c>
      <c r="L124" s="6">
        <v>1</v>
      </c>
      <c r="M124" s="6">
        <v>1</v>
      </c>
      <c r="N124" s="6">
        <v>1</v>
      </c>
      <c r="O124" s="6">
        <v>1</v>
      </c>
      <c r="P124" s="6">
        <v>74.959999999999994</v>
      </c>
      <c r="Q124" s="6">
        <v>0.08</v>
      </c>
      <c r="R124" s="6">
        <v>11.31</v>
      </c>
      <c r="T124" s="6">
        <v>0.85</v>
      </c>
      <c r="U124" s="6">
        <v>0.01</v>
      </c>
      <c r="V124" s="6">
        <v>0.12</v>
      </c>
      <c r="W124" s="6">
        <v>0.73</v>
      </c>
      <c r="X124" s="6">
        <v>2.79</v>
      </c>
      <c r="Y124" s="6">
        <v>4.6900000000000004</v>
      </c>
      <c r="Z124" s="6">
        <v>0.04</v>
      </c>
      <c r="AA124" s="6">
        <v>0.04</v>
      </c>
      <c r="AB124" s="6">
        <v>95.63</v>
      </c>
      <c r="AC124" s="6">
        <v>4.22</v>
      </c>
      <c r="AD124" s="24" t="s">
        <v>43</v>
      </c>
      <c r="AE124" s="6" t="s">
        <v>1131</v>
      </c>
    </row>
    <row r="125" spans="1:33" s="6" customFormat="1">
      <c r="A125" s="6" t="s">
        <v>1058</v>
      </c>
      <c r="B125" s="6" t="s">
        <v>366</v>
      </c>
      <c r="C125" s="6" t="s">
        <v>645</v>
      </c>
      <c r="D125" s="6">
        <v>730</v>
      </c>
      <c r="E125" s="6">
        <v>1.5</v>
      </c>
      <c r="F125" s="6">
        <f>10*24*3600</f>
        <v>864000</v>
      </c>
      <c r="G125" s="9">
        <v>1.1100505708446987E-14</v>
      </c>
      <c r="H125" s="10">
        <f t="shared" si="9"/>
        <v>0.195865636925911</v>
      </c>
      <c r="I125" s="6">
        <v>4</v>
      </c>
      <c r="J125" s="6" t="s">
        <v>367</v>
      </c>
      <c r="L125" s="6">
        <v>1</v>
      </c>
      <c r="M125" s="6">
        <v>1</v>
      </c>
      <c r="N125" s="6">
        <v>1</v>
      </c>
      <c r="O125" s="6">
        <v>1</v>
      </c>
      <c r="P125" s="6">
        <v>73.760000000000005</v>
      </c>
      <c r="Q125" s="6">
        <v>0.06</v>
      </c>
      <c r="R125" s="6">
        <v>11.73</v>
      </c>
      <c r="T125" s="6">
        <v>0.83</v>
      </c>
      <c r="U125" s="6">
        <v>0.05</v>
      </c>
      <c r="V125" s="6">
        <v>0.12</v>
      </c>
      <c r="W125" s="6">
        <v>1.08</v>
      </c>
      <c r="X125" s="6">
        <v>2.98</v>
      </c>
      <c r="Y125" s="6">
        <v>4.21</v>
      </c>
      <c r="Z125" s="6">
        <v>0.05</v>
      </c>
      <c r="AA125" s="6">
        <v>0.04</v>
      </c>
      <c r="AB125" s="6">
        <v>94.9</v>
      </c>
      <c r="AC125" s="6">
        <v>7.05</v>
      </c>
      <c r="AD125" s="24" t="s">
        <v>303</v>
      </c>
      <c r="AE125" s="6" t="s">
        <v>1131</v>
      </c>
    </row>
    <row r="126" spans="1:33" s="6" customFormat="1">
      <c r="A126" s="6" t="s">
        <v>1058</v>
      </c>
      <c r="B126" s="6" t="s">
        <v>368</v>
      </c>
      <c r="C126" s="6" t="s">
        <v>645</v>
      </c>
      <c r="D126" s="6">
        <v>680</v>
      </c>
      <c r="E126" s="6">
        <v>5</v>
      </c>
      <c r="F126" s="6">
        <f>10*24*3600</f>
        <v>864000</v>
      </c>
      <c r="G126" s="9">
        <v>4.4034949987168444E-15</v>
      </c>
      <c r="H126" s="10">
        <f t="shared" si="9"/>
        <v>0.12336319838414296</v>
      </c>
      <c r="I126" s="6">
        <v>10</v>
      </c>
      <c r="J126" s="6" t="s">
        <v>369</v>
      </c>
      <c r="L126" s="6">
        <v>1</v>
      </c>
      <c r="M126" s="6">
        <v>1</v>
      </c>
      <c r="N126" s="6">
        <v>1</v>
      </c>
      <c r="O126" s="6">
        <v>1</v>
      </c>
      <c r="P126" s="6">
        <v>69.38</v>
      </c>
      <c r="Q126" s="6">
        <v>0.03</v>
      </c>
      <c r="R126" s="6">
        <v>13.02</v>
      </c>
      <c r="T126" s="6">
        <v>0.62</v>
      </c>
      <c r="U126" s="6">
        <v>0.05</v>
      </c>
      <c r="V126" s="6">
        <v>0.04</v>
      </c>
      <c r="W126" s="6">
        <v>1.61</v>
      </c>
      <c r="X126" s="6">
        <v>3.01</v>
      </c>
      <c r="Y126" s="6">
        <v>4.04</v>
      </c>
      <c r="Z126" s="6">
        <v>0.04</v>
      </c>
      <c r="AA126" s="6">
        <v>0.04</v>
      </c>
      <c r="AB126" s="6">
        <v>91.86</v>
      </c>
      <c r="AC126" s="6">
        <v>8.34</v>
      </c>
      <c r="AD126" s="24" t="s">
        <v>303</v>
      </c>
      <c r="AE126" s="6" t="s">
        <v>1131</v>
      </c>
      <c r="AG126" s="6" t="s">
        <v>1182</v>
      </c>
    </row>
    <row r="127" spans="1:33" s="6" customFormat="1">
      <c r="A127" s="6" t="s">
        <v>1058</v>
      </c>
      <c r="B127" s="6" t="s">
        <v>370</v>
      </c>
      <c r="C127" s="6" t="s">
        <v>645</v>
      </c>
      <c r="D127" s="6">
        <v>750</v>
      </c>
      <c r="E127" s="6">
        <v>1</v>
      </c>
      <c r="F127" s="6">
        <f>10*24*3600</f>
        <v>864000</v>
      </c>
      <c r="G127" s="9">
        <v>1.5666500344126923E-14</v>
      </c>
      <c r="H127" s="10">
        <f t="shared" si="9"/>
        <v>0.23268739800277677</v>
      </c>
      <c r="I127" s="6">
        <v>3</v>
      </c>
      <c r="J127" s="6" t="s">
        <v>371</v>
      </c>
      <c r="L127" s="6">
        <v>1</v>
      </c>
      <c r="M127" s="6">
        <v>1</v>
      </c>
      <c r="N127" s="6">
        <v>1</v>
      </c>
      <c r="O127" s="6">
        <v>1</v>
      </c>
      <c r="P127" s="6">
        <v>74.819999999999993</v>
      </c>
      <c r="Q127" s="6">
        <v>0.09</v>
      </c>
      <c r="R127" s="6">
        <v>10.8</v>
      </c>
      <c r="T127" s="6">
        <v>0.73</v>
      </c>
      <c r="U127" s="6">
        <v>0.06</v>
      </c>
      <c r="V127" s="6">
        <v>0.06</v>
      </c>
      <c r="W127" s="6">
        <v>0.57999999999999996</v>
      </c>
      <c r="X127" s="6">
        <v>3</v>
      </c>
      <c r="Y127" s="6">
        <v>4.38</v>
      </c>
      <c r="Z127" s="6">
        <v>0.08</v>
      </c>
      <c r="AA127" s="6">
        <v>7.0000000000000007E-2</v>
      </c>
      <c r="AB127" s="6">
        <v>94.72</v>
      </c>
      <c r="AC127" s="6">
        <v>5.84</v>
      </c>
      <c r="AD127" s="24" t="s">
        <v>303</v>
      </c>
      <c r="AE127" s="6" t="s">
        <v>1131</v>
      </c>
    </row>
    <row r="128" spans="1:33" s="6" customFormat="1">
      <c r="A128" s="6" t="s">
        <v>1058</v>
      </c>
      <c r="B128" s="6" t="s">
        <v>372</v>
      </c>
      <c r="C128" s="6" t="s">
        <v>645</v>
      </c>
      <c r="D128" s="6">
        <v>810</v>
      </c>
      <c r="E128" s="6">
        <v>1</v>
      </c>
      <c r="F128" s="6">
        <f>5*24*3600</f>
        <v>432000</v>
      </c>
      <c r="G128" s="9">
        <v>4.0804253510841329E-14</v>
      </c>
      <c r="H128" s="10">
        <f t="shared" si="9"/>
        <v>0.26553672075013246</v>
      </c>
      <c r="I128" s="6" t="s">
        <v>373</v>
      </c>
      <c r="J128" s="6" t="s">
        <v>374</v>
      </c>
      <c r="L128" s="6">
        <v>1</v>
      </c>
      <c r="M128" s="6">
        <v>1</v>
      </c>
      <c r="N128" s="6">
        <v>1</v>
      </c>
      <c r="O128" s="6">
        <v>1</v>
      </c>
      <c r="P128" s="6">
        <v>72.540000000000006</v>
      </c>
      <c r="Q128" s="6">
        <v>0.12</v>
      </c>
      <c r="R128" s="6">
        <v>12.07</v>
      </c>
      <c r="T128" s="6">
        <v>0.47</v>
      </c>
      <c r="U128" s="6">
        <v>0.01</v>
      </c>
      <c r="V128" s="6">
        <v>0.11</v>
      </c>
      <c r="W128" s="6">
        <v>0.47</v>
      </c>
      <c r="X128" s="6">
        <v>3.21</v>
      </c>
      <c r="Y128" s="6">
        <v>5.64</v>
      </c>
      <c r="Z128" s="6">
        <v>0.02</v>
      </c>
      <c r="AA128" s="6">
        <v>0.02</v>
      </c>
      <c r="AB128" s="6">
        <v>94.9</v>
      </c>
      <c r="AC128" s="6">
        <v>5.26</v>
      </c>
      <c r="AD128" s="24" t="s">
        <v>303</v>
      </c>
      <c r="AE128" s="6" t="s">
        <v>1131</v>
      </c>
    </row>
    <row r="129" spans="1:31" s="6" customFormat="1">
      <c r="A129" s="8" t="s">
        <v>1051</v>
      </c>
      <c r="B129" s="6" t="s">
        <v>244</v>
      </c>
      <c r="C129" s="6" t="s">
        <v>1162</v>
      </c>
      <c r="D129" s="6">
        <v>800</v>
      </c>
      <c r="E129" s="8">
        <v>2</v>
      </c>
      <c r="F129" s="8">
        <f>14*3600*24</f>
        <v>1209600</v>
      </c>
      <c r="G129" s="9">
        <v>3.5046513928104248E-14</v>
      </c>
      <c r="H129" s="10">
        <f t="shared" si="9"/>
        <v>0.41178763093339704</v>
      </c>
      <c r="I129" s="6">
        <v>10</v>
      </c>
      <c r="J129" s="6" t="s">
        <v>245</v>
      </c>
      <c r="L129" s="6">
        <v>1</v>
      </c>
      <c r="M129" s="6">
        <v>1</v>
      </c>
      <c r="N129" s="6">
        <v>0</v>
      </c>
      <c r="O129" s="6">
        <v>0</v>
      </c>
      <c r="P129" s="6">
        <v>73.09</v>
      </c>
      <c r="R129" s="6">
        <v>11.65</v>
      </c>
      <c r="W129" s="6">
        <v>0.22</v>
      </c>
      <c r="X129" s="6">
        <v>3.17</v>
      </c>
      <c r="Y129" s="6">
        <v>4.03</v>
      </c>
      <c r="Z129" s="6">
        <v>0.14000000000000001</v>
      </c>
      <c r="AA129" s="6">
        <v>0.02</v>
      </c>
      <c r="AB129" s="6">
        <v>92.3</v>
      </c>
      <c r="AE129" s="6" t="s">
        <v>1116</v>
      </c>
    </row>
    <row r="130" spans="1:31" s="6" customFormat="1">
      <c r="A130" s="8" t="s">
        <v>1051</v>
      </c>
      <c r="B130" s="6" t="s">
        <v>246</v>
      </c>
      <c r="C130" s="6" t="s">
        <v>1162</v>
      </c>
      <c r="D130" s="6">
        <v>800</v>
      </c>
      <c r="E130" s="8">
        <v>2</v>
      </c>
      <c r="F130" s="8">
        <f>14*3600*24</f>
        <v>1209600</v>
      </c>
      <c r="G130" s="9">
        <v>3.5046513928104248E-14</v>
      </c>
      <c r="H130" s="10">
        <f t="shared" si="9"/>
        <v>0.41178763093339704</v>
      </c>
      <c r="I130" s="6">
        <v>10</v>
      </c>
      <c r="J130" s="6" t="s">
        <v>247</v>
      </c>
      <c r="L130" s="6">
        <v>1</v>
      </c>
      <c r="M130" s="6">
        <v>1</v>
      </c>
      <c r="N130" s="6">
        <v>0</v>
      </c>
      <c r="O130" s="6">
        <v>0</v>
      </c>
      <c r="P130" s="6">
        <v>71.52</v>
      </c>
      <c r="R130" s="6">
        <v>11.69</v>
      </c>
      <c r="W130" s="6">
        <v>0.11</v>
      </c>
      <c r="X130" s="6">
        <v>3.3</v>
      </c>
      <c r="Y130" s="6">
        <v>4.4000000000000004</v>
      </c>
      <c r="Z130" s="6">
        <v>0.59</v>
      </c>
      <c r="AA130" s="6">
        <v>0.06</v>
      </c>
      <c r="AB130" s="6">
        <v>91.78</v>
      </c>
      <c r="AE130" s="6" t="s">
        <v>1116</v>
      </c>
    </row>
    <row r="131" spans="1:31" s="6" customFormat="1">
      <c r="A131" s="8" t="s">
        <v>1051</v>
      </c>
      <c r="B131" s="6" t="s">
        <v>248</v>
      </c>
      <c r="C131" s="6" t="s">
        <v>1162</v>
      </c>
      <c r="D131" s="6">
        <v>900</v>
      </c>
      <c r="E131" s="8">
        <v>2</v>
      </c>
      <c r="F131" s="8">
        <f t="shared" ref="F131:F136" si="10">7*24*3600</f>
        <v>604800</v>
      </c>
      <c r="G131" s="9">
        <v>1.4274849337614078E-13</v>
      </c>
      <c r="H131" s="10">
        <f t="shared" si="9"/>
        <v>0.58765394168299401</v>
      </c>
      <c r="I131" s="6">
        <v>10</v>
      </c>
      <c r="J131" s="6" t="s">
        <v>245</v>
      </c>
      <c r="L131" s="6">
        <v>1</v>
      </c>
      <c r="M131" s="6">
        <v>1</v>
      </c>
      <c r="N131" s="6">
        <v>0</v>
      </c>
      <c r="O131" s="6">
        <v>0</v>
      </c>
      <c r="P131" s="6">
        <v>72.33</v>
      </c>
      <c r="R131" s="6">
        <v>11.56</v>
      </c>
      <c r="W131" s="6">
        <v>0.28000000000000003</v>
      </c>
      <c r="X131" s="6">
        <v>3.25</v>
      </c>
      <c r="Y131" s="6">
        <v>4.4800000000000004</v>
      </c>
      <c r="Z131" s="6">
        <v>0.16</v>
      </c>
      <c r="AA131" s="6">
        <v>0.02</v>
      </c>
      <c r="AB131" s="6">
        <v>92.04</v>
      </c>
      <c r="AE131" s="6" t="s">
        <v>1116</v>
      </c>
    </row>
    <row r="132" spans="1:31" s="6" customFormat="1">
      <c r="A132" s="8" t="s">
        <v>1051</v>
      </c>
      <c r="B132" s="6" t="s">
        <v>249</v>
      </c>
      <c r="C132" s="6" t="s">
        <v>1162</v>
      </c>
      <c r="D132" s="6">
        <v>900</v>
      </c>
      <c r="E132" s="8">
        <v>2</v>
      </c>
      <c r="F132" s="8">
        <f t="shared" si="10"/>
        <v>604800</v>
      </c>
      <c r="G132" s="9">
        <v>1.4274849337614078E-13</v>
      </c>
      <c r="H132" s="10">
        <f t="shared" si="9"/>
        <v>0.58765394168299401</v>
      </c>
      <c r="I132" s="6">
        <v>10</v>
      </c>
      <c r="J132" s="6" t="s">
        <v>245</v>
      </c>
      <c r="L132" s="6">
        <v>1</v>
      </c>
      <c r="M132" s="6">
        <v>1</v>
      </c>
      <c r="N132" s="6">
        <v>0</v>
      </c>
      <c r="O132" s="6">
        <v>0</v>
      </c>
      <c r="P132" s="6">
        <v>72.97</v>
      </c>
      <c r="R132" s="6">
        <v>11.76</v>
      </c>
      <c r="W132" s="6">
        <v>0.27</v>
      </c>
      <c r="X132" s="6">
        <v>3.19</v>
      </c>
      <c r="Y132" s="6">
        <v>4.62</v>
      </c>
      <c r="Z132" s="6">
        <v>0.2</v>
      </c>
      <c r="AA132" s="6">
        <v>0.03</v>
      </c>
      <c r="AB132" s="6">
        <v>93.03</v>
      </c>
      <c r="AE132" s="6" t="s">
        <v>1116</v>
      </c>
    </row>
    <row r="133" spans="1:31" s="6" customFormat="1">
      <c r="A133" s="8" t="s">
        <v>1051</v>
      </c>
      <c r="B133" s="6" t="s">
        <v>250</v>
      </c>
      <c r="C133" s="6" t="s">
        <v>1162</v>
      </c>
      <c r="D133" s="6">
        <v>1000</v>
      </c>
      <c r="E133" s="8">
        <v>2</v>
      </c>
      <c r="F133" s="8">
        <f t="shared" si="10"/>
        <v>604800</v>
      </c>
      <c r="G133" s="9">
        <v>4.6632042652511761E-13</v>
      </c>
      <c r="H133" s="10">
        <f t="shared" si="9"/>
        <v>1.0621310539898383</v>
      </c>
      <c r="I133" s="6">
        <v>10</v>
      </c>
      <c r="J133" s="6" t="s">
        <v>245</v>
      </c>
      <c r="L133" s="6">
        <v>1</v>
      </c>
      <c r="M133" s="6">
        <v>1</v>
      </c>
      <c r="N133" s="6">
        <v>0</v>
      </c>
      <c r="O133" s="6">
        <v>0</v>
      </c>
      <c r="P133" s="6">
        <v>71.900000000000006</v>
      </c>
      <c r="R133" s="6">
        <v>11.7</v>
      </c>
      <c r="W133" s="6">
        <v>0.35</v>
      </c>
      <c r="X133" s="6">
        <v>3.12</v>
      </c>
      <c r="Y133" s="6">
        <v>4.38</v>
      </c>
      <c r="Z133" s="6">
        <v>0.18</v>
      </c>
      <c r="AA133" s="6">
        <v>0.02</v>
      </c>
      <c r="AB133" s="6">
        <v>91.63</v>
      </c>
      <c r="AE133" s="6" t="s">
        <v>1116</v>
      </c>
    </row>
    <row r="134" spans="1:31" s="6" customFormat="1">
      <c r="A134" s="8" t="s">
        <v>1051</v>
      </c>
      <c r="B134" s="6" t="s">
        <v>251</v>
      </c>
      <c r="C134" s="6" t="s">
        <v>1162</v>
      </c>
      <c r="D134" s="6">
        <v>1000</v>
      </c>
      <c r="E134" s="8">
        <v>2</v>
      </c>
      <c r="F134" s="8">
        <f t="shared" si="10"/>
        <v>604800</v>
      </c>
      <c r="G134" s="9">
        <v>4.6632042652511761E-13</v>
      </c>
      <c r="H134" s="10">
        <f t="shared" si="9"/>
        <v>1.0621310539898383</v>
      </c>
      <c r="I134" s="6">
        <v>10</v>
      </c>
      <c r="J134" s="6" t="s">
        <v>245</v>
      </c>
      <c r="L134" s="6">
        <v>1</v>
      </c>
      <c r="M134" s="6">
        <v>1</v>
      </c>
      <c r="N134" s="6">
        <v>0</v>
      </c>
      <c r="O134" s="6">
        <v>0</v>
      </c>
      <c r="P134" s="6">
        <v>72.8</v>
      </c>
      <c r="R134" s="6">
        <v>11.67</v>
      </c>
      <c r="W134" s="6">
        <v>0.36</v>
      </c>
      <c r="X134" s="6">
        <v>3.24</v>
      </c>
      <c r="Y134" s="6">
        <v>4.59</v>
      </c>
      <c r="Z134" s="6">
        <v>0.26</v>
      </c>
      <c r="AA134" s="6">
        <v>0.04</v>
      </c>
      <c r="AB134" s="6">
        <v>93.02</v>
      </c>
      <c r="AE134" s="6" t="s">
        <v>1116</v>
      </c>
    </row>
    <row r="135" spans="1:31" s="6" customFormat="1">
      <c r="A135" s="8" t="s">
        <v>1051</v>
      </c>
      <c r="B135" s="6" t="s">
        <v>252</v>
      </c>
      <c r="C135" s="6" t="s">
        <v>1162</v>
      </c>
      <c r="D135" s="6">
        <v>1100</v>
      </c>
      <c r="E135" s="8">
        <v>2</v>
      </c>
      <c r="F135" s="8">
        <f t="shared" si="10"/>
        <v>604800</v>
      </c>
      <c r="G135" s="9">
        <v>1.2820841702583668E-12</v>
      </c>
      <c r="H135" s="10">
        <f t="shared" si="9"/>
        <v>1.7611411143599598</v>
      </c>
      <c r="I135" s="6">
        <v>10</v>
      </c>
      <c r="J135" s="6" t="s">
        <v>245</v>
      </c>
      <c r="L135" s="6">
        <v>1</v>
      </c>
      <c r="M135" s="6">
        <v>1</v>
      </c>
      <c r="N135" s="6">
        <v>0</v>
      </c>
      <c r="O135" s="6">
        <v>0</v>
      </c>
      <c r="P135" s="6">
        <v>72.7</v>
      </c>
      <c r="R135" s="6">
        <v>11.89</v>
      </c>
      <c r="W135" s="6">
        <v>0.66</v>
      </c>
      <c r="X135" s="6">
        <v>3.65</v>
      </c>
      <c r="Y135" s="6">
        <v>4.45</v>
      </c>
      <c r="Z135" s="6">
        <v>0.39</v>
      </c>
      <c r="AA135" s="6">
        <v>0.04</v>
      </c>
      <c r="AB135" s="6">
        <v>93.74</v>
      </c>
      <c r="AE135" s="6" t="s">
        <v>1116</v>
      </c>
    </row>
    <row r="136" spans="1:31" s="6" customFormat="1">
      <c r="A136" s="8" t="s">
        <v>1051</v>
      </c>
      <c r="B136" s="6" t="s">
        <v>253</v>
      </c>
      <c r="C136" s="6" t="s">
        <v>1162</v>
      </c>
      <c r="D136" s="6">
        <v>1100</v>
      </c>
      <c r="E136" s="8">
        <v>2</v>
      </c>
      <c r="F136" s="8">
        <f t="shared" si="10"/>
        <v>604800</v>
      </c>
      <c r="G136" s="9">
        <v>1.2820841702583668E-12</v>
      </c>
      <c r="H136" s="10">
        <f t="shared" si="9"/>
        <v>1.7611411143599598</v>
      </c>
      <c r="I136" s="6">
        <v>10</v>
      </c>
      <c r="J136" s="6" t="s">
        <v>245</v>
      </c>
      <c r="L136" s="6">
        <v>1</v>
      </c>
      <c r="M136" s="6">
        <v>1</v>
      </c>
      <c r="N136" s="6">
        <v>0</v>
      </c>
      <c r="O136" s="6">
        <v>0</v>
      </c>
      <c r="P136" s="6">
        <v>72.66</v>
      </c>
      <c r="R136" s="6">
        <v>11.78</v>
      </c>
      <c r="W136" s="6">
        <v>0.65</v>
      </c>
      <c r="X136" s="6">
        <v>3.55</v>
      </c>
      <c r="Y136" s="6">
        <v>4.49</v>
      </c>
      <c r="Z136" s="6">
        <v>0.47</v>
      </c>
      <c r="AA136" s="6">
        <v>0.04</v>
      </c>
      <c r="AB136" s="6">
        <v>93.76</v>
      </c>
      <c r="AE136" s="6" t="s">
        <v>1116</v>
      </c>
    </row>
    <row r="137" spans="1:31" s="6" customFormat="1">
      <c r="A137" s="8" t="s">
        <v>1051</v>
      </c>
      <c r="B137" s="6" t="s">
        <v>254</v>
      </c>
      <c r="C137" s="6" t="s">
        <v>1162</v>
      </c>
      <c r="D137" s="6">
        <v>800</v>
      </c>
      <c r="E137" s="8">
        <v>2</v>
      </c>
      <c r="F137" s="8">
        <f>24*3600</f>
        <v>86400</v>
      </c>
      <c r="G137" s="9">
        <v>3.5046513928104248E-14</v>
      </c>
      <c r="H137" s="10">
        <f t="shared" si="9"/>
        <v>0.11005487364743476</v>
      </c>
      <c r="I137" s="6">
        <v>10</v>
      </c>
      <c r="J137" s="6" t="s">
        <v>245</v>
      </c>
      <c r="L137" s="6">
        <v>1</v>
      </c>
      <c r="M137" s="6">
        <v>1</v>
      </c>
      <c r="N137" s="6">
        <v>0</v>
      </c>
      <c r="O137" s="6">
        <v>0</v>
      </c>
      <c r="P137" s="6">
        <v>71.67</v>
      </c>
      <c r="R137" s="6">
        <v>11.74</v>
      </c>
      <c r="W137" s="6">
        <v>0.1</v>
      </c>
      <c r="X137" s="6">
        <v>3.48</v>
      </c>
      <c r="Y137" s="6">
        <v>4.53</v>
      </c>
      <c r="Z137" s="6">
        <v>0.12</v>
      </c>
      <c r="AA137" s="6">
        <v>0.02</v>
      </c>
      <c r="AB137" s="6">
        <v>91.68</v>
      </c>
      <c r="AE137" s="6" t="s">
        <v>1116</v>
      </c>
    </row>
    <row r="138" spans="1:31" s="6" customFormat="1">
      <c r="A138" s="8" t="s">
        <v>1051</v>
      </c>
      <c r="B138" s="6" t="s">
        <v>255</v>
      </c>
      <c r="C138" s="6" t="s">
        <v>1162</v>
      </c>
      <c r="D138" s="6">
        <v>900</v>
      </c>
      <c r="E138" s="8">
        <v>2</v>
      </c>
      <c r="F138" s="8">
        <f>14*3600*24</f>
        <v>1209600</v>
      </c>
      <c r="G138" s="9">
        <v>1.4274849337614078E-13</v>
      </c>
      <c r="H138" s="10">
        <f t="shared" si="9"/>
        <v>0.83106817431009805</v>
      </c>
      <c r="I138" s="6">
        <v>10</v>
      </c>
      <c r="J138" s="6" t="s">
        <v>245</v>
      </c>
      <c r="L138" s="6">
        <v>1</v>
      </c>
      <c r="M138" s="6">
        <v>1</v>
      </c>
      <c r="N138" s="6">
        <v>0</v>
      </c>
      <c r="O138" s="6">
        <v>0</v>
      </c>
      <c r="P138" s="6">
        <v>72.38</v>
      </c>
      <c r="R138" s="6">
        <v>11.68</v>
      </c>
      <c r="W138" s="6">
        <v>0.15</v>
      </c>
      <c r="X138" s="6">
        <v>3.28</v>
      </c>
      <c r="Y138" s="6">
        <v>4.55</v>
      </c>
      <c r="Z138" s="6">
        <v>0.18</v>
      </c>
      <c r="AA138" s="6">
        <v>0.02</v>
      </c>
      <c r="AB138" s="6">
        <v>92.33</v>
      </c>
      <c r="AE138" s="6" t="s">
        <v>1116</v>
      </c>
    </row>
    <row r="139" spans="1:31" s="6" customFormat="1">
      <c r="A139" s="8" t="s">
        <v>1051</v>
      </c>
      <c r="B139" s="6" t="s">
        <v>256</v>
      </c>
      <c r="C139" s="6" t="s">
        <v>1162</v>
      </c>
      <c r="D139" s="6">
        <v>900</v>
      </c>
      <c r="E139" s="8">
        <v>2</v>
      </c>
      <c r="F139" s="8">
        <f t="shared" ref="F139:F153" si="11">7*24*3600</f>
        <v>604800</v>
      </c>
      <c r="G139" s="9">
        <v>1.4274849337614078E-13</v>
      </c>
      <c r="H139" s="10">
        <f t="shared" si="9"/>
        <v>0.58765394168299401</v>
      </c>
      <c r="I139" s="6">
        <v>10</v>
      </c>
      <c r="J139" s="6" t="s">
        <v>245</v>
      </c>
      <c r="L139" s="6">
        <v>1</v>
      </c>
      <c r="M139" s="6">
        <v>1</v>
      </c>
      <c r="N139" s="6">
        <v>0</v>
      </c>
      <c r="O139" s="6">
        <v>0</v>
      </c>
      <c r="P139" s="6">
        <v>72.680000000000007</v>
      </c>
      <c r="R139" s="6">
        <v>11.72</v>
      </c>
      <c r="W139" s="6">
        <v>0.16</v>
      </c>
      <c r="X139" s="6">
        <v>3.42</v>
      </c>
      <c r="Y139" s="6">
        <v>4.57</v>
      </c>
      <c r="Z139" s="6">
        <v>0.2</v>
      </c>
      <c r="AA139" s="6">
        <v>0.03</v>
      </c>
      <c r="AB139" s="6">
        <v>92.83</v>
      </c>
      <c r="AE139" s="6" t="s">
        <v>1116</v>
      </c>
    </row>
    <row r="140" spans="1:31" s="6" customFormat="1">
      <c r="A140" s="8" t="s">
        <v>1051</v>
      </c>
      <c r="B140" s="6" t="s">
        <v>257</v>
      </c>
      <c r="C140" s="6" t="s">
        <v>1162</v>
      </c>
      <c r="D140" s="6">
        <v>1000</v>
      </c>
      <c r="E140" s="8">
        <v>2</v>
      </c>
      <c r="F140" s="8">
        <f t="shared" si="11"/>
        <v>604800</v>
      </c>
      <c r="G140" s="9">
        <v>4.6632042652511761E-13</v>
      </c>
      <c r="H140" s="10">
        <f t="shared" si="9"/>
        <v>1.0621310539898383</v>
      </c>
      <c r="I140" s="6">
        <v>10</v>
      </c>
      <c r="J140" s="6" t="s">
        <v>245</v>
      </c>
      <c r="L140" s="6">
        <v>1</v>
      </c>
      <c r="M140" s="6">
        <v>1</v>
      </c>
      <c r="N140" s="6">
        <v>0</v>
      </c>
      <c r="O140" s="6">
        <v>0</v>
      </c>
      <c r="P140" s="6">
        <v>72.569999999999993</v>
      </c>
      <c r="R140" s="6">
        <v>11.54</v>
      </c>
      <c r="W140" s="6">
        <v>0.27</v>
      </c>
      <c r="X140" s="6">
        <v>3.29</v>
      </c>
      <c r="Y140" s="6">
        <v>4.5599999999999996</v>
      </c>
      <c r="Z140" s="6">
        <v>0.24</v>
      </c>
      <c r="AA140" s="6">
        <v>0.03</v>
      </c>
      <c r="AB140" s="6">
        <v>92.47</v>
      </c>
      <c r="AE140" s="6" t="s">
        <v>1116</v>
      </c>
    </row>
    <row r="141" spans="1:31" s="6" customFormat="1">
      <c r="A141" s="8" t="s">
        <v>1051</v>
      </c>
      <c r="B141" s="6" t="s">
        <v>258</v>
      </c>
      <c r="C141" s="6" t="s">
        <v>1162</v>
      </c>
      <c r="D141" s="6">
        <v>1000</v>
      </c>
      <c r="E141" s="8">
        <v>2</v>
      </c>
      <c r="F141" s="8">
        <f t="shared" si="11"/>
        <v>604800</v>
      </c>
      <c r="G141" s="9">
        <v>4.6632042652511761E-13</v>
      </c>
      <c r="H141" s="10">
        <f t="shared" si="9"/>
        <v>1.0621310539898383</v>
      </c>
      <c r="I141" s="6">
        <v>10</v>
      </c>
      <c r="J141" s="6" t="s">
        <v>245</v>
      </c>
      <c r="L141" s="6">
        <v>1</v>
      </c>
      <c r="M141" s="6">
        <v>1</v>
      </c>
      <c r="N141" s="6">
        <v>0</v>
      </c>
      <c r="O141" s="6">
        <v>0</v>
      </c>
      <c r="P141" s="6">
        <v>72.489999999999995</v>
      </c>
      <c r="R141" s="6">
        <v>11.65</v>
      </c>
      <c r="W141" s="6">
        <v>0.3</v>
      </c>
      <c r="X141" s="6">
        <v>3.2</v>
      </c>
      <c r="Y141" s="6">
        <v>4.4800000000000004</v>
      </c>
      <c r="Z141" s="6">
        <v>0.31</v>
      </c>
      <c r="AA141" s="6">
        <v>0.05</v>
      </c>
      <c r="AB141" s="6">
        <v>92.33</v>
      </c>
      <c r="AE141" s="6" t="s">
        <v>1116</v>
      </c>
    </row>
    <row r="142" spans="1:31" s="6" customFormat="1">
      <c r="A142" s="8" t="s">
        <v>1051</v>
      </c>
      <c r="B142" s="6" t="s">
        <v>259</v>
      </c>
      <c r="C142" s="6" t="s">
        <v>1162</v>
      </c>
      <c r="D142" s="6">
        <v>1100</v>
      </c>
      <c r="E142" s="8">
        <v>2</v>
      </c>
      <c r="F142" s="8">
        <f t="shared" si="11"/>
        <v>604800</v>
      </c>
      <c r="G142" s="9">
        <v>1.2820841702583668E-12</v>
      </c>
      <c r="H142" s="10">
        <f t="shared" si="9"/>
        <v>1.7611411143599598</v>
      </c>
      <c r="I142" s="6">
        <v>10</v>
      </c>
      <c r="J142" s="6" t="s">
        <v>245</v>
      </c>
      <c r="L142" s="6">
        <v>1</v>
      </c>
      <c r="M142" s="6">
        <v>1</v>
      </c>
      <c r="N142" s="6">
        <v>0</v>
      </c>
      <c r="O142" s="6">
        <v>0</v>
      </c>
      <c r="P142" s="6">
        <v>71.790000000000006</v>
      </c>
      <c r="R142" s="6">
        <v>11.73</v>
      </c>
      <c r="W142" s="6">
        <v>0.51</v>
      </c>
      <c r="X142" s="6">
        <v>3.59</v>
      </c>
      <c r="Y142" s="6">
        <v>4.54</v>
      </c>
      <c r="Z142" s="6">
        <v>0.39</v>
      </c>
      <c r="AA142" s="6">
        <v>0.03</v>
      </c>
      <c r="AB142" s="6">
        <v>92.63</v>
      </c>
      <c r="AE142" s="6" t="s">
        <v>1116</v>
      </c>
    </row>
    <row r="143" spans="1:31" s="6" customFormat="1">
      <c r="A143" s="8" t="s">
        <v>1051</v>
      </c>
      <c r="B143" s="6" t="s">
        <v>260</v>
      </c>
      <c r="C143" s="6" t="s">
        <v>1162</v>
      </c>
      <c r="D143" s="6">
        <v>1100</v>
      </c>
      <c r="E143" s="8">
        <v>2</v>
      </c>
      <c r="F143" s="8">
        <f t="shared" si="11"/>
        <v>604800</v>
      </c>
      <c r="G143" s="9">
        <v>1.2820841702583668E-12</v>
      </c>
      <c r="H143" s="10">
        <f t="shared" si="9"/>
        <v>1.7611411143599598</v>
      </c>
      <c r="I143" s="6">
        <v>10</v>
      </c>
      <c r="J143" s="6" t="s">
        <v>245</v>
      </c>
      <c r="L143" s="6">
        <v>1</v>
      </c>
      <c r="M143" s="6">
        <v>1</v>
      </c>
      <c r="N143" s="6">
        <v>0</v>
      </c>
      <c r="O143" s="6">
        <v>0</v>
      </c>
      <c r="P143" s="6">
        <v>72.14</v>
      </c>
      <c r="R143" s="6">
        <v>11.81</v>
      </c>
      <c r="W143" s="6">
        <v>0.49</v>
      </c>
      <c r="X143" s="6">
        <v>3.62</v>
      </c>
      <c r="Y143" s="6">
        <v>4.5</v>
      </c>
      <c r="Z143" s="6">
        <v>0.44</v>
      </c>
      <c r="AA143" s="6">
        <v>0.04</v>
      </c>
      <c r="AB143" s="6">
        <v>93.19</v>
      </c>
      <c r="AE143" s="6" t="s">
        <v>1116</v>
      </c>
    </row>
    <row r="144" spans="1:31" s="6" customFormat="1">
      <c r="A144" s="8" t="s">
        <v>1052</v>
      </c>
      <c r="B144" s="6" t="s">
        <v>261</v>
      </c>
      <c r="C144" s="6" t="s">
        <v>1162</v>
      </c>
      <c r="D144" s="25">
        <v>1000</v>
      </c>
      <c r="E144" s="8">
        <v>2</v>
      </c>
      <c r="F144" s="8">
        <f t="shared" si="11"/>
        <v>604800</v>
      </c>
      <c r="G144" s="9">
        <v>4.6632042652511761E-13</v>
      </c>
      <c r="H144" s="10">
        <f t="shared" si="9"/>
        <v>1.0621310539898383</v>
      </c>
      <c r="I144" s="6">
        <v>10</v>
      </c>
      <c r="J144" s="6" t="s">
        <v>245</v>
      </c>
      <c r="L144" s="6">
        <v>1</v>
      </c>
      <c r="M144" s="6">
        <v>1</v>
      </c>
      <c r="N144" s="6">
        <v>0</v>
      </c>
      <c r="O144" s="6">
        <v>0</v>
      </c>
      <c r="P144" s="6">
        <v>73.11</v>
      </c>
      <c r="R144" s="6">
        <v>11.86</v>
      </c>
      <c r="W144" s="6">
        <v>0.28000000000000003</v>
      </c>
      <c r="X144" s="6">
        <v>3.09</v>
      </c>
      <c r="Y144" s="6">
        <v>4.5</v>
      </c>
      <c r="Z144" s="6">
        <v>0.23</v>
      </c>
      <c r="AA144" s="6">
        <v>7.0000000000000007E-2</v>
      </c>
      <c r="AB144" s="6">
        <v>93.1</v>
      </c>
      <c r="AC144" s="6">
        <v>4.7699999999999996</v>
      </c>
      <c r="AE144" s="6" t="s">
        <v>1116</v>
      </c>
    </row>
    <row r="145" spans="1:33" s="6" customFormat="1">
      <c r="A145" s="8" t="s">
        <v>1052</v>
      </c>
      <c r="B145" s="6" t="s">
        <v>262</v>
      </c>
      <c r="C145" s="6" t="s">
        <v>1162</v>
      </c>
      <c r="D145" s="25">
        <v>1000</v>
      </c>
      <c r="E145" s="8">
        <v>2</v>
      </c>
      <c r="F145" s="8">
        <f t="shared" si="11"/>
        <v>604800</v>
      </c>
      <c r="G145" s="9">
        <v>4.6632042652511761E-13</v>
      </c>
      <c r="H145" s="10">
        <f t="shared" si="9"/>
        <v>1.0621310539898383</v>
      </c>
      <c r="I145" s="6">
        <v>10</v>
      </c>
      <c r="J145" s="6" t="s">
        <v>245</v>
      </c>
      <c r="L145" s="6">
        <v>1</v>
      </c>
      <c r="M145" s="6">
        <v>1</v>
      </c>
      <c r="N145" s="6">
        <v>0</v>
      </c>
      <c r="O145" s="6">
        <v>0</v>
      </c>
      <c r="P145" s="6">
        <v>72.88</v>
      </c>
      <c r="R145" s="6">
        <v>11.85</v>
      </c>
      <c r="W145" s="6">
        <v>0.28000000000000003</v>
      </c>
      <c r="X145" s="6">
        <v>3.28</v>
      </c>
      <c r="Y145" s="6">
        <v>4.63</v>
      </c>
      <c r="Z145" s="6">
        <v>0.23</v>
      </c>
      <c r="AA145" s="6">
        <v>0.1</v>
      </c>
      <c r="AB145" s="6">
        <v>93.2</v>
      </c>
      <c r="AC145" s="6">
        <v>4.95</v>
      </c>
      <c r="AE145" s="6" t="s">
        <v>1116</v>
      </c>
    </row>
    <row r="146" spans="1:33" s="6" customFormat="1">
      <c r="A146" s="8" t="s">
        <v>1052</v>
      </c>
      <c r="B146" s="6" t="s">
        <v>263</v>
      </c>
      <c r="C146" s="6" t="s">
        <v>1162</v>
      </c>
      <c r="D146" s="25">
        <v>1000</v>
      </c>
      <c r="E146" s="8">
        <v>2</v>
      </c>
      <c r="F146" s="8">
        <f t="shared" si="11"/>
        <v>604800</v>
      </c>
      <c r="G146" s="9">
        <v>4.6632042652511761E-13</v>
      </c>
      <c r="H146" s="10">
        <f t="shared" si="9"/>
        <v>1.0621310539898383</v>
      </c>
      <c r="I146" s="6">
        <v>10</v>
      </c>
      <c r="J146" s="6" t="s">
        <v>264</v>
      </c>
      <c r="L146" s="6">
        <v>1</v>
      </c>
      <c r="M146" s="6">
        <v>1</v>
      </c>
      <c r="N146" s="6">
        <v>0</v>
      </c>
      <c r="O146" s="6">
        <v>0</v>
      </c>
      <c r="P146" s="6">
        <v>73.489999999999995</v>
      </c>
      <c r="R146" s="6">
        <v>11.98</v>
      </c>
      <c r="W146" s="6">
        <v>0.23</v>
      </c>
      <c r="X146" s="6">
        <v>3.19</v>
      </c>
      <c r="Y146" s="6">
        <v>4.72</v>
      </c>
      <c r="Z146" s="6">
        <v>0.45</v>
      </c>
      <c r="AA146" s="6">
        <v>0.01</v>
      </c>
      <c r="AB146" s="6">
        <v>94.18</v>
      </c>
      <c r="AC146" s="6">
        <v>4.16</v>
      </c>
      <c r="AE146" s="6" t="s">
        <v>1116</v>
      </c>
    </row>
    <row r="147" spans="1:33" s="6" customFormat="1">
      <c r="A147" s="8" t="s">
        <v>1052</v>
      </c>
      <c r="B147" s="6" t="s">
        <v>265</v>
      </c>
      <c r="C147" s="6" t="s">
        <v>1162</v>
      </c>
      <c r="D147" s="25">
        <v>1000</v>
      </c>
      <c r="E147" s="8">
        <v>2</v>
      </c>
      <c r="F147" s="8">
        <f t="shared" si="11"/>
        <v>604800</v>
      </c>
      <c r="G147" s="9">
        <v>4.6632042652511761E-13</v>
      </c>
      <c r="H147" s="10">
        <f t="shared" si="9"/>
        <v>1.0621310539898383</v>
      </c>
      <c r="I147" s="6">
        <v>10</v>
      </c>
      <c r="J147" s="6" t="s">
        <v>264</v>
      </c>
      <c r="L147" s="6">
        <v>1</v>
      </c>
      <c r="M147" s="6">
        <v>1</v>
      </c>
      <c r="N147" s="6">
        <v>0</v>
      </c>
      <c r="O147" s="6">
        <v>0</v>
      </c>
      <c r="P147" s="6">
        <v>73.22</v>
      </c>
      <c r="R147" s="6">
        <v>12.08</v>
      </c>
      <c r="W147" s="6">
        <v>0.26</v>
      </c>
      <c r="X147" s="6">
        <v>3.32</v>
      </c>
      <c r="Y147" s="6">
        <v>4.68</v>
      </c>
      <c r="Z147" s="6">
        <v>0.67</v>
      </c>
      <c r="AA147" s="6">
        <v>0.02</v>
      </c>
      <c r="AB147" s="6">
        <v>94.38</v>
      </c>
      <c r="AC147" s="6">
        <v>3.91</v>
      </c>
      <c r="AE147" s="6" t="s">
        <v>1116</v>
      </c>
    </row>
    <row r="148" spans="1:33" s="6" customFormat="1">
      <c r="A148" s="8" t="s">
        <v>1052</v>
      </c>
      <c r="B148" s="6" t="s">
        <v>266</v>
      </c>
      <c r="C148" s="6" t="s">
        <v>1162</v>
      </c>
      <c r="D148" s="25">
        <v>1000</v>
      </c>
      <c r="E148" s="8">
        <v>2</v>
      </c>
      <c r="F148" s="8">
        <f t="shared" si="11"/>
        <v>604800</v>
      </c>
      <c r="G148" s="9">
        <v>4.6632042652511761E-13</v>
      </c>
      <c r="H148" s="10">
        <f t="shared" si="9"/>
        <v>1.0621310539898383</v>
      </c>
      <c r="I148" s="6">
        <v>10</v>
      </c>
      <c r="J148" s="6" t="s">
        <v>264</v>
      </c>
      <c r="L148" s="6">
        <v>1</v>
      </c>
      <c r="M148" s="6">
        <v>1</v>
      </c>
      <c r="N148" s="6">
        <v>0</v>
      </c>
      <c r="O148" s="6">
        <v>0</v>
      </c>
      <c r="P148" s="6">
        <v>73.77</v>
      </c>
      <c r="R148" s="6">
        <v>12.08</v>
      </c>
      <c r="W148" s="6">
        <v>0.19</v>
      </c>
      <c r="X148" s="6">
        <v>3.09</v>
      </c>
      <c r="Y148" s="6">
        <v>4.41</v>
      </c>
      <c r="Z148" s="6">
        <v>1.2</v>
      </c>
      <c r="AA148" s="6">
        <v>0.02</v>
      </c>
      <c r="AB148" s="6">
        <v>94.94</v>
      </c>
      <c r="AC148" s="6">
        <v>3.7</v>
      </c>
      <c r="AE148" s="6" t="s">
        <v>1116</v>
      </c>
    </row>
    <row r="149" spans="1:33" s="6" customFormat="1">
      <c r="A149" s="8" t="s">
        <v>1052</v>
      </c>
      <c r="B149" s="6" t="s">
        <v>267</v>
      </c>
      <c r="C149" s="6" t="s">
        <v>1162</v>
      </c>
      <c r="D149" s="6">
        <v>900</v>
      </c>
      <c r="E149" s="8">
        <v>2</v>
      </c>
      <c r="F149" s="8">
        <f t="shared" si="11"/>
        <v>604800</v>
      </c>
      <c r="G149" s="9">
        <v>1.4274849337614078E-13</v>
      </c>
      <c r="H149" s="10">
        <f t="shared" si="9"/>
        <v>0.58765394168299401</v>
      </c>
      <c r="I149" s="6">
        <v>10</v>
      </c>
      <c r="L149" s="6">
        <v>1</v>
      </c>
      <c r="M149" s="6">
        <v>1</v>
      </c>
      <c r="N149" s="6">
        <v>0</v>
      </c>
      <c r="O149" s="6">
        <v>0</v>
      </c>
      <c r="P149" s="6">
        <v>72.2</v>
      </c>
      <c r="R149" s="25">
        <v>11.91</v>
      </c>
      <c r="W149" s="6">
        <v>0.24</v>
      </c>
      <c r="X149" s="6">
        <v>3.02</v>
      </c>
      <c r="Y149" s="6">
        <v>4.71</v>
      </c>
      <c r="Z149" s="6">
        <v>0.16</v>
      </c>
      <c r="AA149" s="6">
        <v>0.09</v>
      </c>
      <c r="AB149" s="6">
        <v>92.29</v>
      </c>
      <c r="AC149" s="6">
        <v>5.53</v>
      </c>
      <c r="AE149" s="6" t="s">
        <v>1116</v>
      </c>
    </row>
    <row r="150" spans="1:33" s="6" customFormat="1">
      <c r="A150" s="8" t="s">
        <v>1052</v>
      </c>
      <c r="B150" s="6" t="s">
        <v>268</v>
      </c>
      <c r="C150" s="6" t="s">
        <v>1162</v>
      </c>
      <c r="D150" s="6">
        <v>900</v>
      </c>
      <c r="E150" s="8">
        <v>2</v>
      </c>
      <c r="F150" s="8">
        <f t="shared" si="11"/>
        <v>604800</v>
      </c>
      <c r="G150" s="9">
        <v>1.4274849337614078E-13</v>
      </c>
      <c r="H150" s="10">
        <f t="shared" si="9"/>
        <v>0.58765394168299401</v>
      </c>
      <c r="I150" s="6">
        <v>10</v>
      </c>
      <c r="L150" s="6">
        <v>1</v>
      </c>
      <c r="M150" s="6">
        <v>1</v>
      </c>
      <c r="N150" s="6">
        <v>0</v>
      </c>
      <c r="O150" s="6">
        <v>0</v>
      </c>
      <c r="P150" s="6">
        <v>72.66</v>
      </c>
      <c r="R150" s="25">
        <v>11.85</v>
      </c>
      <c r="W150" s="6">
        <v>0.22</v>
      </c>
      <c r="X150" s="6">
        <v>2.93</v>
      </c>
      <c r="Y150" s="6">
        <v>4.5199999999999996</v>
      </c>
      <c r="Z150" s="6">
        <v>0.13</v>
      </c>
      <c r="AA150" s="6">
        <v>0.09</v>
      </c>
      <c r="AB150" s="6">
        <v>92.35</v>
      </c>
      <c r="AC150" s="6">
        <v>5.44</v>
      </c>
      <c r="AE150" s="6" t="s">
        <v>1116</v>
      </c>
    </row>
    <row r="151" spans="1:33" s="6" customFormat="1">
      <c r="A151" s="8" t="s">
        <v>1052</v>
      </c>
      <c r="B151" s="6" t="s">
        <v>269</v>
      </c>
      <c r="C151" s="6" t="s">
        <v>1162</v>
      </c>
      <c r="D151" s="6">
        <v>900</v>
      </c>
      <c r="E151" s="8">
        <v>2</v>
      </c>
      <c r="F151" s="8">
        <f t="shared" si="11"/>
        <v>604800</v>
      </c>
      <c r="G151" s="9">
        <v>1.4274849337614078E-13</v>
      </c>
      <c r="H151" s="10">
        <f t="shared" si="9"/>
        <v>0.58765394168299401</v>
      </c>
      <c r="I151" s="6">
        <v>10</v>
      </c>
      <c r="L151" s="6">
        <v>1</v>
      </c>
      <c r="M151" s="6">
        <v>1</v>
      </c>
      <c r="N151" s="6">
        <v>0</v>
      </c>
      <c r="O151" s="6">
        <v>0</v>
      </c>
      <c r="P151" s="6">
        <v>71.709999999999994</v>
      </c>
      <c r="R151" s="6">
        <v>11.85</v>
      </c>
      <c r="W151" s="6">
        <v>0.16</v>
      </c>
      <c r="X151" s="6">
        <v>3.53</v>
      </c>
      <c r="Y151" s="6">
        <v>4.8</v>
      </c>
      <c r="Z151" s="6">
        <v>0.27</v>
      </c>
      <c r="AA151" s="6">
        <v>7.0000000000000007E-2</v>
      </c>
      <c r="AB151" s="6">
        <v>92.42</v>
      </c>
      <c r="AC151" s="6">
        <v>5.36</v>
      </c>
      <c r="AE151" s="6" t="s">
        <v>1116</v>
      </c>
    </row>
    <row r="152" spans="1:33" s="6" customFormat="1">
      <c r="A152" s="8" t="s">
        <v>1052</v>
      </c>
      <c r="B152" s="6" t="s">
        <v>270</v>
      </c>
      <c r="C152" s="6" t="s">
        <v>1162</v>
      </c>
      <c r="D152" s="6">
        <v>900</v>
      </c>
      <c r="E152" s="8">
        <v>2</v>
      </c>
      <c r="F152" s="8">
        <f t="shared" si="11"/>
        <v>604800</v>
      </c>
      <c r="G152" s="9">
        <v>1.4274849337614078E-13</v>
      </c>
      <c r="H152" s="10">
        <f t="shared" si="9"/>
        <v>0.58765394168299401</v>
      </c>
      <c r="I152" s="6">
        <v>10</v>
      </c>
      <c r="L152" s="6">
        <v>1</v>
      </c>
      <c r="M152" s="6">
        <v>1</v>
      </c>
      <c r="N152" s="6">
        <v>0</v>
      </c>
      <c r="O152" s="6">
        <v>0</v>
      </c>
      <c r="P152" s="6">
        <v>72.02</v>
      </c>
      <c r="R152" s="6">
        <v>11.82</v>
      </c>
      <c r="W152" s="28">
        <v>0.1</v>
      </c>
      <c r="X152" s="28">
        <v>3.2</v>
      </c>
      <c r="Y152" s="28">
        <v>4.53</v>
      </c>
      <c r="Z152" s="28">
        <v>0.42</v>
      </c>
      <c r="AA152" s="28">
        <v>7.0000000000000007E-2</v>
      </c>
      <c r="AB152" s="6">
        <v>92.22</v>
      </c>
      <c r="AC152" s="6">
        <v>5.51</v>
      </c>
      <c r="AE152" s="6" t="s">
        <v>1116</v>
      </c>
    </row>
    <row r="153" spans="1:33" s="6" customFormat="1">
      <c r="A153" s="8" t="s">
        <v>1052</v>
      </c>
      <c r="B153" s="6" t="s">
        <v>271</v>
      </c>
      <c r="C153" s="6" t="s">
        <v>1162</v>
      </c>
      <c r="D153" s="6">
        <v>900</v>
      </c>
      <c r="E153" s="8">
        <v>2</v>
      </c>
      <c r="F153" s="8">
        <f t="shared" si="11"/>
        <v>604800</v>
      </c>
      <c r="G153" s="9">
        <v>1.4274849337614078E-13</v>
      </c>
      <c r="H153" s="10">
        <f t="shared" si="9"/>
        <v>0.58765394168299401</v>
      </c>
      <c r="I153" s="6">
        <v>10</v>
      </c>
      <c r="L153" s="6">
        <v>1</v>
      </c>
      <c r="M153" s="6">
        <v>1</v>
      </c>
      <c r="N153" s="6">
        <v>0</v>
      </c>
      <c r="O153" s="6">
        <v>0</v>
      </c>
      <c r="P153" s="6">
        <v>73.36</v>
      </c>
      <c r="R153" s="6">
        <v>11.82</v>
      </c>
      <c r="W153" s="6">
        <v>0.09</v>
      </c>
      <c r="X153" s="6">
        <v>3.48</v>
      </c>
      <c r="Y153" s="6">
        <v>4.72</v>
      </c>
      <c r="Z153" s="6">
        <v>0.87</v>
      </c>
      <c r="AA153" s="6">
        <v>0.19</v>
      </c>
      <c r="AB153" s="6">
        <v>94.51</v>
      </c>
      <c r="AC153" s="6">
        <v>3.82</v>
      </c>
      <c r="AE153" s="6" t="s">
        <v>1116</v>
      </c>
    </row>
    <row r="154" spans="1:33" s="6" customFormat="1">
      <c r="A154" s="6" t="s">
        <v>1064</v>
      </c>
      <c r="B154" s="6" t="s">
        <v>459</v>
      </c>
      <c r="C154" s="6" t="s">
        <v>645</v>
      </c>
      <c r="D154" s="6">
        <v>580</v>
      </c>
      <c r="E154" s="6">
        <v>1</v>
      </c>
      <c r="F154" s="6">
        <f>2064*3600</f>
        <v>7430400</v>
      </c>
      <c r="G154" s="9">
        <v>5.0062023899811174E-16</v>
      </c>
      <c r="H154" s="10">
        <f t="shared" si="9"/>
        <v>0.12198046767989651</v>
      </c>
      <c r="I154" s="6" t="s">
        <v>41</v>
      </c>
      <c r="J154" s="6" t="s">
        <v>460</v>
      </c>
      <c r="K154" s="6">
        <v>60</v>
      </c>
      <c r="L154" s="6">
        <v>1</v>
      </c>
      <c r="M154" s="6">
        <v>1</v>
      </c>
      <c r="N154" s="6">
        <v>1</v>
      </c>
      <c r="O154" s="6">
        <v>1</v>
      </c>
      <c r="P154" s="39">
        <v>61.56</v>
      </c>
      <c r="Q154" s="39">
        <v>0.02</v>
      </c>
      <c r="R154" s="39">
        <v>15.85</v>
      </c>
      <c r="T154" s="39">
        <v>0.15</v>
      </c>
      <c r="U154" s="39">
        <v>0.04</v>
      </c>
      <c r="V154" s="39">
        <v>0.01</v>
      </c>
      <c r="W154" s="39">
        <v>0.04</v>
      </c>
      <c r="X154" s="39">
        <v>3.95</v>
      </c>
      <c r="Y154" s="39">
        <v>3.08</v>
      </c>
      <c r="Z154" s="39">
        <v>1.7</v>
      </c>
      <c r="AA154" s="39">
        <v>0.18</v>
      </c>
      <c r="AB154" s="39">
        <v>88.22</v>
      </c>
      <c r="AD154" s="6" t="s">
        <v>461</v>
      </c>
      <c r="AE154" s="6" t="s">
        <v>1143</v>
      </c>
    </row>
    <row r="155" spans="1:33" s="6" customFormat="1">
      <c r="A155" s="6" t="s">
        <v>1064</v>
      </c>
      <c r="B155" s="6" t="s">
        <v>462</v>
      </c>
      <c r="C155" s="6" t="s">
        <v>645</v>
      </c>
      <c r="D155" s="6">
        <v>580</v>
      </c>
      <c r="E155" s="6">
        <v>3</v>
      </c>
      <c r="F155" s="6">
        <f>2184*3600</f>
        <v>7862400</v>
      </c>
      <c r="G155" s="9">
        <v>5.0062023899811174E-16</v>
      </c>
      <c r="H155" s="10">
        <f t="shared" ref="H155:H186" si="12">2*SQRT(G155*F155)*1000</f>
        <v>0.12547631755990857</v>
      </c>
      <c r="I155" s="6" t="s">
        <v>41</v>
      </c>
      <c r="J155" s="6" t="s">
        <v>463</v>
      </c>
      <c r="K155" s="6">
        <v>67</v>
      </c>
      <c r="L155" s="6">
        <v>1</v>
      </c>
      <c r="M155" s="6">
        <v>1</v>
      </c>
      <c r="N155" s="6">
        <v>1</v>
      </c>
      <c r="O155" s="6">
        <v>1</v>
      </c>
      <c r="P155" s="6">
        <v>61.9</v>
      </c>
      <c r="Q155" s="6">
        <v>0.01</v>
      </c>
      <c r="R155" s="6">
        <v>16.54</v>
      </c>
      <c r="T155" s="6">
        <v>0.05</v>
      </c>
      <c r="U155" s="6">
        <v>0.04</v>
      </c>
      <c r="V155" s="6">
        <v>0.01</v>
      </c>
      <c r="W155" s="6">
        <v>7.0000000000000007E-2</v>
      </c>
      <c r="X155" s="6">
        <v>4.67</v>
      </c>
      <c r="Y155" s="6">
        <v>2.91</v>
      </c>
      <c r="Z155" s="6">
        <v>1.38</v>
      </c>
      <c r="AA155" s="6">
        <v>0.09</v>
      </c>
      <c r="AB155" s="6">
        <v>89.49</v>
      </c>
      <c r="AD155" s="6" t="s">
        <v>461</v>
      </c>
      <c r="AE155" s="6" t="s">
        <v>1143</v>
      </c>
      <c r="AG155" s="6" t="s">
        <v>1183</v>
      </c>
    </row>
    <row r="156" spans="1:33" s="6" customFormat="1">
      <c r="A156" s="6" t="s">
        <v>1064</v>
      </c>
      <c r="B156" s="6" t="s">
        <v>464</v>
      </c>
      <c r="C156" s="6" t="s">
        <v>645</v>
      </c>
      <c r="D156" s="6">
        <v>600</v>
      </c>
      <c r="E156" s="6">
        <v>3</v>
      </c>
      <c r="F156" s="6">
        <f>1104*3600</f>
        <v>3974400</v>
      </c>
      <c r="G156" s="9">
        <v>8.0476635143458815E-16</v>
      </c>
      <c r="H156" s="10">
        <f t="shared" si="12"/>
        <v>0.11310991799381039</v>
      </c>
      <c r="I156" s="6" t="s">
        <v>41</v>
      </c>
      <c r="J156" s="6" t="s">
        <v>124</v>
      </c>
      <c r="K156" s="6">
        <v>98</v>
      </c>
      <c r="L156" s="6">
        <v>1</v>
      </c>
      <c r="M156" s="6">
        <v>1</v>
      </c>
      <c r="N156" s="6">
        <v>1</v>
      </c>
      <c r="O156" s="6">
        <v>1</v>
      </c>
      <c r="P156" s="6">
        <v>62.7</v>
      </c>
      <c r="Q156" s="6">
        <v>0</v>
      </c>
      <c r="R156" s="6">
        <v>14.52</v>
      </c>
      <c r="T156" s="6">
        <v>0.13</v>
      </c>
      <c r="U156" s="6">
        <v>0.04</v>
      </c>
      <c r="V156" s="6">
        <v>0.03</v>
      </c>
      <c r="W156" s="6">
        <v>0.06</v>
      </c>
      <c r="X156" s="6">
        <v>4.7300000000000004</v>
      </c>
      <c r="Y156" s="6">
        <v>3.07</v>
      </c>
      <c r="Z156" s="6">
        <v>1.42</v>
      </c>
      <c r="AA156" s="6">
        <v>0.14000000000000001</v>
      </c>
      <c r="AB156" s="6">
        <v>88.91</v>
      </c>
      <c r="AD156" s="6" t="s">
        <v>461</v>
      </c>
      <c r="AE156" s="6" t="s">
        <v>1143</v>
      </c>
    </row>
    <row r="157" spans="1:33" s="6" customFormat="1">
      <c r="A157" s="6" t="s">
        <v>1064</v>
      </c>
      <c r="B157" s="6" t="s">
        <v>465</v>
      </c>
      <c r="C157" s="6" t="s">
        <v>645</v>
      </c>
      <c r="D157" s="6">
        <v>620</v>
      </c>
      <c r="E157" s="6">
        <v>3</v>
      </c>
      <c r="F157" s="6">
        <f>2184*3600</f>
        <v>7862400</v>
      </c>
      <c r="G157" s="9">
        <v>1.2664796424974132E-15</v>
      </c>
      <c r="H157" s="10">
        <f t="shared" si="12"/>
        <v>0.19957524436835006</v>
      </c>
      <c r="I157" s="6" t="s">
        <v>41</v>
      </c>
      <c r="J157" s="6" t="s">
        <v>466</v>
      </c>
      <c r="K157" s="6">
        <v>77</v>
      </c>
      <c r="L157" s="6">
        <v>1</v>
      </c>
      <c r="M157" s="6">
        <v>1</v>
      </c>
      <c r="N157" s="6">
        <v>1</v>
      </c>
      <c r="O157" s="6">
        <v>1</v>
      </c>
      <c r="P157" s="6">
        <v>62.22</v>
      </c>
      <c r="Q157" s="6">
        <v>0.01</v>
      </c>
      <c r="R157" s="6">
        <v>16.100000000000001</v>
      </c>
      <c r="T157" s="6">
        <v>0.15</v>
      </c>
      <c r="U157" s="6">
        <v>0.05</v>
      </c>
      <c r="V157" s="6">
        <v>0.03</v>
      </c>
      <c r="W157" s="6">
        <v>7.0000000000000007E-2</v>
      </c>
      <c r="X157" s="6">
        <v>4.43</v>
      </c>
      <c r="Y157" s="6">
        <v>3.25</v>
      </c>
      <c r="Z157" s="6">
        <v>1.68</v>
      </c>
      <c r="AA157" s="6">
        <v>0.28000000000000003</v>
      </c>
      <c r="AB157" s="6">
        <v>89.63</v>
      </c>
      <c r="AD157" s="6" t="s">
        <v>461</v>
      </c>
      <c r="AE157" s="6" t="s">
        <v>1143</v>
      </c>
    </row>
    <row r="158" spans="1:33" s="6" customFormat="1">
      <c r="A158" s="6" t="s">
        <v>1064</v>
      </c>
      <c r="B158" s="6" t="s">
        <v>467</v>
      </c>
      <c r="C158" s="6" t="s">
        <v>645</v>
      </c>
      <c r="D158" s="6">
        <v>640</v>
      </c>
      <c r="E158" s="6">
        <v>3</v>
      </c>
      <c r="F158" s="6">
        <f>2184*3600</f>
        <v>7862400</v>
      </c>
      <c r="G158" s="9">
        <v>1.9538907813681583E-15</v>
      </c>
      <c r="H158" s="10">
        <f t="shared" si="12"/>
        <v>0.24788925655969044</v>
      </c>
      <c r="I158" s="6" t="s">
        <v>41</v>
      </c>
      <c r="J158" s="6" t="s">
        <v>468</v>
      </c>
      <c r="K158" s="6">
        <v>85</v>
      </c>
      <c r="L158" s="6">
        <v>1</v>
      </c>
      <c r="M158" s="6">
        <v>1</v>
      </c>
      <c r="N158" s="6">
        <v>1</v>
      </c>
      <c r="O158" s="6">
        <v>1</v>
      </c>
      <c r="P158" s="6">
        <v>63.2</v>
      </c>
      <c r="Q158" s="6">
        <v>0.01</v>
      </c>
      <c r="R158" s="6">
        <v>16</v>
      </c>
      <c r="T158" s="6">
        <v>0.19</v>
      </c>
      <c r="U158" s="6">
        <v>0.06</v>
      </c>
      <c r="V158" s="6">
        <v>0.02</v>
      </c>
      <c r="W158" s="6">
        <v>0.05</v>
      </c>
      <c r="X158" s="6">
        <v>4.5199999999999996</v>
      </c>
      <c r="Y158" s="6">
        <v>3.31</v>
      </c>
      <c r="Z158" s="6">
        <v>1.53</v>
      </c>
      <c r="AA158" s="6">
        <v>0.08</v>
      </c>
      <c r="AB158" s="6">
        <v>90.39</v>
      </c>
      <c r="AD158" s="6" t="s">
        <v>461</v>
      </c>
      <c r="AE158" s="6" t="s">
        <v>1143</v>
      </c>
    </row>
    <row r="159" spans="1:33" s="6" customFormat="1">
      <c r="A159" s="6" t="s">
        <v>1064</v>
      </c>
      <c r="B159" s="6" t="s">
        <v>469</v>
      </c>
      <c r="C159" s="6" t="s">
        <v>645</v>
      </c>
      <c r="D159" s="6">
        <v>620</v>
      </c>
      <c r="E159" s="6">
        <v>3</v>
      </c>
      <c r="F159" s="6">
        <f>1008*3600</f>
        <v>3628800</v>
      </c>
      <c r="G159" s="9">
        <v>1.2664796424974132E-15</v>
      </c>
      <c r="H159" s="10">
        <f t="shared" si="12"/>
        <v>0.13558467946924702</v>
      </c>
      <c r="I159" s="6" t="s">
        <v>41</v>
      </c>
      <c r="J159" s="6" t="s">
        <v>124</v>
      </c>
      <c r="K159" s="6">
        <v>98</v>
      </c>
      <c r="L159" s="6">
        <v>1</v>
      </c>
      <c r="M159" s="6">
        <v>1</v>
      </c>
      <c r="N159" s="6">
        <v>1</v>
      </c>
      <c r="O159" s="6">
        <v>1</v>
      </c>
      <c r="P159" s="6">
        <v>71.19</v>
      </c>
      <c r="Q159" s="6">
        <v>0.02</v>
      </c>
      <c r="R159" s="6">
        <v>17.22</v>
      </c>
      <c r="T159" s="6">
        <v>0.03</v>
      </c>
      <c r="U159" s="6">
        <v>0</v>
      </c>
      <c r="V159" s="6">
        <v>0.01</v>
      </c>
      <c r="W159" s="6">
        <v>0.13</v>
      </c>
      <c r="X159" s="6">
        <v>5.2</v>
      </c>
      <c r="Y159" s="6">
        <v>3.28</v>
      </c>
      <c r="Z159" s="6">
        <v>1.69</v>
      </c>
      <c r="AD159" s="6" t="s">
        <v>461</v>
      </c>
      <c r="AE159" s="6" t="s">
        <v>1143</v>
      </c>
    </row>
    <row r="160" spans="1:33" s="6" customFormat="1">
      <c r="A160" s="6" t="s">
        <v>1064</v>
      </c>
      <c r="B160" s="6" t="s">
        <v>470</v>
      </c>
      <c r="C160" s="6" t="s">
        <v>645</v>
      </c>
      <c r="D160" s="6">
        <v>620</v>
      </c>
      <c r="E160" s="6">
        <v>3</v>
      </c>
      <c r="F160" s="6">
        <f>2184*3600</f>
        <v>7862400</v>
      </c>
      <c r="G160" s="9">
        <v>1.2664796424974132E-15</v>
      </c>
      <c r="H160" s="10">
        <f t="shared" si="12"/>
        <v>0.19957524436835006</v>
      </c>
      <c r="I160" s="6" t="s">
        <v>41</v>
      </c>
      <c r="J160" s="6" t="s">
        <v>471</v>
      </c>
      <c r="K160" s="6">
        <v>96</v>
      </c>
      <c r="L160" s="6">
        <v>1</v>
      </c>
      <c r="M160" s="6">
        <v>1</v>
      </c>
      <c r="N160" s="6">
        <v>1</v>
      </c>
      <c r="O160" s="6">
        <v>1</v>
      </c>
      <c r="P160" s="6">
        <v>64.8</v>
      </c>
      <c r="Q160" s="6">
        <v>0.01</v>
      </c>
      <c r="R160" s="6">
        <v>14.46</v>
      </c>
      <c r="T160" s="6">
        <v>0.16</v>
      </c>
      <c r="U160" s="6">
        <v>0.08</v>
      </c>
      <c r="V160" s="6">
        <v>0.01</v>
      </c>
      <c r="W160" s="6">
        <v>0.08</v>
      </c>
      <c r="X160" s="6">
        <v>4.13</v>
      </c>
      <c r="Y160" s="6">
        <v>3.55</v>
      </c>
      <c r="Z160" s="6">
        <v>0.85</v>
      </c>
      <c r="AA160" s="6">
        <v>0.39</v>
      </c>
      <c r="AB160" s="6">
        <v>89.59</v>
      </c>
      <c r="AD160" s="6" t="s">
        <v>461</v>
      </c>
      <c r="AE160" s="6" t="s">
        <v>1143</v>
      </c>
      <c r="AG160" s="6" t="s">
        <v>1183</v>
      </c>
    </row>
    <row r="161" spans="1:31" s="6" customFormat="1">
      <c r="A161" s="6" t="s">
        <v>1064</v>
      </c>
      <c r="B161" s="6" t="s">
        <v>472</v>
      </c>
      <c r="C161" s="6" t="s">
        <v>645</v>
      </c>
      <c r="D161" s="6">
        <v>620</v>
      </c>
      <c r="E161" s="6">
        <v>3</v>
      </c>
      <c r="F161" s="6">
        <f>4032*3600</f>
        <v>14515200</v>
      </c>
      <c r="G161" s="9">
        <v>1.2664796424974132E-15</v>
      </c>
      <c r="H161" s="10">
        <f t="shared" si="12"/>
        <v>0.27116935893849403</v>
      </c>
      <c r="I161" s="6" t="s">
        <v>41</v>
      </c>
      <c r="J161" s="6" t="s">
        <v>473</v>
      </c>
      <c r="L161" s="6">
        <v>1</v>
      </c>
      <c r="M161" s="6">
        <v>1</v>
      </c>
      <c r="N161" s="6">
        <v>1</v>
      </c>
      <c r="O161" s="6">
        <v>1</v>
      </c>
      <c r="P161" s="6">
        <v>73.48</v>
      </c>
      <c r="Q161" s="6">
        <v>0.02</v>
      </c>
      <c r="R161" s="6">
        <v>15.76</v>
      </c>
      <c r="T161" s="6">
        <v>0.16</v>
      </c>
      <c r="U161" s="6">
        <v>0.11</v>
      </c>
      <c r="V161" s="6">
        <v>7.0000000000000007E-2</v>
      </c>
      <c r="W161" s="6">
        <v>0.11</v>
      </c>
      <c r="X161" s="6">
        <v>4.57</v>
      </c>
      <c r="Y161" s="6">
        <v>3.77</v>
      </c>
      <c r="Z161" s="6">
        <v>1.19</v>
      </c>
      <c r="AD161" s="6" t="s">
        <v>461</v>
      </c>
      <c r="AE161" s="6" t="s">
        <v>1143</v>
      </c>
    </row>
    <row r="162" spans="1:31" s="6" customFormat="1">
      <c r="A162" s="6" t="s">
        <v>1064</v>
      </c>
      <c r="B162" s="6" t="s">
        <v>474</v>
      </c>
      <c r="C162" s="6" t="s">
        <v>645</v>
      </c>
      <c r="D162" s="6">
        <v>620</v>
      </c>
      <c r="E162" s="6">
        <v>3</v>
      </c>
      <c r="F162" s="6">
        <f>360*3600</f>
        <v>1296000</v>
      </c>
      <c r="G162" s="9">
        <v>1.2664796424974132E-15</v>
      </c>
      <c r="H162" s="10">
        <f t="shared" si="12"/>
        <v>8.102734394453881E-2</v>
      </c>
      <c r="I162" s="6" t="s">
        <v>41</v>
      </c>
      <c r="J162" s="6" t="s">
        <v>475</v>
      </c>
      <c r="K162" s="6">
        <v>98</v>
      </c>
      <c r="L162" s="6">
        <v>1</v>
      </c>
      <c r="M162" s="6">
        <v>1</v>
      </c>
      <c r="N162" s="6">
        <v>1</v>
      </c>
      <c r="O162" s="6">
        <v>1</v>
      </c>
      <c r="P162" s="6">
        <v>73.97</v>
      </c>
      <c r="Q162" s="6">
        <v>0.04</v>
      </c>
      <c r="R162" s="6">
        <v>15.79</v>
      </c>
      <c r="T162" s="6">
        <v>0.51</v>
      </c>
      <c r="U162" s="6">
        <v>0.09</v>
      </c>
      <c r="V162" s="6">
        <v>0.03</v>
      </c>
      <c r="W162" s="6">
        <v>0.27</v>
      </c>
      <c r="X162" s="6">
        <v>4.07</v>
      </c>
      <c r="Y162" s="6">
        <v>3.78</v>
      </c>
      <c r="Z162" s="6">
        <v>0.74</v>
      </c>
      <c r="AD162" s="6" t="s">
        <v>461</v>
      </c>
      <c r="AE162" s="6" t="s">
        <v>1143</v>
      </c>
    </row>
    <row r="163" spans="1:31" s="6" customFormat="1">
      <c r="A163" s="6" t="s">
        <v>1064</v>
      </c>
      <c r="B163" s="6" t="s">
        <v>476</v>
      </c>
      <c r="C163" s="6" t="s">
        <v>645</v>
      </c>
      <c r="D163" s="6">
        <v>630</v>
      </c>
      <c r="E163" s="6">
        <v>3</v>
      </c>
      <c r="F163" s="6">
        <f>1123*3600</f>
        <v>4042800</v>
      </c>
      <c r="G163" s="9">
        <v>1.5768548656545247E-15</v>
      </c>
      <c r="H163" s="10">
        <f t="shared" si="12"/>
        <v>0.1596860526266225</v>
      </c>
      <c r="I163" s="6" t="s">
        <v>41</v>
      </c>
      <c r="J163" s="6" t="s">
        <v>477</v>
      </c>
      <c r="K163" s="6">
        <v>95</v>
      </c>
      <c r="L163" s="6">
        <v>1</v>
      </c>
      <c r="M163" s="6">
        <v>1</v>
      </c>
      <c r="N163" s="6">
        <v>1</v>
      </c>
      <c r="O163" s="6">
        <v>1</v>
      </c>
      <c r="P163" s="6">
        <v>67.790000000000006</v>
      </c>
      <c r="Q163" s="6">
        <v>0.02</v>
      </c>
      <c r="R163" s="6">
        <v>13.79</v>
      </c>
      <c r="T163" s="6">
        <v>0.36</v>
      </c>
      <c r="U163" s="6">
        <v>7.0000000000000007E-2</v>
      </c>
      <c r="V163" s="6">
        <v>0.01</v>
      </c>
      <c r="W163" s="6">
        <v>0.16</v>
      </c>
      <c r="X163" s="6">
        <v>4.38</v>
      </c>
      <c r="Y163" s="6">
        <v>3.66</v>
      </c>
      <c r="Z163" s="6">
        <v>0.41</v>
      </c>
      <c r="AA163" s="6">
        <v>0.1</v>
      </c>
      <c r="AB163" s="6">
        <v>91.51</v>
      </c>
      <c r="AD163" s="6" t="s">
        <v>461</v>
      </c>
      <c r="AE163" s="6" t="s">
        <v>1143</v>
      </c>
    </row>
    <row r="164" spans="1:31" s="6" customFormat="1">
      <c r="A164" s="8" t="s">
        <v>1068</v>
      </c>
      <c r="B164" s="6" t="s">
        <v>519</v>
      </c>
      <c r="C164" s="6" t="s">
        <v>645</v>
      </c>
      <c r="D164" s="25">
        <v>1040</v>
      </c>
      <c r="E164" s="8">
        <v>15</v>
      </c>
      <c r="F164" s="6">
        <f>24*3600</f>
        <v>86400</v>
      </c>
      <c r="G164" s="9">
        <v>7.1187702362643256E-13</v>
      </c>
      <c r="H164" s="10">
        <f t="shared" si="12"/>
        <v>0.49600876944394351</v>
      </c>
      <c r="I164" s="6">
        <v>7.85</v>
      </c>
      <c r="J164" s="6" t="s">
        <v>520</v>
      </c>
      <c r="K164" s="6">
        <v>85.2</v>
      </c>
      <c r="L164" s="6">
        <v>1</v>
      </c>
      <c r="M164" s="6">
        <v>0</v>
      </c>
      <c r="N164" s="6">
        <v>0</v>
      </c>
      <c r="O164" s="6">
        <v>0</v>
      </c>
      <c r="P164" s="6">
        <v>38.54</v>
      </c>
      <c r="Q164" s="6">
        <v>2.2000000000000002</v>
      </c>
      <c r="R164" s="6">
        <v>16.63</v>
      </c>
      <c r="T164" s="6">
        <v>11.98</v>
      </c>
      <c r="U164" s="6">
        <v>0.3</v>
      </c>
      <c r="V164" s="6">
        <v>1.97</v>
      </c>
      <c r="W164" s="6">
        <v>5.87</v>
      </c>
      <c r="X164" s="6">
        <v>9.01</v>
      </c>
      <c r="Y164" s="6">
        <v>2.77</v>
      </c>
      <c r="Z164" s="6">
        <v>2.2000000000000002</v>
      </c>
      <c r="AA164" s="6">
        <v>0.24</v>
      </c>
      <c r="AB164" s="6">
        <v>91.49</v>
      </c>
      <c r="AC164" s="6">
        <v>8.65</v>
      </c>
      <c r="AD164" s="6" t="s">
        <v>521</v>
      </c>
      <c r="AE164" s="6" t="s">
        <v>1116</v>
      </c>
    </row>
    <row r="165" spans="1:31" s="6" customFormat="1">
      <c r="A165" s="8" t="s">
        <v>1068</v>
      </c>
      <c r="B165" s="6" t="s">
        <v>522</v>
      </c>
      <c r="C165" s="6" t="s">
        <v>645</v>
      </c>
      <c r="D165" s="25">
        <v>1010</v>
      </c>
      <c r="E165" s="8">
        <v>15</v>
      </c>
      <c r="F165" s="6">
        <f>24*3600</f>
        <v>86400</v>
      </c>
      <c r="G165" s="9">
        <v>5.1962306289060647E-13</v>
      </c>
      <c r="H165" s="10">
        <f t="shared" si="12"/>
        <v>0.42377084672614468</v>
      </c>
      <c r="I165" s="6">
        <v>8.1</v>
      </c>
      <c r="J165" s="6" t="s">
        <v>523</v>
      </c>
      <c r="K165" s="6">
        <v>89.8</v>
      </c>
      <c r="L165" s="6">
        <v>1</v>
      </c>
      <c r="M165" s="6">
        <v>0</v>
      </c>
      <c r="N165" s="6">
        <v>0</v>
      </c>
      <c r="O165" s="6">
        <v>0</v>
      </c>
      <c r="P165" s="6">
        <v>40.98</v>
      </c>
      <c r="Q165" s="6">
        <v>1.95</v>
      </c>
      <c r="R165" s="6">
        <v>17.21</v>
      </c>
      <c r="T165" s="6">
        <v>12.09</v>
      </c>
      <c r="U165" s="6">
        <v>0.34</v>
      </c>
      <c r="V165" s="6">
        <v>1.5</v>
      </c>
      <c r="W165" s="6">
        <v>5.03</v>
      </c>
      <c r="X165" s="6">
        <v>10.02</v>
      </c>
      <c r="Y165" s="6">
        <v>2.59</v>
      </c>
      <c r="Z165" s="6">
        <v>1.56</v>
      </c>
      <c r="AA165" s="6">
        <v>0.04</v>
      </c>
      <c r="AB165" s="6">
        <v>93.27</v>
      </c>
      <c r="AC165" s="6">
        <v>8.67</v>
      </c>
      <c r="AD165" s="6" t="s">
        <v>521</v>
      </c>
      <c r="AE165" s="6" t="s">
        <v>1116</v>
      </c>
    </row>
    <row r="166" spans="1:31" s="6" customFormat="1">
      <c r="A166" s="8" t="s">
        <v>1068</v>
      </c>
      <c r="B166" s="6" t="s">
        <v>524</v>
      </c>
      <c r="C166" s="6" t="s">
        <v>645</v>
      </c>
      <c r="D166" s="25">
        <v>980</v>
      </c>
      <c r="E166" s="8">
        <v>15</v>
      </c>
      <c r="F166" s="6">
        <f>24*3600</f>
        <v>86400</v>
      </c>
      <c r="G166" s="9">
        <v>3.7361642622285051E-13</v>
      </c>
      <c r="H166" s="10">
        <f t="shared" si="12"/>
        <v>0.35933527088586381</v>
      </c>
      <c r="I166" s="6">
        <v>8.09</v>
      </c>
      <c r="J166" s="6" t="s">
        <v>525</v>
      </c>
      <c r="K166" s="6">
        <v>76.7</v>
      </c>
      <c r="L166" s="6">
        <v>1</v>
      </c>
      <c r="M166" s="6">
        <v>0</v>
      </c>
      <c r="N166" s="6">
        <v>0</v>
      </c>
      <c r="O166" s="6">
        <v>0</v>
      </c>
      <c r="P166" s="6">
        <v>45.3</v>
      </c>
      <c r="Q166" s="6">
        <v>0.61</v>
      </c>
      <c r="R166" s="6">
        <v>18.96</v>
      </c>
      <c r="T166" s="6">
        <v>10.08</v>
      </c>
      <c r="U166" s="6">
        <v>0.43</v>
      </c>
      <c r="V166" s="6">
        <v>0.56999999999999995</v>
      </c>
      <c r="W166" s="6">
        <v>2.59</v>
      </c>
      <c r="X166" s="6">
        <v>11.94</v>
      </c>
      <c r="Y166" s="6">
        <v>3.51</v>
      </c>
      <c r="Z166" s="6">
        <v>1.01</v>
      </c>
      <c r="AA166" s="6">
        <v>0.06</v>
      </c>
      <c r="AB166" s="6">
        <v>95.01</v>
      </c>
      <c r="AC166" s="6">
        <v>4.99</v>
      </c>
      <c r="AD166" s="6" t="s">
        <v>526</v>
      </c>
      <c r="AE166" s="6" t="s">
        <v>1116</v>
      </c>
    </row>
    <row r="167" spans="1:31" s="6" customFormat="1">
      <c r="A167" s="8" t="s">
        <v>1042</v>
      </c>
      <c r="B167" s="6">
        <v>1</v>
      </c>
      <c r="C167" s="8" t="s">
        <v>123</v>
      </c>
      <c r="D167" s="8">
        <v>777</v>
      </c>
      <c r="E167" s="8">
        <v>5.0199999999999996</v>
      </c>
      <c r="F167" s="8">
        <f>168*3600</f>
        <v>604800</v>
      </c>
      <c r="G167" s="9">
        <v>2.4430415961638793E-14</v>
      </c>
      <c r="H167" s="10">
        <f t="shared" si="12"/>
        <v>0.24310915715866518</v>
      </c>
      <c r="I167" s="8" t="s">
        <v>41</v>
      </c>
      <c r="J167" s="8" t="s">
        <v>136</v>
      </c>
      <c r="L167" s="8">
        <v>1</v>
      </c>
      <c r="M167" s="8">
        <v>1</v>
      </c>
      <c r="N167" s="8">
        <v>0</v>
      </c>
      <c r="O167" s="8">
        <v>0</v>
      </c>
      <c r="P167" s="8">
        <v>75.28</v>
      </c>
      <c r="W167" s="8">
        <v>1.1499999999999999</v>
      </c>
      <c r="Z167" s="8">
        <v>0.88200000000000001</v>
      </c>
      <c r="AA167" s="8">
        <v>1.4999999999999999E-2</v>
      </c>
      <c r="AE167" s="6" t="s">
        <v>1116</v>
      </c>
    </row>
    <row r="168" spans="1:31" s="6" customFormat="1">
      <c r="A168" s="8" t="s">
        <v>1042</v>
      </c>
      <c r="B168" s="6">
        <v>2</v>
      </c>
      <c r="C168" s="8" t="s">
        <v>123</v>
      </c>
      <c r="D168" s="8">
        <v>777</v>
      </c>
      <c r="E168" s="8">
        <v>5.0199999999999996</v>
      </c>
      <c r="F168" s="8">
        <f>168*3600</f>
        <v>604800</v>
      </c>
      <c r="G168" s="9">
        <v>2.4430415961638793E-14</v>
      </c>
      <c r="H168" s="10">
        <f t="shared" si="12"/>
        <v>0.24310915715866518</v>
      </c>
      <c r="I168" s="8" t="s">
        <v>41</v>
      </c>
      <c r="J168" s="8" t="s">
        <v>136</v>
      </c>
      <c r="L168" s="8">
        <v>1</v>
      </c>
      <c r="M168" s="8">
        <v>1</v>
      </c>
      <c r="N168" s="8">
        <v>0</v>
      </c>
      <c r="O168" s="8">
        <v>0</v>
      </c>
      <c r="P168" s="8">
        <v>70.72</v>
      </c>
      <c r="W168" s="8">
        <v>1.1499999999999999</v>
      </c>
      <c r="Z168" s="8">
        <v>1.198</v>
      </c>
      <c r="AA168" s="8">
        <v>3.4000000000000002E-2</v>
      </c>
      <c r="AE168" s="6" t="s">
        <v>1116</v>
      </c>
    </row>
    <row r="169" spans="1:31" s="6" customFormat="1">
      <c r="A169" s="8" t="s">
        <v>1042</v>
      </c>
      <c r="B169" s="6">
        <v>3</v>
      </c>
      <c r="C169" s="8" t="s">
        <v>123</v>
      </c>
      <c r="D169" s="8">
        <v>858</v>
      </c>
      <c r="E169" s="8">
        <v>5</v>
      </c>
      <c r="F169" s="8">
        <f>401*3600</f>
        <v>1443600</v>
      </c>
      <c r="G169" s="9">
        <v>8.1571313720288278E-14</v>
      </c>
      <c r="H169" s="10">
        <f t="shared" si="12"/>
        <v>0.68631289798927186</v>
      </c>
      <c r="I169" s="8" t="s">
        <v>41</v>
      </c>
      <c r="J169" s="8" t="s">
        <v>74</v>
      </c>
      <c r="L169" s="8">
        <v>1</v>
      </c>
      <c r="M169" s="8">
        <v>1</v>
      </c>
      <c r="N169" s="8">
        <v>0</v>
      </c>
      <c r="O169" s="8">
        <v>0</v>
      </c>
      <c r="P169" s="8">
        <v>74.430000000000007</v>
      </c>
      <c r="W169" s="8">
        <v>1.48</v>
      </c>
      <c r="Z169" s="8">
        <v>1.1599999999999999</v>
      </c>
      <c r="AA169" s="8">
        <v>3.5000000000000003E-2</v>
      </c>
      <c r="AE169" s="6" t="s">
        <v>1116</v>
      </c>
    </row>
    <row r="170" spans="1:31" s="6" customFormat="1">
      <c r="A170" s="8" t="s">
        <v>1042</v>
      </c>
      <c r="B170" s="6">
        <v>4</v>
      </c>
      <c r="C170" s="8" t="s">
        <v>123</v>
      </c>
      <c r="D170" s="8">
        <v>858</v>
      </c>
      <c r="E170" s="8">
        <v>2.02</v>
      </c>
      <c r="F170" s="8">
        <f>426*3600</f>
        <v>1533600</v>
      </c>
      <c r="G170" s="9">
        <v>8.1571313720288278E-14</v>
      </c>
      <c r="H170" s="10">
        <f t="shared" si="12"/>
        <v>0.70738325318439388</v>
      </c>
      <c r="I170" s="8" t="s">
        <v>41</v>
      </c>
      <c r="J170" s="8" t="s">
        <v>74</v>
      </c>
      <c r="L170" s="8">
        <v>1</v>
      </c>
      <c r="M170" s="8">
        <v>0</v>
      </c>
      <c r="N170" s="8">
        <v>0</v>
      </c>
      <c r="O170" s="8">
        <v>0</v>
      </c>
      <c r="P170" s="8">
        <v>78.42</v>
      </c>
      <c r="W170" s="8">
        <v>0.47</v>
      </c>
      <c r="Z170" s="8">
        <v>0.45</v>
      </c>
      <c r="AA170" s="8">
        <v>0.02</v>
      </c>
      <c r="AE170" s="6" t="s">
        <v>1116</v>
      </c>
    </row>
    <row r="171" spans="1:31" s="6" customFormat="1">
      <c r="A171" s="8" t="s">
        <v>1042</v>
      </c>
      <c r="B171" s="6">
        <v>6</v>
      </c>
      <c r="C171" s="8" t="s">
        <v>123</v>
      </c>
      <c r="D171" s="8">
        <v>1000</v>
      </c>
      <c r="E171" s="8">
        <v>2</v>
      </c>
      <c r="F171" s="8">
        <f>165*3600</f>
        <v>594000</v>
      </c>
      <c r="G171" s="9">
        <v>4.6632042652511761E-13</v>
      </c>
      <c r="H171" s="10">
        <f t="shared" si="12"/>
        <v>1.052605022514941</v>
      </c>
      <c r="I171" s="8" t="s">
        <v>41</v>
      </c>
      <c r="J171" s="8" t="s">
        <v>137</v>
      </c>
      <c r="L171" s="8">
        <v>1</v>
      </c>
      <c r="M171" s="8">
        <v>1</v>
      </c>
      <c r="N171" s="8">
        <v>0</v>
      </c>
      <c r="O171" s="8">
        <v>0</v>
      </c>
      <c r="P171" s="8">
        <v>64.900000000000006</v>
      </c>
      <c r="W171" s="8">
        <v>4.38</v>
      </c>
      <c r="Z171" s="8">
        <v>3.79</v>
      </c>
      <c r="AA171" s="8">
        <v>0.36</v>
      </c>
      <c r="AE171" s="6" t="s">
        <v>1116</v>
      </c>
    </row>
    <row r="172" spans="1:31" s="6" customFormat="1">
      <c r="A172" s="8" t="s">
        <v>1042</v>
      </c>
      <c r="B172" s="6">
        <v>7</v>
      </c>
      <c r="C172" s="8" t="s">
        <v>123</v>
      </c>
      <c r="D172" s="8">
        <v>1000</v>
      </c>
      <c r="E172" s="8">
        <v>2</v>
      </c>
      <c r="F172" s="8">
        <f>163*3600</f>
        <v>586800</v>
      </c>
      <c r="G172" s="9">
        <v>4.6632042652511761E-13</v>
      </c>
      <c r="H172" s="10">
        <f t="shared" si="12"/>
        <v>1.0462061484907055</v>
      </c>
      <c r="I172" s="8" t="s">
        <v>41</v>
      </c>
      <c r="J172" s="8" t="s">
        <v>74</v>
      </c>
      <c r="L172" s="8">
        <v>1</v>
      </c>
      <c r="M172" s="8">
        <v>1</v>
      </c>
      <c r="N172" s="8">
        <v>0</v>
      </c>
      <c r="O172" s="8">
        <v>0</v>
      </c>
      <c r="P172" s="8">
        <v>65.42</v>
      </c>
      <c r="W172" s="8">
        <v>3.86</v>
      </c>
      <c r="Z172" s="8">
        <v>3.31</v>
      </c>
      <c r="AA172" s="8">
        <v>0.16</v>
      </c>
      <c r="AE172" s="6" t="s">
        <v>1117</v>
      </c>
    </row>
    <row r="173" spans="1:31" s="6" customFormat="1">
      <c r="A173" s="8" t="s">
        <v>1042</v>
      </c>
      <c r="B173" s="6">
        <v>8</v>
      </c>
      <c r="C173" s="8" t="s">
        <v>123</v>
      </c>
      <c r="D173" s="8">
        <v>985</v>
      </c>
      <c r="E173" s="8">
        <v>2</v>
      </c>
      <c r="F173" s="8">
        <f>182*3600</f>
        <v>655200</v>
      </c>
      <c r="G173" s="9">
        <v>3.9516410307248342E-13</v>
      </c>
      <c r="H173" s="10">
        <f t="shared" si="12"/>
        <v>1.0176669795823998</v>
      </c>
      <c r="I173" s="8" t="s">
        <v>41</v>
      </c>
      <c r="J173" s="8" t="s">
        <v>74</v>
      </c>
      <c r="L173" s="8">
        <v>1</v>
      </c>
      <c r="M173" s="8">
        <v>1</v>
      </c>
      <c r="N173" s="8">
        <v>0</v>
      </c>
      <c r="O173" s="8">
        <v>0</v>
      </c>
      <c r="P173" s="8">
        <v>72.489999999999995</v>
      </c>
      <c r="W173" s="8">
        <v>1.72</v>
      </c>
      <c r="Z173" s="8">
        <v>1.41</v>
      </c>
      <c r="AA173" s="8">
        <v>0.08</v>
      </c>
      <c r="AE173" s="6" t="s">
        <v>1146</v>
      </c>
    </row>
    <row r="174" spans="1:31" s="6" customFormat="1">
      <c r="A174" s="8" t="s">
        <v>1042</v>
      </c>
      <c r="B174" s="6">
        <v>9</v>
      </c>
      <c r="C174" s="8" t="s">
        <v>123</v>
      </c>
      <c r="D174" s="8">
        <v>985</v>
      </c>
      <c r="E174" s="8">
        <v>2</v>
      </c>
      <c r="F174" s="8">
        <f>182*3600</f>
        <v>655200</v>
      </c>
      <c r="G174" s="9">
        <v>3.9516410307248342E-13</v>
      </c>
      <c r="H174" s="10">
        <f t="shared" si="12"/>
        <v>1.0176669795823998</v>
      </c>
      <c r="I174" s="8" t="s">
        <v>41</v>
      </c>
      <c r="J174" s="8" t="s">
        <v>74</v>
      </c>
      <c r="L174" s="8">
        <v>1</v>
      </c>
      <c r="M174" s="8">
        <v>1</v>
      </c>
      <c r="N174" s="8">
        <v>0</v>
      </c>
      <c r="O174" s="8">
        <v>0</v>
      </c>
      <c r="P174" s="8">
        <v>78.569999999999993</v>
      </c>
      <c r="W174" s="8">
        <v>0.32</v>
      </c>
      <c r="Z174" s="8">
        <v>0.23</v>
      </c>
      <c r="AA174" s="8">
        <v>1.4E-2</v>
      </c>
      <c r="AE174" s="6" t="s">
        <v>1147</v>
      </c>
    </row>
    <row r="175" spans="1:31" s="6" customFormat="1">
      <c r="A175" s="6" t="s">
        <v>1062</v>
      </c>
      <c r="B175" s="6">
        <v>72</v>
      </c>
      <c r="C175" s="6" t="s">
        <v>1127</v>
      </c>
      <c r="D175" s="6">
        <v>1250</v>
      </c>
      <c r="E175" s="6">
        <v>10</v>
      </c>
      <c r="F175" s="6">
        <f>4*3600</f>
        <v>14400</v>
      </c>
      <c r="G175" s="9">
        <v>4.5564394944268856E-12</v>
      </c>
      <c r="H175" s="10">
        <f t="shared" si="12"/>
        <v>0.51229963388527677</v>
      </c>
      <c r="I175" s="6">
        <v>5</v>
      </c>
      <c r="J175" s="6" t="s">
        <v>436</v>
      </c>
      <c r="L175" s="6">
        <v>1</v>
      </c>
      <c r="M175" s="6">
        <v>0</v>
      </c>
      <c r="N175" s="6">
        <v>0</v>
      </c>
      <c r="O175" s="6">
        <v>0</v>
      </c>
      <c r="P175" s="6">
        <v>52.89</v>
      </c>
      <c r="R175" s="6">
        <v>5.14</v>
      </c>
      <c r="V175" s="6">
        <v>0.99</v>
      </c>
      <c r="W175" s="6">
        <v>11.8</v>
      </c>
      <c r="X175" s="25">
        <v>12.51</v>
      </c>
      <c r="Y175" s="6">
        <v>1.1499999999999999</v>
      </c>
      <c r="Z175" s="6">
        <v>6.33</v>
      </c>
      <c r="AB175" s="6">
        <v>91.07</v>
      </c>
      <c r="AE175" s="6" t="s">
        <v>1139</v>
      </c>
    </row>
    <row r="176" spans="1:31" s="6" customFormat="1">
      <c r="A176" s="6" t="s">
        <v>1062</v>
      </c>
      <c r="B176" s="6">
        <v>78</v>
      </c>
      <c r="C176" s="6" t="s">
        <v>1127</v>
      </c>
      <c r="D176" s="6">
        <v>1250</v>
      </c>
      <c r="E176" s="6">
        <v>10</v>
      </c>
      <c r="F176" s="6">
        <f>17*3600</f>
        <v>61200</v>
      </c>
      <c r="G176" s="9">
        <v>4.5564394944268856E-12</v>
      </c>
      <c r="H176" s="10">
        <f t="shared" si="12"/>
        <v>1.0561327512371264</v>
      </c>
      <c r="I176" s="6">
        <v>5</v>
      </c>
      <c r="J176" s="6" t="s">
        <v>436</v>
      </c>
      <c r="L176" s="6">
        <v>1</v>
      </c>
      <c r="M176" s="6">
        <v>0</v>
      </c>
      <c r="N176" s="6">
        <v>0</v>
      </c>
      <c r="O176" s="6">
        <v>0</v>
      </c>
      <c r="P176" s="6">
        <v>56.8</v>
      </c>
      <c r="R176" s="6">
        <v>9.93</v>
      </c>
      <c r="V176" s="6">
        <v>1.1200000000000001</v>
      </c>
      <c r="W176" s="6">
        <v>7.74</v>
      </c>
      <c r="X176" s="25">
        <v>10.86</v>
      </c>
      <c r="Y176" s="6">
        <v>1.31</v>
      </c>
      <c r="Z176" s="6">
        <v>3.8</v>
      </c>
      <c r="AB176" s="6">
        <v>91.74</v>
      </c>
      <c r="AE176" s="6" t="s">
        <v>1139</v>
      </c>
    </row>
    <row r="177" spans="1:33" s="6" customFormat="1">
      <c r="A177" s="6" t="s">
        <v>1062</v>
      </c>
      <c r="B177" s="6">
        <v>77</v>
      </c>
      <c r="C177" s="6" t="s">
        <v>1127</v>
      </c>
      <c r="D177" s="6">
        <v>1250</v>
      </c>
      <c r="E177" s="6">
        <v>10</v>
      </c>
      <c r="F177" s="6">
        <f>18*3600</f>
        <v>64800</v>
      </c>
      <c r="G177" s="9">
        <v>4.5564394944268856E-12</v>
      </c>
      <c r="H177" s="10">
        <f t="shared" si="12"/>
        <v>1.0867516353589943</v>
      </c>
      <c r="I177" s="6">
        <v>5</v>
      </c>
      <c r="J177" s="6" t="s">
        <v>436</v>
      </c>
      <c r="L177" s="6">
        <v>1</v>
      </c>
      <c r="M177" s="6">
        <v>0</v>
      </c>
      <c r="N177" s="6">
        <v>0</v>
      </c>
      <c r="O177" s="6">
        <v>0</v>
      </c>
      <c r="P177" s="6">
        <v>56.16</v>
      </c>
      <c r="R177" s="6">
        <v>14.25</v>
      </c>
      <c r="V177" s="6">
        <v>1.1499999999999999</v>
      </c>
      <c r="W177" s="6">
        <v>5.57</v>
      </c>
      <c r="X177" s="25">
        <v>7.53</v>
      </c>
      <c r="Y177" s="6">
        <v>1.3</v>
      </c>
      <c r="Z177" s="6">
        <v>2.4900000000000002</v>
      </c>
      <c r="AB177" s="6">
        <v>88.58</v>
      </c>
      <c r="AE177" s="6" t="s">
        <v>1140</v>
      </c>
    </row>
    <row r="178" spans="1:33" s="6" customFormat="1">
      <c r="A178" s="6" t="s">
        <v>1062</v>
      </c>
      <c r="B178" s="6" t="s">
        <v>437</v>
      </c>
      <c r="C178" s="6" t="s">
        <v>1127</v>
      </c>
      <c r="D178" s="6">
        <v>1250</v>
      </c>
      <c r="E178" s="6">
        <v>10</v>
      </c>
      <c r="F178" s="6">
        <f>15*3600</f>
        <v>54000</v>
      </c>
      <c r="G178" s="9">
        <v>4.5564394944268856E-12</v>
      </c>
      <c r="H178" s="10">
        <f t="shared" si="12"/>
        <v>0.99206397515291678</v>
      </c>
      <c r="I178" s="6">
        <v>5</v>
      </c>
      <c r="J178" s="6" t="s">
        <v>436</v>
      </c>
      <c r="L178" s="6">
        <v>1</v>
      </c>
      <c r="M178" s="6">
        <v>0</v>
      </c>
      <c r="N178" s="6">
        <v>0</v>
      </c>
      <c r="O178" s="6">
        <v>0</v>
      </c>
      <c r="P178" s="6">
        <v>61.51</v>
      </c>
      <c r="R178" s="6">
        <v>15.9</v>
      </c>
      <c r="V178" s="6">
        <v>0.02</v>
      </c>
      <c r="W178" s="6">
        <v>8.7799999999999994</v>
      </c>
      <c r="X178" s="25">
        <v>3.5</v>
      </c>
      <c r="Y178" s="6">
        <v>3.65</v>
      </c>
      <c r="Z178" s="6">
        <v>1.01</v>
      </c>
      <c r="AB178" s="6">
        <v>94.37</v>
      </c>
      <c r="AE178" s="6" t="s">
        <v>1140</v>
      </c>
    </row>
    <row r="179" spans="1:33" s="6" customFormat="1">
      <c r="A179" s="6" t="s">
        <v>1062</v>
      </c>
      <c r="B179" s="6" t="s">
        <v>438</v>
      </c>
      <c r="C179" s="6" t="s">
        <v>1127</v>
      </c>
      <c r="D179" s="6">
        <v>1250</v>
      </c>
      <c r="E179" s="6">
        <v>10</v>
      </c>
      <c r="F179" s="6">
        <f>6*3600</f>
        <v>21600</v>
      </c>
      <c r="G179" s="9">
        <v>4.5564394944268856E-12</v>
      </c>
      <c r="H179" s="10">
        <f t="shared" si="12"/>
        <v>0.62743634921678149</v>
      </c>
      <c r="I179" s="6">
        <v>5</v>
      </c>
      <c r="J179" s="6" t="s">
        <v>436</v>
      </c>
      <c r="L179" s="6">
        <v>1</v>
      </c>
      <c r="M179" s="6">
        <v>0</v>
      </c>
      <c r="N179" s="6">
        <v>0</v>
      </c>
      <c r="O179" s="6">
        <v>0</v>
      </c>
      <c r="P179" s="6">
        <v>50.15</v>
      </c>
      <c r="R179" s="6">
        <v>16.27</v>
      </c>
      <c r="T179" s="6">
        <v>2.1800000000000002</v>
      </c>
      <c r="V179" s="6">
        <v>4.1900000000000004</v>
      </c>
      <c r="W179" s="6">
        <v>17.32</v>
      </c>
      <c r="X179" s="25">
        <v>2.41</v>
      </c>
      <c r="Y179" s="6">
        <v>1.31</v>
      </c>
      <c r="Z179" s="6">
        <v>3.4</v>
      </c>
      <c r="AB179" s="6">
        <v>97.22</v>
      </c>
      <c r="AE179" s="6" t="s">
        <v>1140</v>
      </c>
    </row>
    <row r="180" spans="1:33" s="6" customFormat="1">
      <c r="A180" s="6" t="s">
        <v>1062</v>
      </c>
      <c r="B180" s="6" t="s">
        <v>439</v>
      </c>
      <c r="C180" s="6" t="s">
        <v>1127</v>
      </c>
      <c r="D180" s="25">
        <v>1250</v>
      </c>
      <c r="E180" s="6">
        <v>10</v>
      </c>
      <c r="F180" s="6">
        <f>15*3600</f>
        <v>54000</v>
      </c>
      <c r="G180" s="9">
        <v>4.5564394944268856E-12</v>
      </c>
      <c r="H180" s="10">
        <f t="shared" si="12"/>
        <v>0.99206397515291678</v>
      </c>
      <c r="I180" s="6">
        <v>5</v>
      </c>
      <c r="J180" s="6" t="s">
        <v>436</v>
      </c>
      <c r="L180" s="6">
        <v>1</v>
      </c>
      <c r="M180" s="6">
        <v>0</v>
      </c>
      <c r="N180" s="6">
        <v>0</v>
      </c>
      <c r="O180" s="6">
        <v>0</v>
      </c>
      <c r="P180" s="6">
        <v>47.25</v>
      </c>
      <c r="R180" s="6">
        <v>15.14</v>
      </c>
      <c r="T180" s="6">
        <v>5</v>
      </c>
      <c r="V180" s="6">
        <v>3.77</v>
      </c>
      <c r="W180" s="6">
        <v>15.89</v>
      </c>
      <c r="X180" s="25">
        <v>2.23</v>
      </c>
      <c r="Y180" s="6">
        <v>1.29</v>
      </c>
      <c r="Z180" s="6">
        <v>3.44</v>
      </c>
      <c r="AB180" s="6">
        <v>94.01</v>
      </c>
      <c r="AE180" s="6" t="s">
        <v>1140</v>
      </c>
    </row>
    <row r="181" spans="1:33" s="6" customFormat="1">
      <c r="A181" s="6" t="s">
        <v>1062</v>
      </c>
      <c r="B181" s="6" t="s">
        <v>440</v>
      </c>
      <c r="C181" s="6" t="s">
        <v>1127</v>
      </c>
      <c r="D181" s="6">
        <v>1250</v>
      </c>
      <c r="E181" s="6">
        <v>10</v>
      </c>
      <c r="F181" s="6">
        <f>16.5*3600</f>
        <v>59400</v>
      </c>
      <c r="G181" s="9">
        <v>4.5564394944268856E-12</v>
      </c>
      <c r="H181" s="10">
        <f t="shared" si="12"/>
        <v>1.0404854750912327</v>
      </c>
      <c r="I181" s="6" t="s">
        <v>92</v>
      </c>
      <c r="J181" s="6" t="s">
        <v>436</v>
      </c>
      <c r="L181" s="6">
        <v>0</v>
      </c>
      <c r="M181" s="6">
        <v>1</v>
      </c>
      <c r="N181" s="6">
        <v>0</v>
      </c>
      <c r="O181" s="6">
        <v>0</v>
      </c>
      <c r="P181" s="6">
        <v>40.700000000000003</v>
      </c>
      <c r="R181" s="6">
        <v>16.03</v>
      </c>
      <c r="V181" s="6">
        <v>14.16</v>
      </c>
      <c r="W181" s="6">
        <v>18.829999999999998</v>
      </c>
      <c r="X181" s="6">
        <v>2.06</v>
      </c>
      <c r="Y181" s="6">
        <v>0.66</v>
      </c>
      <c r="Z181" s="6">
        <v>4.8499999999999996</v>
      </c>
      <c r="AB181" s="6">
        <v>98.88</v>
      </c>
      <c r="AE181" s="6" t="s">
        <v>1141</v>
      </c>
    </row>
    <row r="182" spans="1:33" s="6" customFormat="1">
      <c r="A182" s="6" t="s">
        <v>1062</v>
      </c>
      <c r="B182" s="6" t="s">
        <v>441</v>
      </c>
      <c r="C182" s="6" t="s">
        <v>1127</v>
      </c>
      <c r="D182" s="6">
        <v>1250</v>
      </c>
      <c r="E182" s="6">
        <v>10</v>
      </c>
      <c r="F182" s="6">
        <f>5*3600</f>
        <v>18000</v>
      </c>
      <c r="G182" s="9">
        <v>4.5564394944268856E-12</v>
      </c>
      <c r="H182" s="10">
        <f t="shared" si="12"/>
        <v>0.5727684031078667</v>
      </c>
      <c r="I182" s="6" t="s">
        <v>92</v>
      </c>
      <c r="J182" s="6" t="s">
        <v>436</v>
      </c>
      <c r="L182" s="6">
        <v>1</v>
      </c>
      <c r="M182" s="6">
        <v>0</v>
      </c>
      <c r="N182" s="6">
        <v>0</v>
      </c>
      <c r="O182" s="6">
        <v>0</v>
      </c>
      <c r="P182" s="6">
        <v>44.67</v>
      </c>
      <c r="R182" s="6">
        <v>13.95</v>
      </c>
      <c r="V182" s="6">
        <v>9.6999999999999993</v>
      </c>
      <c r="W182" s="6">
        <v>16.78</v>
      </c>
      <c r="X182" s="6">
        <v>2.33</v>
      </c>
      <c r="Y182" s="6">
        <v>1.61</v>
      </c>
      <c r="Z182" s="6">
        <v>4.68</v>
      </c>
      <c r="AB182" s="6">
        <v>93.73</v>
      </c>
      <c r="AE182" s="6" t="s">
        <v>1140</v>
      </c>
    </row>
    <row r="183" spans="1:33" s="6" customFormat="1">
      <c r="A183" s="6" t="s">
        <v>1062</v>
      </c>
      <c r="B183" s="6">
        <v>43</v>
      </c>
      <c r="C183" s="6" t="s">
        <v>1127</v>
      </c>
      <c r="D183" s="6">
        <v>1250</v>
      </c>
      <c r="E183" s="6">
        <v>10</v>
      </c>
      <c r="F183" s="6">
        <f>17*3600</f>
        <v>61200</v>
      </c>
      <c r="G183" s="9">
        <v>4.5564394944268856E-12</v>
      </c>
      <c r="H183" s="10">
        <f t="shared" si="12"/>
        <v>1.0561327512371264</v>
      </c>
      <c r="I183" s="6" t="s">
        <v>442</v>
      </c>
      <c r="J183" s="6" t="s">
        <v>436</v>
      </c>
      <c r="L183" s="6">
        <v>0</v>
      </c>
      <c r="M183" s="6">
        <v>1</v>
      </c>
      <c r="N183" s="6">
        <v>0</v>
      </c>
      <c r="O183" s="6">
        <v>0</v>
      </c>
      <c r="P183" s="6">
        <v>57.15</v>
      </c>
      <c r="R183" s="6">
        <v>5.78</v>
      </c>
      <c r="V183" s="6">
        <v>1.35</v>
      </c>
      <c r="W183" s="6">
        <v>9.42</v>
      </c>
      <c r="X183" s="6">
        <v>16.809999999999999</v>
      </c>
      <c r="Y183" s="25">
        <v>1.27</v>
      </c>
      <c r="Z183" s="25">
        <v>4.87</v>
      </c>
      <c r="AB183" s="25">
        <v>98.42</v>
      </c>
      <c r="AE183" s="6" t="s">
        <v>1139</v>
      </c>
    </row>
    <row r="184" spans="1:33" s="6" customFormat="1">
      <c r="A184" s="6" t="s">
        <v>1062</v>
      </c>
      <c r="B184" s="6">
        <v>54</v>
      </c>
      <c r="C184" s="6" t="s">
        <v>1127</v>
      </c>
      <c r="D184" s="6">
        <v>1250</v>
      </c>
      <c r="E184" s="6">
        <v>10</v>
      </c>
      <c r="F184" s="6">
        <f>19.5*3600</f>
        <v>70200</v>
      </c>
      <c r="G184" s="9">
        <v>4.5564394944268856E-12</v>
      </c>
      <c r="H184" s="10">
        <f t="shared" si="12"/>
        <v>1.1311269645955178</v>
      </c>
      <c r="I184" s="6" t="s">
        <v>442</v>
      </c>
      <c r="J184" s="6" t="s">
        <v>436</v>
      </c>
      <c r="L184" s="6">
        <v>0</v>
      </c>
      <c r="M184" s="6">
        <v>1</v>
      </c>
      <c r="N184" s="6">
        <v>0</v>
      </c>
      <c r="O184" s="6">
        <v>0</v>
      </c>
      <c r="P184" s="6">
        <v>59</v>
      </c>
      <c r="R184" s="6">
        <v>10.86</v>
      </c>
      <c r="V184" s="6">
        <v>1.32</v>
      </c>
      <c r="W184" s="6">
        <v>7.23</v>
      </c>
      <c r="X184" s="6">
        <v>14.27</v>
      </c>
      <c r="Y184" s="6">
        <v>1.33</v>
      </c>
      <c r="Z184" s="6">
        <v>1.64</v>
      </c>
      <c r="AB184" s="6">
        <v>97.91</v>
      </c>
      <c r="AE184" s="6" t="s">
        <v>1142</v>
      </c>
    </row>
    <row r="185" spans="1:33" s="6" customFormat="1">
      <c r="A185" s="6" t="s">
        <v>1062</v>
      </c>
      <c r="B185" s="6" t="s">
        <v>443</v>
      </c>
      <c r="C185" s="6" t="s">
        <v>1127</v>
      </c>
      <c r="D185" s="6">
        <v>1250</v>
      </c>
      <c r="E185" s="6">
        <v>10</v>
      </c>
      <c r="F185" s="6">
        <f>16*3600</f>
        <v>57600</v>
      </c>
      <c r="G185" s="9">
        <v>4.5564394944268856E-12</v>
      </c>
      <c r="H185" s="10">
        <f t="shared" si="12"/>
        <v>1.0245992677705535</v>
      </c>
      <c r="I185" s="6" t="s">
        <v>92</v>
      </c>
      <c r="J185" s="6" t="s">
        <v>436</v>
      </c>
      <c r="L185" s="6">
        <v>0</v>
      </c>
      <c r="M185" s="6">
        <v>1</v>
      </c>
      <c r="N185" s="6">
        <v>0</v>
      </c>
      <c r="O185" s="6">
        <v>0</v>
      </c>
      <c r="P185" s="6">
        <v>35.869999999999997</v>
      </c>
      <c r="R185" s="6">
        <v>15.02</v>
      </c>
      <c r="V185" s="6">
        <v>12.94</v>
      </c>
      <c r="W185" s="6">
        <v>23.78</v>
      </c>
      <c r="X185" s="6">
        <v>1.26</v>
      </c>
      <c r="Y185" s="6">
        <v>0.41</v>
      </c>
      <c r="Z185" s="6">
        <v>8.57</v>
      </c>
      <c r="AB185" s="6">
        <v>97.86</v>
      </c>
      <c r="AE185" s="6" t="s">
        <v>1141</v>
      </c>
    </row>
    <row r="186" spans="1:33" s="6" customFormat="1">
      <c r="A186" s="6" t="s">
        <v>1055</v>
      </c>
      <c r="B186" s="6" t="s">
        <v>301</v>
      </c>
      <c r="C186" s="6" t="s">
        <v>645</v>
      </c>
      <c r="D186" s="6">
        <v>885</v>
      </c>
      <c r="E186" s="6">
        <v>0.5</v>
      </c>
      <c r="F186" s="8">
        <f>241*3600</f>
        <v>867600</v>
      </c>
      <c r="G186" s="9">
        <v>1.174348970863182E-13</v>
      </c>
      <c r="H186" s="10">
        <f t="shared" si="12"/>
        <v>0.63839334806086345</v>
      </c>
      <c r="I186" s="6">
        <v>3.2</v>
      </c>
      <c r="J186" s="6" t="s">
        <v>302</v>
      </c>
      <c r="K186" s="6">
        <v>57.7</v>
      </c>
      <c r="L186" s="6">
        <v>1</v>
      </c>
      <c r="M186" s="6">
        <v>0</v>
      </c>
      <c r="N186" s="6">
        <v>0</v>
      </c>
      <c r="O186" s="6">
        <v>0</v>
      </c>
      <c r="P186" s="6">
        <v>78.239999999999995</v>
      </c>
      <c r="Q186" s="6">
        <v>0.24</v>
      </c>
      <c r="R186" s="6">
        <v>11.99</v>
      </c>
      <c r="T186" s="6">
        <v>1.76</v>
      </c>
      <c r="U186" s="6">
        <v>0.05</v>
      </c>
      <c r="V186" s="6">
        <v>0.15</v>
      </c>
      <c r="W186" s="6">
        <v>0.85</v>
      </c>
      <c r="X186" s="6">
        <v>3.8</v>
      </c>
      <c r="Y186" s="6">
        <v>2.8</v>
      </c>
      <c r="Z186" s="6">
        <v>0.12</v>
      </c>
      <c r="AA186" s="6">
        <v>0.03</v>
      </c>
      <c r="AB186" s="6">
        <f>SUM(P186:Z186)</f>
        <v>99.999999999999986</v>
      </c>
      <c r="AC186" s="6">
        <v>3.2</v>
      </c>
      <c r="AD186" s="6" t="s">
        <v>303</v>
      </c>
      <c r="AE186" s="6" t="s">
        <v>1137</v>
      </c>
    </row>
    <row r="187" spans="1:33" s="6" customFormat="1">
      <c r="A187" s="6" t="s">
        <v>1055</v>
      </c>
      <c r="B187" s="6" t="s">
        <v>304</v>
      </c>
      <c r="C187" s="6" t="s">
        <v>645</v>
      </c>
      <c r="D187" s="6">
        <v>885</v>
      </c>
      <c r="E187" s="6">
        <v>1</v>
      </c>
      <c r="F187" s="8">
        <f>335*3600</f>
        <v>1206000</v>
      </c>
      <c r="G187" s="9">
        <v>1.174348970863182E-13</v>
      </c>
      <c r="H187" s="10">
        <f t="shared" ref="H187:H196" si="13">2*SQRT(G187*F187)*1000</f>
        <v>0.75266589104621917</v>
      </c>
      <c r="I187" s="6">
        <v>4.78</v>
      </c>
      <c r="J187" s="6" t="s">
        <v>305</v>
      </c>
      <c r="K187" s="6">
        <v>69.5</v>
      </c>
      <c r="L187" s="6">
        <v>1</v>
      </c>
      <c r="M187" s="6">
        <v>0</v>
      </c>
      <c r="N187" s="6">
        <v>0</v>
      </c>
      <c r="O187" s="6">
        <v>0</v>
      </c>
      <c r="P187" s="6">
        <v>76.38</v>
      </c>
      <c r="Q187" s="6">
        <v>0.28999999999999998</v>
      </c>
      <c r="R187" s="6">
        <v>13.29</v>
      </c>
      <c r="T187" s="6">
        <v>1.26</v>
      </c>
      <c r="U187" s="6">
        <v>0.03</v>
      </c>
      <c r="V187" s="6">
        <v>0.35</v>
      </c>
      <c r="W187" s="6">
        <v>1.33</v>
      </c>
      <c r="X187" s="6">
        <v>4.51</v>
      </c>
      <c r="Y187" s="6">
        <v>2.48</v>
      </c>
      <c r="Z187" s="6">
        <v>0.09</v>
      </c>
      <c r="AA187" s="6">
        <v>0.02</v>
      </c>
      <c r="AB187" s="6">
        <f>SUM(P187:Z187)</f>
        <v>100.01000000000002</v>
      </c>
      <c r="AC187" s="6">
        <v>4.78</v>
      </c>
      <c r="AD187" s="6" t="s">
        <v>303</v>
      </c>
      <c r="AE187" s="6" t="s">
        <v>1137</v>
      </c>
    </row>
    <row r="188" spans="1:33" s="6" customFormat="1">
      <c r="A188" s="8" t="s">
        <v>1096</v>
      </c>
      <c r="B188" s="36" t="s">
        <v>908</v>
      </c>
      <c r="C188" s="6" t="s">
        <v>645</v>
      </c>
      <c r="D188" s="12">
        <v>850</v>
      </c>
      <c r="E188" s="6">
        <v>2.8</v>
      </c>
      <c r="F188" s="11">
        <f>5*3600*24</f>
        <v>432000</v>
      </c>
      <c r="G188" s="9">
        <v>7.2976735414337512E-14</v>
      </c>
      <c r="H188" s="10">
        <f t="shared" si="13"/>
        <v>0.35511096687651766</v>
      </c>
      <c r="I188" s="13" t="s">
        <v>909</v>
      </c>
      <c r="J188" s="6" t="s">
        <v>910</v>
      </c>
      <c r="K188" s="6">
        <v>60</v>
      </c>
      <c r="L188" s="6">
        <v>1</v>
      </c>
      <c r="M188" s="6">
        <v>1</v>
      </c>
      <c r="N188" s="6">
        <v>1</v>
      </c>
      <c r="O188" s="6">
        <v>1</v>
      </c>
      <c r="P188" s="14">
        <v>71.63</v>
      </c>
      <c r="Q188" s="14">
        <v>0.43</v>
      </c>
      <c r="R188" s="14">
        <v>17.63</v>
      </c>
      <c r="S188" s="14"/>
      <c r="T188" s="14">
        <v>1.51</v>
      </c>
      <c r="U188" s="14">
        <v>0.1</v>
      </c>
      <c r="V188" s="14">
        <v>0.08</v>
      </c>
      <c r="W188" s="14">
        <v>1.37</v>
      </c>
      <c r="X188" s="14">
        <v>2.91</v>
      </c>
      <c r="Y188" s="14">
        <v>4.24</v>
      </c>
      <c r="Z188" s="14">
        <v>0.03</v>
      </c>
      <c r="AA188" s="14"/>
      <c r="AB188" s="14">
        <v>87.16</v>
      </c>
      <c r="AC188" s="15">
        <v>6.7</v>
      </c>
      <c r="AD188" s="14" t="s">
        <v>900</v>
      </c>
      <c r="AE188" s="6" t="s">
        <v>1132</v>
      </c>
      <c r="AG188" s="6" t="s">
        <v>1182</v>
      </c>
    </row>
    <row r="189" spans="1:33" s="6" customFormat="1">
      <c r="A189" s="8" t="s">
        <v>1077</v>
      </c>
      <c r="B189" s="6">
        <v>19</v>
      </c>
      <c r="C189" s="6" t="s">
        <v>645</v>
      </c>
      <c r="D189" s="6">
        <v>1160</v>
      </c>
      <c r="E189" s="8">
        <v>9.3000000000000007</v>
      </c>
      <c r="F189" s="6">
        <f>92*3600</f>
        <v>331200</v>
      </c>
      <c r="G189" s="9">
        <v>2.1980304165758827E-12</v>
      </c>
      <c r="H189" s="10">
        <f t="shared" si="13"/>
        <v>1.7064438742249126</v>
      </c>
      <c r="I189" s="6" t="s">
        <v>616</v>
      </c>
      <c r="J189" s="6" t="s">
        <v>617</v>
      </c>
      <c r="K189" s="6">
        <v>44.3</v>
      </c>
      <c r="L189" s="6">
        <v>0</v>
      </c>
      <c r="M189" s="6">
        <v>1</v>
      </c>
      <c r="N189" s="6">
        <v>1</v>
      </c>
      <c r="O189" s="6">
        <v>1</v>
      </c>
      <c r="P189" s="6">
        <v>46.15</v>
      </c>
      <c r="Q189" s="6">
        <v>4.92</v>
      </c>
      <c r="R189" s="6">
        <v>12.76</v>
      </c>
      <c r="T189" s="6">
        <v>18.02</v>
      </c>
      <c r="U189" s="6">
        <v>0.21</v>
      </c>
      <c r="V189" s="6">
        <v>3.55</v>
      </c>
      <c r="W189" s="6">
        <v>7.88</v>
      </c>
      <c r="X189" s="6">
        <v>2.91</v>
      </c>
      <c r="Y189" s="6">
        <v>1.47</v>
      </c>
      <c r="Z189" s="6">
        <v>0.9</v>
      </c>
      <c r="AA189" s="6">
        <v>0.08</v>
      </c>
      <c r="AB189" s="6">
        <v>98.76</v>
      </c>
      <c r="AC189" s="6">
        <v>0</v>
      </c>
      <c r="AD189" s="6" t="s">
        <v>33</v>
      </c>
      <c r="AE189" s="6" t="s">
        <v>1140</v>
      </c>
    </row>
    <row r="190" spans="1:33" s="6" customFormat="1">
      <c r="A190" s="6" t="s">
        <v>1057</v>
      </c>
      <c r="B190" s="6">
        <v>120</v>
      </c>
      <c r="C190" s="6" t="s">
        <v>645</v>
      </c>
      <c r="D190" s="6">
        <v>800</v>
      </c>
      <c r="E190" s="6">
        <v>22</v>
      </c>
      <c r="F190" s="6">
        <v>435600</v>
      </c>
      <c r="G190" s="9">
        <v>3.5046513928104248E-14</v>
      </c>
      <c r="H190" s="10">
        <f t="shared" si="13"/>
        <v>0.24711342713079928</v>
      </c>
      <c r="I190" s="6" t="s">
        <v>41</v>
      </c>
      <c r="J190" s="6" t="s">
        <v>344</v>
      </c>
      <c r="K190" s="6">
        <v>21.8</v>
      </c>
      <c r="L190" s="6">
        <v>1</v>
      </c>
      <c r="M190" s="6">
        <v>1</v>
      </c>
      <c r="N190" s="6">
        <v>1</v>
      </c>
      <c r="O190" s="6">
        <v>1</v>
      </c>
      <c r="P190" s="6">
        <v>73.86</v>
      </c>
      <c r="Q190" s="6">
        <v>0.32</v>
      </c>
      <c r="R190" s="6">
        <v>15.23</v>
      </c>
      <c r="T190" s="6">
        <v>1.39</v>
      </c>
      <c r="U190" s="6">
        <v>0.03</v>
      </c>
      <c r="V190" s="6">
        <v>0.28999999999999998</v>
      </c>
      <c r="W190" s="6">
        <v>1.88</v>
      </c>
      <c r="X190" s="6">
        <v>5.77</v>
      </c>
      <c r="Y190" s="6">
        <v>0.93</v>
      </c>
      <c r="Z190" s="6">
        <v>0.09</v>
      </c>
      <c r="AA190" s="6">
        <v>0.05</v>
      </c>
      <c r="AB190" s="6">
        <v>90.4</v>
      </c>
      <c r="AC190" s="6">
        <v>19.7</v>
      </c>
      <c r="AD190" s="6" t="s">
        <v>341</v>
      </c>
      <c r="AE190" s="6" t="s">
        <v>1140</v>
      </c>
    </row>
    <row r="191" spans="1:33" s="6" customFormat="1">
      <c r="A191" s="6" t="s">
        <v>1057</v>
      </c>
      <c r="B191" s="6">
        <v>2242</v>
      </c>
      <c r="C191" s="6" t="s">
        <v>645</v>
      </c>
      <c r="D191" s="6">
        <v>800</v>
      </c>
      <c r="E191" s="6">
        <v>26</v>
      </c>
      <c r="F191" s="6">
        <v>864000</v>
      </c>
      <c r="G191" s="9">
        <v>3.5046513928104248E-14</v>
      </c>
      <c r="H191" s="10">
        <f t="shared" si="13"/>
        <v>0.34802406832793659</v>
      </c>
      <c r="I191" s="6" t="s">
        <v>41</v>
      </c>
      <c r="J191" s="6" t="s">
        <v>345</v>
      </c>
      <c r="K191" s="6">
        <v>18.7</v>
      </c>
      <c r="L191" s="6">
        <v>1</v>
      </c>
      <c r="M191" s="6">
        <v>1</v>
      </c>
      <c r="N191" s="6">
        <v>1</v>
      </c>
      <c r="O191" s="6">
        <v>1</v>
      </c>
      <c r="P191" s="6">
        <v>77.95</v>
      </c>
      <c r="Q191" s="6">
        <v>0.24</v>
      </c>
      <c r="R191" s="6">
        <v>13.47</v>
      </c>
      <c r="T191" s="6">
        <v>0.82</v>
      </c>
      <c r="U191" s="6">
        <v>0.02</v>
      </c>
      <c r="V191" s="6">
        <v>0.17</v>
      </c>
      <c r="W191" s="6">
        <v>1.83</v>
      </c>
      <c r="X191" s="6">
        <v>4.18</v>
      </c>
      <c r="Y191" s="6">
        <v>1.23</v>
      </c>
      <c r="Z191" s="6">
        <v>0.03</v>
      </c>
      <c r="AA191" s="6">
        <v>0.03</v>
      </c>
      <c r="AB191" s="6">
        <v>84.3</v>
      </c>
      <c r="AC191" s="6">
        <v>23</v>
      </c>
      <c r="AD191" s="6" t="s">
        <v>341</v>
      </c>
      <c r="AE191" s="6" t="s">
        <v>1136</v>
      </c>
    </row>
    <row r="192" spans="1:33" s="6" customFormat="1">
      <c r="A192" s="6" t="s">
        <v>1057</v>
      </c>
      <c r="B192" s="6">
        <v>2237</v>
      </c>
      <c r="C192" s="6" t="s">
        <v>645</v>
      </c>
      <c r="D192" s="6">
        <v>800</v>
      </c>
      <c r="E192" s="6">
        <v>26</v>
      </c>
      <c r="F192" s="6">
        <v>777600</v>
      </c>
      <c r="G192" s="9">
        <v>3.5046513928104248E-14</v>
      </c>
      <c r="H192" s="10">
        <f t="shared" si="13"/>
        <v>0.33016462094230425</v>
      </c>
      <c r="I192" s="6" t="s">
        <v>41</v>
      </c>
      <c r="J192" s="6" t="s">
        <v>344</v>
      </c>
      <c r="K192" s="6">
        <v>19.100000000000001</v>
      </c>
      <c r="L192" s="6">
        <v>1</v>
      </c>
      <c r="M192" s="6">
        <v>1</v>
      </c>
      <c r="N192" s="6">
        <v>1</v>
      </c>
      <c r="O192" s="6">
        <v>1</v>
      </c>
      <c r="P192" s="6">
        <v>77.08</v>
      </c>
      <c r="Q192" s="6">
        <v>0.22</v>
      </c>
      <c r="R192" s="6">
        <v>14.53</v>
      </c>
      <c r="T192" s="6">
        <v>0.82</v>
      </c>
      <c r="U192" s="6">
        <v>0.01</v>
      </c>
      <c r="V192" s="6">
        <v>0.18</v>
      </c>
      <c r="W192" s="6">
        <v>1.72</v>
      </c>
      <c r="X192" s="6">
        <v>4.33</v>
      </c>
      <c r="Y192" s="6">
        <v>1</v>
      </c>
      <c r="Z192" s="6">
        <v>0.03</v>
      </c>
      <c r="AA192" s="6">
        <v>0.03</v>
      </c>
      <c r="AB192" s="6">
        <v>84.71</v>
      </c>
      <c r="AC192" s="6">
        <v>22.5</v>
      </c>
      <c r="AD192" s="6" t="s">
        <v>341</v>
      </c>
      <c r="AE192" s="6" t="s">
        <v>1136</v>
      </c>
    </row>
    <row r="193" spans="1:31" s="6" customFormat="1">
      <c r="A193" s="6" t="s">
        <v>1057</v>
      </c>
      <c r="B193" s="6">
        <v>2241</v>
      </c>
      <c r="C193" s="6" t="s">
        <v>645</v>
      </c>
      <c r="D193" s="6">
        <v>800</v>
      </c>
      <c r="E193" s="6">
        <v>28</v>
      </c>
      <c r="F193" s="6">
        <v>864000</v>
      </c>
      <c r="G193" s="9">
        <v>3.5046513928104248E-14</v>
      </c>
      <c r="H193" s="10">
        <f t="shared" si="13"/>
        <v>0.34802406832793659</v>
      </c>
      <c r="I193" s="6" t="s">
        <v>41</v>
      </c>
      <c r="J193" s="6" t="s">
        <v>345</v>
      </c>
      <c r="K193" s="6">
        <v>17.100000000000001</v>
      </c>
      <c r="L193" s="6">
        <v>1</v>
      </c>
      <c r="M193" s="6">
        <v>1</v>
      </c>
      <c r="N193" s="6">
        <v>1</v>
      </c>
      <c r="O193" s="6">
        <v>1</v>
      </c>
      <c r="P193" s="6">
        <v>76.47</v>
      </c>
      <c r="Q193" s="6">
        <v>0.26</v>
      </c>
      <c r="R193" s="6">
        <v>13.92</v>
      </c>
      <c r="T193" s="6">
        <v>0.85</v>
      </c>
      <c r="U193" s="6">
        <v>0.01</v>
      </c>
      <c r="V193" s="6">
        <v>0.16</v>
      </c>
      <c r="W193" s="6">
        <v>1.6</v>
      </c>
      <c r="X193" s="6">
        <v>5.48</v>
      </c>
      <c r="Y193" s="6">
        <v>1.1399999999999999</v>
      </c>
      <c r="Z193" s="6">
        <v>0.06</v>
      </c>
      <c r="AA193" s="6">
        <v>0.05</v>
      </c>
      <c r="AB193" s="6">
        <v>88.31</v>
      </c>
      <c r="AC193" s="6">
        <v>25.2</v>
      </c>
      <c r="AD193" s="6" t="s">
        <v>341</v>
      </c>
      <c r="AE193" s="6" t="s">
        <v>1136</v>
      </c>
    </row>
    <row r="194" spans="1:31" s="6" customFormat="1">
      <c r="A194" s="6" t="s">
        <v>1057</v>
      </c>
      <c r="B194" s="6">
        <v>2238</v>
      </c>
      <c r="C194" s="6" t="s">
        <v>645</v>
      </c>
      <c r="D194" s="6">
        <v>800</v>
      </c>
      <c r="E194" s="6">
        <v>28</v>
      </c>
      <c r="F194" s="6">
        <v>784800</v>
      </c>
      <c r="G194" s="9">
        <v>3.5046513928104248E-14</v>
      </c>
      <c r="H194" s="10">
        <f t="shared" si="13"/>
        <v>0.33168963885401193</v>
      </c>
      <c r="I194" s="6" t="s">
        <v>41</v>
      </c>
      <c r="J194" s="6" t="s">
        <v>345</v>
      </c>
      <c r="K194" s="6">
        <v>14.4</v>
      </c>
      <c r="L194" s="6">
        <v>1</v>
      </c>
      <c r="M194" s="6">
        <v>1</v>
      </c>
      <c r="N194" s="6">
        <v>1</v>
      </c>
      <c r="O194" s="6">
        <v>1</v>
      </c>
      <c r="P194" s="6">
        <v>77.63</v>
      </c>
      <c r="Q194" s="6">
        <v>0.26</v>
      </c>
      <c r="R194" s="6">
        <v>13.66</v>
      </c>
      <c r="T194" s="6">
        <v>0.74</v>
      </c>
      <c r="U194" s="6">
        <v>0.01</v>
      </c>
      <c r="V194" s="6">
        <v>0.16</v>
      </c>
      <c r="W194" s="6">
        <v>1.59</v>
      </c>
      <c r="X194" s="6">
        <v>4.67</v>
      </c>
      <c r="Y194" s="6">
        <v>1.18</v>
      </c>
      <c r="Z194" s="6">
        <v>0.06</v>
      </c>
      <c r="AA194" s="6">
        <v>0.05</v>
      </c>
      <c r="AB194" s="6">
        <v>87.71</v>
      </c>
      <c r="AC194" s="6">
        <v>29.2</v>
      </c>
      <c r="AD194" s="6" t="s">
        <v>341</v>
      </c>
      <c r="AE194" s="6" t="s">
        <v>1136</v>
      </c>
    </row>
    <row r="195" spans="1:31" s="6" customFormat="1">
      <c r="A195" s="6" t="s">
        <v>1057</v>
      </c>
      <c r="B195" s="6">
        <v>2256</v>
      </c>
      <c r="C195" s="6" t="s">
        <v>645</v>
      </c>
      <c r="D195" s="6">
        <v>900</v>
      </c>
      <c r="E195" s="6">
        <v>26</v>
      </c>
      <c r="F195" s="6">
        <v>864000</v>
      </c>
      <c r="G195" s="9">
        <v>1.4274849337614078E-13</v>
      </c>
      <c r="H195" s="10">
        <f t="shared" si="13"/>
        <v>0.70238080348763976</v>
      </c>
      <c r="I195" s="6" t="s">
        <v>41</v>
      </c>
      <c r="J195" s="6" t="s">
        <v>344</v>
      </c>
      <c r="K195" s="6">
        <v>22.3</v>
      </c>
      <c r="L195" s="6">
        <v>1</v>
      </c>
      <c r="M195" s="6">
        <v>1</v>
      </c>
      <c r="N195" s="6">
        <v>1</v>
      </c>
      <c r="O195" s="6">
        <v>1</v>
      </c>
      <c r="P195" s="6">
        <v>73.430000000000007</v>
      </c>
      <c r="Q195" s="6">
        <v>0.4</v>
      </c>
      <c r="R195" s="6">
        <v>16.510000000000002</v>
      </c>
      <c r="T195" s="6">
        <v>1.06</v>
      </c>
      <c r="U195" s="6">
        <v>0.02</v>
      </c>
      <c r="V195" s="6">
        <v>0.18</v>
      </c>
      <c r="W195" s="6">
        <v>2.06</v>
      </c>
      <c r="X195" s="6">
        <v>5.03</v>
      </c>
      <c r="Y195" s="6">
        <v>0.91</v>
      </c>
      <c r="Z195" s="6">
        <v>0.28999999999999998</v>
      </c>
      <c r="AA195" s="6">
        <v>0.04</v>
      </c>
      <c r="AB195" s="6">
        <v>79.459999999999994</v>
      </c>
      <c r="AC195" s="6">
        <v>19.2</v>
      </c>
      <c r="AD195" s="6" t="s">
        <v>341</v>
      </c>
      <c r="AE195" s="6" t="s">
        <v>1136</v>
      </c>
    </row>
    <row r="196" spans="1:31" s="6" customFormat="1">
      <c r="A196" s="6" t="s">
        <v>1057</v>
      </c>
      <c r="B196" s="6">
        <v>2255</v>
      </c>
      <c r="C196" s="6" t="s">
        <v>645</v>
      </c>
      <c r="D196" s="6">
        <v>900</v>
      </c>
      <c r="E196" s="6">
        <v>28</v>
      </c>
      <c r="F196" s="6">
        <v>864000</v>
      </c>
      <c r="G196" s="9">
        <v>1.4274849337614078E-13</v>
      </c>
      <c r="H196" s="10">
        <f t="shared" si="13"/>
        <v>0.70238080348763976</v>
      </c>
      <c r="I196" s="6" t="s">
        <v>41</v>
      </c>
      <c r="J196" s="6" t="s">
        <v>344</v>
      </c>
      <c r="K196" s="6">
        <v>21.2</v>
      </c>
      <c r="L196" s="6">
        <v>1</v>
      </c>
      <c r="M196" s="6">
        <v>1</v>
      </c>
      <c r="N196" s="6">
        <v>1</v>
      </c>
      <c r="O196" s="6">
        <v>1</v>
      </c>
      <c r="P196" s="6">
        <v>75.36</v>
      </c>
      <c r="Q196" s="6">
        <v>0.47</v>
      </c>
      <c r="R196" s="6">
        <v>15.1</v>
      </c>
      <c r="T196" s="6">
        <v>1.24</v>
      </c>
      <c r="U196" s="6">
        <v>0.01</v>
      </c>
      <c r="V196" s="6">
        <v>0.25</v>
      </c>
      <c r="W196" s="6">
        <v>1.82</v>
      </c>
      <c r="X196" s="6">
        <v>4.42</v>
      </c>
      <c r="Y196" s="6">
        <v>1.04</v>
      </c>
      <c r="Z196" s="6">
        <v>0.16</v>
      </c>
      <c r="AA196" s="6">
        <v>0.08</v>
      </c>
      <c r="AB196" s="6">
        <v>84.81</v>
      </c>
      <c r="AC196" s="6">
        <v>20.3</v>
      </c>
      <c r="AD196" s="6" t="s">
        <v>341</v>
      </c>
      <c r="AE196" s="6" t="s">
        <v>1136</v>
      </c>
    </row>
    <row r="197" spans="1:31" s="6" customFormat="1">
      <c r="A197" s="6" t="s">
        <v>1067</v>
      </c>
      <c r="B197" s="6" t="s">
        <v>495</v>
      </c>
      <c r="C197" s="6" t="s">
        <v>496</v>
      </c>
      <c r="D197" s="25">
        <v>1000</v>
      </c>
      <c r="E197" s="6">
        <v>5</v>
      </c>
      <c r="F197" s="6">
        <v>259200</v>
      </c>
      <c r="G197" s="9">
        <v>4.6632042652511761E-13</v>
      </c>
      <c r="H197" s="10">
        <v>0.69532799326738015</v>
      </c>
      <c r="I197" s="6">
        <v>0.96</v>
      </c>
      <c r="J197" s="6" t="s">
        <v>497</v>
      </c>
      <c r="K197" s="6">
        <v>5</v>
      </c>
      <c r="L197" s="6">
        <v>1</v>
      </c>
      <c r="M197" s="6">
        <v>1</v>
      </c>
      <c r="N197" s="6">
        <v>0</v>
      </c>
      <c r="O197" s="6">
        <v>0</v>
      </c>
      <c r="P197" s="6">
        <v>70.42</v>
      </c>
      <c r="Q197" s="6">
        <v>0.34</v>
      </c>
      <c r="R197" s="6">
        <v>15.77</v>
      </c>
      <c r="T197" s="6">
        <v>1.84</v>
      </c>
      <c r="V197" s="6">
        <v>0.13</v>
      </c>
      <c r="W197" s="6">
        <v>3.83</v>
      </c>
      <c r="X197" s="6">
        <v>1.97</v>
      </c>
      <c r="Y197" s="6">
        <v>2.7</v>
      </c>
      <c r="Z197" s="6">
        <v>0.16</v>
      </c>
      <c r="AA197" s="6">
        <v>0.13</v>
      </c>
      <c r="AB197" s="6">
        <v>98.55</v>
      </c>
      <c r="AD197" s="6" t="s">
        <v>498</v>
      </c>
      <c r="AE197" s="6" t="s">
        <v>1136</v>
      </c>
    </row>
    <row r="198" spans="1:31" s="6" customFormat="1">
      <c r="A198" s="6" t="s">
        <v>1067</v>
      </c>
      <c r="B198" s="6" t="s">
        <v>501</v>
      </c>
      <c r="C198" s="6" t="s">
        <v>496</v>
      </c>
      <c r="D198" s="25">
        <v>1015</v>
      </c>
      <c r="E198" s="6">
        <v>5</v>
      </c>
      <c r="F198" s="6">
        <v>331200</v>
      </c>
      <c r="G198" s="9">
        <v>5.4817185870866193E-13</v>
      </c>
      <c r="H198" s="10">
        <v>0.85218429838693655</v>
      </c>
      <c r="I198" s="6">
        <v>0.96</v>
      </c>
      <c r="J198" s="6" t="s">
        <v>497</v>
      </c>
      <c r="K198" s="6">
        <v>10</v>
      </c>
      <c r="L198" s="6">
        <v>1</v>
      </c>
      <c r="M198" s="6">
        <v>1</v>
      </c>
      <c r="N198" s="6">
        <v>0</v>
      </c>
      <c r="O198" s="6">
        <v>0</v>
      </c>
      <c r="P198" s="6">
        <v>69.650000000000006</v>
      </c>
      <c r="Q198" s="6">
        <v>0.64</v>
      </c>
      <c r="R198" s="6">
        <v>14.16</v>
      </c>
      <c r="T198" s="6">
        <v>3.61</v>
      </c>
      <c r="V198" s="6">
        <v>0.78</v>
      </c>
      <c r="W198" s="6">
        <v>2.84</v>
      </c>
      <c r="X198" s="6">
        <v>1.27</v>
      </c>
      <c r="Y198" s="6">
        <v>3.95</v>
      </c>
      <c r="Z198" s="6">
        <v>0.2</v>
      </c>
      <c r="AA198" s="6">
        <v>0.06</v>
      </c>
      <c r="AB198" s="6">
        <v>99.54</v>
      </c>
      <c r="AD198" s="6" t="s">
        <v>498</v>
      </c>
      <c r="AE198" s="6" t="s">
        <v>1132</v>
      </c>
    </row>
    <row r="199" spans="1:31" s="6" customFormat="1">
      <c r="A199" s="6" t="s">
        <v>1067</v>
      </c>
      <c r="B199" s="6" t="s">
        <v>503</v>
      </c>
      <c r="C199" s="6" t="s">
        <v>496</v>
      </c>
      <c r="D199" s="25">
        <v>1040</v>
      </c>
      <c r="E199" s="6">
        <v>5</v>
      </c>
      <c r="F199" s="6">
        <v>262800</v>
      </c>
      <c r="G199" s="9">
        <v>7.1187702362643256E-13</v>
      </c>
      <c r="H199" s="10">
        <v>0.8650578750789486</v>
      </c>
      <c r="I199" s="6">
        <v>0.96</v>
      </c>
      <c r="J199" s="6" t="s">
        <v>500</v>
      </c>
      <c r="K199" s="6">
        <v>90</v>
      </c>
      <c r="L199" s="6">
        <v>1</v>
      </c>
      <c r="M199" s="6">
        <v>1</v>
      </c>
      <c r="N199" s="6">
        <v>0</v>
      </c>
      <c r="O199" s="6">
        <v>0</v>
      </c>
      <c r="P199" s="6">
        <v>46.04</v>
      </c>
      <c r="Q199" s="6">
        <v>3.49</v>
      </c>
      <c r="R199" s="6">
        <v>15.03</v>
      </c>
      <c r="T199" s="6">
        <v>13.89</v>
      </c>
      <c r="V199" s="6">
        <v>4.6500000000000004</v>
      </c>
      <c r="W199" s="6">
        <v>8.26</v>
      </c>
      <c r="X199" s="6">
        <v>2.2599999999999998</v>
      </c>
      <c r="Y199" s="6">
        <v>1.1000000000000001</v>
      </c>
      <c r="Z199" s="6">
        <v>2.14</v>
      </c>
      <c r="AA199" s="6">
        <v>1.27</v>
      </c>
      <c r="AB199" s="6">
        <v>98.15</v>
      </c>
      <c r="AD199" s="6" t="s">
        <v>498</v>
      </c>
      <c r="AE199" s="6" t="s">
        <v>1132</v>
      </c>
    </row>
    <row r="200" spans="1:31" s="6" customFormat="1">
      <c r="A200" s="6" t="s">
        <v>1067</v>
      </c>
      <c r="B200" s="6" t="s">
        <v>504</v>
      </c>
      <c r="C200" s="6" t="s">
        <v>496</v>
      </c>
      <c r="D200" s="25">
        <v>1040</v>
      </c>
      <c r="E200" s="6">
        <v>5</v>
      </c>
      <c r="F200" s="6">
        <v>262800</v>
      </c>
      <c r="G200" s="9">
        <v>7.1187702362643256E-13</v>
      </c>
      <c r="H200" s="10">
        <v>0.8650578750789486</v>
      </c>
      <c r="I200" s="6">
        <v>0.94</v>
      </c>
      <c r="J200" s="6" t="s">
        <v>505</v>
      </c>
      <c r="K200" s="6">
        <v>35</v>
      </c>
      <c r="L200" s="6">
        <v>1</v>
      </c>
      <c r="M200" s="6">
        <v>1</v>
      </c>
      <c r="N200" s="6">
        <v>0</v>
      </c>
      <c r="O200" s="6">
        <v>0</v>
      </c>
      <c r="P200" s="6">
        <v>48.77</v>
      </c>
      <c r="Q200" s="6">
        <v>4.0199999999999996</v>
      </c>
      <c r="R200" s="6">
        <v>11.82</v>
      </c>
      <c r="T200" s="6">
        <v>16.3</v>
      </c>
      <c r="V200" s="6">
        <v>3.71</v>
      </c>
      <c r="W200" s="6">
        <v>9.2799999999999994</v>
      </c>
      <c r="X200" s="6">
        <v>1.25</v>
      </c>
      <c r="Y200" s="6">
        <v>0.67</v>
      </c>
      <c r="Z200" s="6">
        <v>1.66</v>
      </c>
      <c r="AA200" s="6">
        <v>1.46</v>
      </c>
      <c r="AB200" s="6">
        <v>98.94</v>
      </c>
      <c r="AD200" s="6" t="s">
        <v>498</v>
      </c>
      <c r="AE200" s="6" t="s">
        <v>1144</v>
      </c>
    </row>
    <row r="201" spans="1:31" s="6" customFormat="1">
      <c r="A201" s="6" t="s">
        <v>1067</v>
      </c>
      <c r="B201" s="6" t="s">
        <v>510</v>
      </c>
      <c r="C201" s="6" t="s">
        <v>496</v>
      </c>
      <c r="D201" s="25">
        <v>1015</v>
      </c>
      <c r="E201" s="6">
        <v>5</v>
      </c>
      <c r="F201" s="6">
        <v>237600</v>
      </c>
      <c r="G201" s="9">
        <v>5.4817185870866193E-13</v>
      </c>
      <c r="H201" s="10">
        <v>0.72179119869718023</v>
      </c>
      <c r="I201" s="6">
        <v>0.96</v>
      </c>
      <c r="J201" s="6" t="s">
        <v>511</v>
      </c>
      <c r="K201" s="6">
        <v>15</v>
      </c>
      <c r="L201" s="6">
        <v>1</v>
      </c>
      <c r="M201" s="6">
        <v>0</v>
      </c>
      <c r="N201" s="6">
        <v>0</v>
      </c>
      <c r="O201" s="6">
        <v>0</v>
      </c>
      <c r="P201" s="6">
        <v>73.540000000000006</v>
      </c>
      <c r="Q201" s="6">
        <v>1.35</v>
      </c>
      <c r="R201" s="6">
        <v>12.35</v>
      </c>
      <c r="T201" s="6">
        <v>4.58</v>
      </c>
      <c r="V201" s="6">
        <v>0.44</v>
      </c>
      <c r="W201" s="6">
        <v>0.97</v>
      </c>
      <c r="X201" s="6">
        <v>1.1599999999999999</v>
      </c>
      <c r="Y201" s="6">
        <v>2.57</v>
      </c>
      <c r="Z201" s="6">
        <v>0.18</v>
      </c>
      <c r="AA201" s="6">
        <v>0.04</v>
      </c>
      <c r="AB201" s="6">
        <v>97.15</v>
      </c>
      <c r="AD201" s="6" t="s">
        <v>498</v>
      </c>
      <c r="AE201" s="6" t="s">
        <v>1144</v>
      </c>
    </row>
    <row r="202" spans="1:31" s="6" customFormat="1">
      <c r="A202" s="6" t="s">
        <v>1067</v>
      </c>
      <c r="B202" s="6" t="s">
        <v>512</v>
      </c>
      <c r="C202" s="6" t="s">
        <v>496</v>
      </c>
      <c r="D202" s="25">
        <v>1015</v>
      </c>
      <c r="E202" s="6">
        <v>5</v>
      </c>
      <c r="F202" s="6">
        <v>237600</v>
      </c>
      <c r="G202" s="9">
        <v>5.4817185870866193E-13</v>
      </c>
      <c r="H202" s="10">
        <v>0.72179119869718023</v>
      </c>
      <c r="I202" s="6">
        <v>0.94</v>
      </c>
      <c r="J202" s="6" t="s">
        <v>509</v>
      </c>
      <c r="K202" s="6">
        <v>12</v>
      </c>
      <c r="L202" s="6">
        <v>1</v>
      </c>
      <c r="M202" s="6">
        <v>0</v>
      </c>
      <c r="N202" s="6">
        <v>0</v>
      </c>
      <c r="O202" s="6">
        <v>0</v>
      </c>
      <c r="P202" s="6">
        <v>69.819999999999993</v>
      </c>
      <c r="Q202" s="6">
        <v>0.77</v>
      </c>
      <c r="R202" s="6">
        <v>12</v>
      </c>
      <c r="T202" s="6">
        <v>7.45</v>
      </c>
      <c r="V202" s="6">
        <v>0.23</v>
      </c>
      <c r="W202" s="6">
        <v>1.72</v>
      </c>
      <c r="X202" s="6">
        <v>1.1399999999999999</v>
      </c>
      <c r="Y202" s="6">
        <v>2.98</v>
      </c>
      <c r="Z202" s="6">
        <v>0.39</v>
      </c>
      <c r="AA202" s="6">
        <v>0.04</v>
      </c>
      <c r="AB202" s="6">
        <v>96.5</v>
      </c>
      <c r="AD202" s="6" t="s">
        <v>498</v>
      </c>
      <c r="AE202" s="6" t="s">
        <v>1132</v>
      </c>
    </row>
    <row r="203" spans="1:31" s="6" customFormat="1">
      <c r="A203" s="8" t="s">
        <v>1067</v>
      </c>
      <c r="B203" s="6" t="s">
        <v>515</v>
      </c>
      <c r="C203" s="8" t="s">
        <v>496</v>
      </c>
      <c r="D203" s="25">
        <v>1075</v>
      </c>
      <c r="E203" s="8">
        <v>5</v>
      </c>
      <c r="F203" s="6">
        <v>248400</v>
      </c>
      <c r="G203" s="9">
        <v>1.00975806494244E-12</v>
      </c>
      <c r="H203" s="10">
        <v>1.0016464512625243</v>
      </c>
      <c r="I203" s="6">
        <v>0.94</v>
      </c>
      <c r="J203" s="6" t="s">
        <v>516</v>
      </c>
      <c r="K203" s="6">
        <v>70</v>
      </c>
      <c r="L203" s="6">
        <v>1</v>
      </c>
      <c r="M203" s="6">
        <v>1</v>
      </c>
      <c r="N203" s="6">
        <v>0</v>
      </c>
      <c r="O203" s="6">
        <v>0</v>
      </c>
      <c r="P203" s="6">
        <v>51.45</v>
      </c>
      <c r="Q203" s="6">
        <v>2.41</v>
      </c>
      <c r="R203" s="6">
        <v>15.45</v>
      </c>
      <c r="T203" s="6">
        <v>12.68</v>
      </c>
      <c r="V203" s="6">
        <v>1.98</v>
      </c>
      <c r="W203" s="6">
        <v>7.21</v>
      </c>
      <c r="X203" s="6">
        <v>1.93</v>
      </c>
      <c r="Y203" s="6">
        <v>0.46</v>
      </c>
      <c r="Z203" s="6">
        <v>5.6</v>
      </c>
      <c r="AA203" s="6">
        <v>1.03</v>
      </c>
      <c r="AD203" s="6" t="s">
        <v>498</v>
      </c>
      <c r="AE203" s="6" t="s">
        <v>1132</v>
      </c>
    </row>
    <row r="204" spans="1:31" s="6" customFormat="1">
      <c r="A204" s="8" t="s">
        <v>1067</v>
      </c>
      <c r="B204" s="6" t="s">
        <v>517</v>
      </c>
      <c r="C204" s="8" t="s">
        <v>496</v>
      </c>
      <c r="D204" s="25">
        <v>1100</v>
      </c>
      <c r="E204" s="8">
        <v>5</v>
      </c>
      <c r="F204" s="6">
        <v>248400</v>
      </c>
      <c r="G204" s="9">
        <v>1.2820841702583668E-12</v>
      </c>
      <c r="H204" s="10">
        <v>1.1286624081490058</v>
      </c>
      <c r="I204" s="6">
        <v>0.94</v>
      </c>
      <c r="J204" s="6" t="s">
        <v>518</v>
      </c>
      <c r="K204" s="6">
        <v>99</v>
      </c>
      <c r="L204" s="6">
        <v>1</v>
      </c>
      <c r="M204" s="6">
        <v>1</v>
      </c>
      <c r="N204" s="6">
        <v>0</v>
      </c>
      <c r="O204" s="6">
        <v>0</v>
      </c>
      <c r="P204" s="6">
        <v>45.84</v>
      </c>
      <c r="Q204" s="6">
        <v>4.33</v>
      </c>
      <c r="R204" s="6">
        <v>11.8</v>
      </c>
      <c r="T204" s="6">
        <v>14.63</v>
      </c>
      <c r="V204" s="6">
        <v>4.67</v>
      </c>
      <c r="W204" s="6">
        <v>8.74</v>
      </c>
      <c r="X204" s="6">
        <v>1.69</v>
      </c>
      <c r="Y204" s="6">
        <v>0.45</v>
      </c>
      <c r="Z204" s="6">
        <v>6.66</v>
      </c>
      <c r="AA204" s="6">
        <v>0.2</v>
      </c>
      <c r="AD204" s="6" t="s">
        <v>498</v>
      </c>
      <c r="AE204" s="6" t="s">
        <v>1145</v>
      </c>
    </row>
    <row r="205" spans="1:31" s="6" customFormat="1">
      <c r="A205" s="8" t="s">
        <v>1039</v>
      </c>
      <c r="B205" s="8" t="s">
        <v>105</v>
      </c>
      <c r="C205" s="6" t="s">
        <v>558</v>
      </c>
      <c r="D205" s="8">
        <v>850</v>
      </c>
      <c r="E205" s="8">
        <v>10</v>
      </c>
      <c r="F205" s="8">
        <f>70*3600</f>
        <v>252000</v>
      </c>
      <c r="G205" s="9">
        <v>7.2976735414337512E-14</v>
      </c>
      <c r="H205" s="10">
        <f t="shared" ref="H205:H236" si="14">2*SQRT(G205*F205)*1000</f>
        <v>0.27122048097009971</v>
      </c>
      <c r="I205" s="8">
        <v>9.5</v>
      </c>
      <c r="J205" s="8" t="s">
        <v>106</v>
      </c>
      <c r="K205" s="8">
        <v>85.2</v>
      </c>
      <c r="L205" s="8">
        <v>1</v>
      </c>
      <c r="M205" s="8" t="s">
        <v>92</v>
      </c>
      <c r="N205" s="8" t="s">
        <v>92</v>
      </c>
      <c r="O205" s="8">
        <v>0</v>
      </c>
      <c r="P205" s="8">
        <v>58.06</v>
      </c>
      <c r="Q205" s="8">
        <v>0.38</v>
      </c>
      <c r="R205" s="8">
        <v>16.41</v>
      </c>
      <c r="S205" s="8"/>
      <c r="T205" s="8">
        <v>2.83</v>
      </c>
      <c r="U205" s="8">
        <v>0.08</v>
      </c>
      <c r="V205" s="8">
        <v>0.74</v>
      </c>
      <c r="W205" s="8">
        <v>4.88</v>
      </c>
      <c r="X205" s="8">
        <v>3.22</v>
      </c>
      <c r="Y205" s="8">
        <v>1.24</v>
      </c>
      <c r="Z205" s="8">
        <v>0.21</v>
      </c>
      <c r="AA205" s="8">
        <f>0.04/2</f>
        <v>0.02</v>
      </c>
      <c r="AB205" s="8">
        <v>88.05</v>
      </c>
      <c r="AC205" s="8">
        <v>9.5</v>
      </c>
      <c r="AD205" s="8" t="s">
        <v>81</v>
      </c>
      <c r="AE205" s="6" t="s">
        <v>1116</v>
      </c>
    </row>
    <row r="206" spans="1:31" s="6" customFormat="1">
      <c r="A206" s="8" t="s">
        <v>1039</v>
      </c>
      <c r="B206" s="8" t="s">
        <v>107</v>
      </c>
      <c r="C206" s="6" t="s">
        <v>558</v>
      </c>
      <c r="D206" s="8">
        <v>800</v>
      </c>
      <c r="E206" s="8">
        <v>10</v>
      </c>
      <c r="F206" s="8">
        <f>114*3600</f>
        <v>410400</v>
      </c>
      <c r="G206" s="9">
        <v>3.5046513928104248E-14</v>
      </c>
      <c r="H206" s="10">
        <f t="shared" si="14"/>
        <v>0.23985903623665283</v>
      </c>
      <c r="I206" s="8">
        <v>8.9700000000000006</v>
      </c>
      <c r="J206" s="8" t="s">
        <v>108</v>
      </c>
      <c r="K206" s="8">
        <v>75.5</v>
      </c>
      <c r="L206" s="8">
        <v>1</v>
      </c>
      <c r="M206" s="8" t="s">
        <v>92</v>
      </c>
      <c r="N206" s="8" t="s">
        <v>92</v>
      </c>
      <c r="O206" s="8">
        <v>0</v>
      </c>
      <c r="P206" s="8">
        <v>62.93</v>
      </c>
      <c r="Q206" s="8">
        <v>0.21</v>
      </c>
      <c r="R206" s="8">
        <v>15.06</v>
      </c>
      <c r="S206" s="8"/>
      <c r="T206" s="8">
        <v>1.76</v>
      </c>
      <c r="U206" s="8">
        <v>0.05</v>
      </c>
      <c r="V206" s="8">
        <v>0.38</v>
      </c>
      <c r="W206" s="8">
        <v>3.28</v>
      </c>
      <c r="X206" s="8">
        <v>3.73</v>
      </c>
      <c r="Y206" s="8">
        <v>1.55</v>
      </c>
      <c r="Z206" s="8">
        <v>0.12</v>
      </c>
      <c r="AA206" s="8">
        <f>0.03/2</f>
        <v>1.4999999999999999E-2</v>
      </c>
      <c r="AB206" s="8">
        <v>89.07</v>
      </c>
      <c r="AC206" s="8">
        <v>9.9</v>
      </c>
      <c r="AD206" s="8" t="s">
        <v>81</v>
      </c>
      <c r="AE206" s="6" t="s">
        <v>1131</v>
      </c>
    </row>
    <row r="207" spans="1:31" s="6" customFormat="1">
      <c r="A207" s="8" t="s">
        <v>1039</v>
      </c>
      <c r="B207" s="8" t="s">
        <v>109</v>
      </c>
      <c r="C207" s="6" t="s">
        <v>558</v>
      </c>
      <c r="D207" s="8">
        <v>750</v>
      </c>
      <c r="E207" s="8">
        <v>10</v>
      </c>
      <c r="F207" s="8">
        <f>144*3600</f>
        <v>518400</v>
      </c>
      <c r="G207" s="9">
        <v>1.5666500344126923E-14</v>
      </c>
      <c r="H207" s="10">
        <f t="shared" si="14"/>
        <v>0.18023888346741826</v>
      </c>
      <c r="I207" s="8">
        <v>8.24</v>
      </c>
      <c r="J207" s="8" t="s">
        <v>110</v>
      </c>
      <c r="K207" s="8">
        <v>89.2</v>
      </c>
      <c r="L207" s="8">
        <v>1</v>
      </c>
      <c r="M207" s="8" t="s">
        <v>92</v>
      </c>
      <c r="N207" s="8" t="s">
        <v>92</v>
      </c>
      <c r="O207" s="8">
        <v>0</v>
      </c>
      <c r="P207" s="8">
        <v>61.92</v>
      </c>
      <c r="Q207" s="8">
        <v>0.04</v>
      </c>
      <c r="R207" s="8">
        <v>13.22</v>
      </c>
      <c r="S207" s="8"/>
      <c r="T207" s="8">
        <v>0.87</v>
      </c>
      <c r="U207" s="8">
        <v>0.1</v>
      </c>
      <c r="V207" s="8">
        <v>0.4</v>
      </c>
      <c r="W207" s="8">
        <v>2.44</v>
      </c>
      <c r="X207" s="8">
        <v>3.21</v>
      </c>
      <c r="Y207" s="8">
        <v>1.81</v>
      </c>
      <c r="Z207" s="8">
        <v>0.11</v>
      </c>
      <c r="AA207" s="8">
        <f>0.02/2</f>
        <v>0.01</v>
      </c>
      <c r="AB207" s="8">
        <v>84.09</v>
      </c>
      <c r="AC207" s="8">
        <v>11.6</v>
      </c>
      <c r="AD207" s="8" t="s">
        <v>81</v>
      </c>
      <c r="AE207" s="6" t="s">
        <v>1131</v>
      </c>
    </row>
    <row r="208" spans="1:31" s="6" customFormat="1">
      <c r="A208" s="8" t="s">
        <v>1039</v>
      </c>
      <c r="B208" s="8" t="s">
        <v>111</v>
      </c>
      <c r="C208" s="6" t="s">
        <v>558</v>
      </c>
      <c r="D208" s="8">
        <v>720</v>
      </c>
      <c r="E208" s="8">
        <v>10</v>
      </c>
      <c r="F208" s="8">
        <f>144*3600</f>
        <v>518400</v>
      </c>
      <c r="G208" s="9">
        <v>9.2954031785240284E-15</v>
      </c>
      <c r="H208" s="10">
        <f t="shared" si="14"/>
        <v>0.13883424660719496</v>
      </c>
      <c r="I208" s="8">
        <v>8.24</v>
      </c>
      <c r="J208" s="8" t="s">
        <v>112</v>
      </c>
      <c r="K208" s="8">
        <v>73.099999999999994</v>
      </c>
      <c r="L208" s="8">
        <v>1</v>
      </c>
      <c r="M208" s="8" t="s">
        <v>92</v>
      </c>
      <c r="N208" s="8" t="s">
        <v>92</v>
      </c>
      <c r="O208" s="8">
        <v>0</v>
      </c>
      <c r="P208" s="8">
        <v>64.34</v>
      </c>
      <c r="Q208" s="8">
        <v>7.0000000000000007E-2</v>
      </c>
      <c r="R208" s="8">
        <v>13.42</v>
      </c>
      <c r="S208" s="8"/>
      <c r="T208" s="8">
        <v>0.78</v>
      </c>
      <c r="U208" s="8">
        <v>0.1</v>
      </c>
      <c r="V208" s="8">
        <v>0.36</v>
      </c>
      <c r="W208" s="8">
        <v>2.0499999999999998</v>
      </c>
      <c r="X208" s="8">
        <v>3.28</v>
      </c>
      <c r="Y208" s="8">
        <v>1.92</v>
      </c>
      <c r="Z208" s="8">
        <v>0.11</v>
      </c>
      <c r="AA208" s="8">
        <f>0.03/2</f>
        <v>1.4999999999999999E-2</v>
      </c>
      <c r="AB208" s="8">
        <v>86.43</v>
      </c>
      <c r="AC208" s="8">
        <v>11.2</v>
      </c>
      <c r="AD208" s="8" t="s">
        <v>81</v>
      </c>
      <c r="AE208" s="6" t="s">
        <v>1131</v>
      </c>
    </row>
    <row r="209" spans="1:33" s="6" customFormat="1">
      <c r="A209" s="8" t="s">
        <v>1039</v>
      </c>
      <c r="B209" s="8" t="s">
        <v>113</v>
      </c>
      <c r="C209" s="6" t="s">
        <v>558</v>
      </c>
      <c r="D209" s="8">
        <v>850</v>
      </c>
      <c r="E209" s="8">
        <v>10</v>
      </c>
      <c r="F209" s="8">
        <f>70*3600</f>
        <v>252000</v>
      </c>
      <c r="G209" s="9">
        <v>7.2976735414337512E-14</v>
      </c>
      <c r="H209" s="10">
        <f t="shared" si="14"/>
        <v>0.27122048097009971</v>
      </c>
      <c r="I209" s="8"/>
      <c r="J209" s="8" t="s">
        <v>114</v>
      </c>
      <c r="K209" s="8">
        <v>90.2</v>
      </c>
      <c r="L209" s="8">
        <v>1</v>
      </c>
      <c r="M209" s="8" t="s">
        <v>92</v>
      </c>
      <c r="N209" s="8" t="s">
        <v>92</v>
      </c>
      <c r="O209" s="8">
        <v>0</v>
      </c>
      <c r="P209" s="8">
        <v>58.74</v>
      </c>
      <c r="Q209" s="8">
        <v>0.38</v>
      </c>
      <c r="R209" s="8">
        <v>16.32</v>
      </c>
      <c r="S209" s="8"/>
      <c r="T209" s="8">
        <v>2.65</v>
      </c>
      <c r="U209" s="8">
        <v>0.06</v>
      </c>
      <c r="V209" s="8">
        <v>0.68</v>
      </c>
      <c r="W209" s="8">
        <v>4.68</v>
      </c>
      <c r="X209" s="8">
        <v>2.92</v>
      </c>
      <c r="Y209" s="8">
        <v>2.13</v>
      </c>
      <c r="Z209" s="8">
        <v>0.19</v>
      </c>
      <c r="AA209" s="8">
        <f>0.04/2</f>
        <v>0.02</v>
      </c>
      <c r="AB209" s="8">
        <v>88.75</v>
      </c>
      <c r="AC209" s="8">
        <v>9.3000000000000007</v>
      </c>
      <c r="AD209" s="8" t="s">
        <v>81</v>
      </c>
      <c r="AE209" s="6" t="s">
        <v>1131</v>
      </c>
    </row>
    <row r="210" spans="1:33" s="6" customFormat="1">
      <c r="A210" s="8" t="s">
        <v>1039</v>
      </c>
      <c r="B210" s="8" t="s">
        <v>115</v>
      </c>
      <c r="C210" s="6" t="s">
        <v>558</v>
      </c>
      <c r="D210" s="8">
        <v>800</v>
      </c>
      <c r="E210" s="8">
        <v>10</v>
      </c>
      <c r="F210" s="8">
        <f>114*3600</f>
        <v>410400</v>
      </c>
      <c r="G210" s="9">
        <v>3.5046513928104248E-14</v>
      </c>
      <c r="H210" s="10">
        <f t="shared" si="14"/>
        <v>0.23985903623665283</v>
      </c>
      <c r="I210" s="8"/>
      <c r="J210" s="8" t="s">
        <v>108</v>
      </c>
      <c r="K210" s="8">
        <v>80.900000000000006</v>
      </c>
      <c r="L210" s="8">
        <v>1</v>
      </c>
      <c r="M210" s="8" t="s">
        <v>92</v>
      </c>
      <c r="N210" s="8" t="s">
        <v>92</v>
      </c>
      <c r="O210" s="8">
        <v>0</v>
      </c>
      <c r="P210" s="8">
        <v>59.77</v>
      </c>
      <c r="Q210" s="8">
        <v>0.18</v>
      </c>
      <c r="R210" s="8">
        <v>14.49</v>
      </c>
      <c r="S210" s="8"/>
      <c r="T210" s="8">
        <v>1.65</v>
      </c>
      <c r="U210" s="8">
        <v>0.03</v>
      </c>
      <c r="V210" s="8">
        <v>0.34</v>
      </c>
      <c r="W210" s="8">
        <v>3.1</v>
      </c>
      <c r="X210" s="8">
        <v>3.46</v>
      </c>
      <c r="Y210" s="8">
        <v>2.62</v>
      </c>
      <c r="Z210" s="8">
        <v>0.11</v>
      </c>
      <c r="AA210" s="8">
        <f>0.02/2</f>
        <v>0.01</v>
      </c>
      <c r="AB210" s="8">
        <v>85.75</v>
      </c>
      <c r="AC210" s="8">
        <v>9.8000000000000007</v>
      </c>
      <c r="AD210" s="8" t="s">
        <v>81</v>
      </c>
      <c r="AE210" s="6" t="s">
        <v>1131</v>
      </c>
    </row>
    <row r="211" spans="1:33" s="6" customFormat="1">
      <c r="A211" s="8" t="s">
        <v>1039</v>
      </c>
      <c r="B211" s="8" t="s">
        <v>116</v>
      </c>
      <c r="C211" s="6" t="s">
        <v>558</v>
      </c>
      <c r="D211" s="8">
        <v>750</v>
      </c>
      <c r="E211" s="8">
        <v>10</v>
      </c>
      <c r="F211" s="8">
        <f>144*3600</f>
        <v>518400</v>
      </c>
      <c r="G211" s="9">
        <v>1.5666500344126923E-14</v>
      </c>
      <c r="H211" s="10">
        <f t="shared" si="14"/>
        <v>0.18023888346741826</v>
      </c>
      <c r="I211" s="8"/>
      <c r="J211" s="8" t="s">
        <v>117</v>
      </c>
      <c r="K211" s="8">
        <v>89.9</v>
      </c>
      <c r="L211" s="8">
        <v>1</v>
      </c>
      <c r="M211" s="8" t="s">
        <v>92</v>
      </c>
      <c r="N211" s="8" t="s">
        <v>92</v>
      </c>
      <c r="O211" s="8">
        <v>0</v>
      </c>
      <c r="P211" s="8">
        <v>61.5</v>
      </c>
      <c r="Q211" s="8">
        <v>0.06</v>
      </c>
      <c r="R211" s="8">
        <v>13.64</v>
      </c>
      <c r="S211" s="8"/>
      <c r="T211" s="8">
        <v>0.86</v>
      </c>
      <c r="U211" s="8">
        <v>0.08</v>
      </c>
      <c r="V211" s="8">
        <v>0.37</v>
      </c>
      <c r="W211" s="8">
        <v>2.56</v>
      </c>
      <c r="X211" s="8">
        <v>2.96</v>
      </c>
      <c r="Y211" s="8">
        <v>2.94</v>
      </c>
      <c r="Z211" s="8">
        <v>0.1</v>
      </c>
      <c r="AA211" s="8">
        <f>0.03/2</f>
        <v>1.4999999999999999E-2</v>
      </c>
      <c r="AB211" s="8">
        <v>85.01</v>
      </c>
      <c r="AC211" s="8">
        <v>10.9</v>
      </c>
      <c r="AD211" s="8" t="s">
        <v>81</v>
      </c>
      <c r="AE211" s="6" t="s">
        <v>1131</v>
      </c>
      <c r="AG211" s="6" t="s">
        <v>1182</v>
      </c>
    </row>
    <row r="212" spans="1:33" s="6" customFormat="1">
      <c r="A212" s="6" t="s">
        <v>1031</v>
      </c>
      <c r="B212" s="6" t="s">
        <v>38</v>
      </c>
      <c r="C212" s="6" t="s">
        <v>558</v>
      </c>
      <c r="D212" s="6">
        <v>1090</v>
      </c>
      <c r="E212" s="6">
        <v>5</v>
      </c>
      <c r="F212" s="6">
        <f>25*3600</f>
        <v>90000</v>
      </c>
      <c r="G212" s="9">
        <v>1.1665229685323639E-12</v>
      </c>
      <c r="H212" s="10">
        <f t="shared" si="14"/>
        <v>0.64803415702542333</v>
      </c>
      <c r="I212" s="6">
        <v>0</v>
      </c>
      <c r="J212" s="8" t="s">
        <v>39</v>
      </c>
      <c r="K212" s="6">
        <v>90</v>
      </c>
      <c r="L212" s="6">
        <v>0</v>
      </c>
      <c r="M212" s="6">
        <v>1</v>
      </c>
      <c r="N212" s="6">
        <v>1</v>
      </c>
      <c r="O212" s="6">
        <v>1</v>
      </c>
      <c r="P212" s="6">
        <v>39.56</v>
      </c>
      <c r="Q212" s="6">
        <v>5.78</v>
      </c>
      <c r="R212" s="6">
        <v>8.14</v>
      </c>
      <c r="T212" s="6">
        <v>25.66</v>
      </c>
      <c r="U212" s="6">
        <v>0.35</v>
      </c>
      <c r="V212" s="6">
        <v>3.99</v>
      </c>
      <c r="W212" s="6">
        <v>9.01</v>
      </c>
      <c r="X212" s="6">
        <v>1.98</v>
      </c>
      <c r="Y212" s="6">
        <v>0.61</v>
      </c>
      <c r="Z212" s="6">
        <v>3.91</v>
      </c>
      <c r="AA212" s="6">
        <v>0.08</v>
      </c>
      <c r="AB212" s="6">
        <f>SUM(P212:Z212)</f>
        <v>98.99</v>
      </c>
      <c r="AC212" s="6">
        <v>0</v>
      </c>
      <c r="AD212" s="6" t="s">
        <v>33</v>
      </c>
      <c r="AE212" s="6" t="s">
        <v>1131</v>
      </c>
    </row>
    <row r="213" spans="1:33" s="6" customFormat="1">
      <c r="A213" s="6" t="s">
        <v>1102</v>
      </c>
      <c r="B213" s="6" t="s">
        <v>959</v>
      </c>
      <c r="C213" s="6" t="s">
        <v>574</v>
      </c>
      <c r="D213" s="6">
        <v>1300</v>
      </c>
      <c r="E213" s="6">
        <v>20</v>
      </c>
      <c r="F213" s="6">
        <f>210*3600</f>
        <v>756000</v>
      </c>
      <c r="G213" s="9">
        <v>6.5895756464467825E-12</v>
      </c>
      <c r="H213" s="10">
        <f t="shared" si="14"/>
        <v>4.463953041291437</v>
      </c>
      <c r="I213" s="6" t="s">
        <v>950</v>
      </c>
      <c r="J213" s="6" t="s">
        <v>960</v>
      </c>
      <c r="L213" s="6">
        <v>1</v>
      </c>
      <c r="M213" s="6">
        <v>0</v>
      </c>
      <c r="N213" s="6">
        <v>0</v>
      </c>
      <c r="O213" s="6">
        <v>0</v>
      </c>
      <c r="P213" s="6">
        <v>31.39</v>
      </c>
      <c r="Q213" s="6">
        <v>0</v>
      </c>
      <c r="R213" s="6">
        <v>10.39</v>
      </c>
      <c r="S213" s="6">
        <v>0</v>
      </c>
      <c r="T213" s="6">
        <v>0</v>
      </c>
      <c r="U213" s="6">
        <v>0</v>
      </c>
      <c r="V213" s="6">
        <v>15.03</v>
      </c>
      <c r="W213" s="6">
        <v>16.68</v>
      </c>
      <c r="X213" s="6">
        <v>0</v>
      </c>
      <c r="Y213" s="6">
        <v>9.68</v>
      </c>
      <c r="Z213" s="6">
        <v>12.22</v>
      </c>
      <c r="AB213" s="6">
        <v>95.4</v>
      </c>
      <c r="AE213" s="6" t="s">
        <v>1117</v>
      </c>
    </row>
    <row r="214" spans="1:33" s="6" customFormat="1">
      <c r="A214" s="6" t="s">
        <v>1102</v>
      </c>
      <c r="B214" s="6" t="s">
        <v>961</v>
      </c>
      <c r="C214" s="24" t="s">
        <v>574</v>
      </c>
      <c r="D214" s="6">
        <v>1300</v>
      </c>
      <c r="E214" s="6">
        <v>20</v>
      </c>
      <c r="F214" s="6">
        <f>80*3600</f>
        <v>288000</v>
      </c>
      <c r="G214" s="9">
        <v>6.5895756464467825E-12</v>
      </c>
      <c r="H214" s="10">
        <f t="shared" si="14"/>
        <v>2.7552116333789489</v>
      </c>
      <c r="I214" s="6" t="s">
        <v>950</v>
      </c>
      <c r="J214" s="6" t="s">
        <v>962</v>
      </c>
      <c r="L214" s="6">
        <v>1</v>
      </c>
      <c r="M214" s="6">
        <v>1</v>
      </c>
      <c r="N214" s="6">
        <v>0</v>
      </c>
      <c r="O214" s="6">
        <v>0</v>
      </c>
      <c r="P214" s="6">
        <v>32.1</v>
      </c>
      <c r="Q214" s="6">
        <v>0</v>
      </c>
      <c r="R214" s="6">
        <v>9.24</v>
      </c>
      <c r="S214" s="6">
        <v>0</v>
      </c>
      <c r="T214" s="6">
        <v>0</v>
      </c>
      <c r="U214" s="6">
        <v>0</v>
      </c>
      <c r="V214" s="6">
        <v>23.92</v>
      </c>
      <c r="W214" s="6">
        <v>12.62</v>
      </c>
      <c r="X214" s="6">
        <v>0</v>
      </c>
      <c r="Y214" s="6">
        <v>7.27</v>
      </c>
      <c r="Z214" s="6">
        <v>9.3800000000000008</v>
      </c>
      <c r="AB214" s="6">
        <v>96.63</v>
      </c>
      <c r="AE214" s="6" t="s">
        <v>1158</v>
      </c>
    </row>
    <row r="215" spans="1:33" s="6" customFormat="1">
      <c r="A215" s="8" t="s">
        <v>1098</v>
      </c>
      <c r="B215" s="6">
        <v>1</v>
      </c>
      <c r="C215" s="8" t="s">
        <v>935</v>
      </c>
      <c r="D215" s="6">
        <v>1165</v>
      </c>
      <c r="E215" s="6">
        <v>1E-4</v>
      </c>
      <c r="F215" s="11">
        <f t="shared" ref="F215:F255" si="15">3*24*3600</f>
        <v>259200</v>
      </c>
      <c r="G215" s="9">
        <v>2.2943606172813401E-12</v>
      </c>
      <c r="H215" s="10">
        <f t="shared" si="14"/>
        <v>1.5423336500243043</v>
      </c>
      <c r="I215" s="13" t="s">
        <v>826</v>
      </c>
      <c r="P215" s="6">
        <v>47.94</v>
      </c>
      <c r="Q215" s="6">
        <v>1.75</v>
      </c>
      <c r="R215" s="6">
        <v>13.09</v>
      </c>
      <c r="S215" s="14"/>
      <c r="T215" s="6">
        <v>7.58</v>
      </c>
      <c r="U215" s="6">
        <v>0.18</v>
      </c>
      <c r="V215" s="6">
        <v>7.26</v>
      </c>
      <c r="W215" s="6">
        <v>15.68</v>
      </c>
      <c r="X215" s="6">
        <v>1.84</v>
      </c>
      <c r="Y215" s="6">
        <v>0.1</v>
      </c>
      <c r="Z215" s="6">
        <v>4.26</v>
      </c>
      <c r="AA215" s="6">
        <v>7.0000000000000007E-2</v>
      </c>
      <c r="AB215" s="6">
        <v>99.68</v>
      </c>
      <c r="AC215" s="15"/>
      <c r="AD215" s="14"/>
      <c r="AE215" s="6" t="s">
        <v>1154</v>
      </c>
      <c r="AG215" s="6" t="s">
        <v>1184</v>
      </c>
    </row>
    <row r="216" spans="1:33" s="6" customFormat="1">
      <c r="A216" s="8" t="s">
        <v>1098</v>
      </c>
      <c r="B216" s="6">
        <v>2</v>
      </c>
      <c r="C216" s="8" t="s">
        <v>935</v>
      </c>
      <c r="D216" s="6">
        <v>1165</v>
      </c>
      <c r="E216" s="6">
        <v>1E-4</v>
      </c>
      <c r="F216" s="11">
        <f t="shared" si="15"/>
        <v>259200</v>
      </c>
      <c r="G216" s="9">
        <v>2.2943606172813401E-12</v>
      </c>
      <c r="H216" s="10">
        <f t="shared" si="14"/>
        <v>1.5423336500243043</v>
      </c>
      <c r="I216" s="13" t="s">
        <v>826</v>
      </c>
      <c r="P216" s="6">
        <v>58.06</v>
      </c>
      <c r="Q216" s="6">
        <v>1.67</v>
      </c>
      <c r="R216" s="6">
        <v>14.66</v>
      </c>
      <c r="S216" s="14"/>
      <c r="T216" s="6">
        <v>6.68</v>
      </c>
      <c r="U216" s="6">
        <v>0.13</v>
      </c>
      <c r="V216" s="6">
        <v>3.16</v>
      </c>
      <c r="W216" s="6">
        <v>9.2899999999999991</v>
      </c>
      <c r="X216" s="6">
        <v>2.23</v>
      </c>
      <c r="Y216" s="6">
        <v>1.77</v>
      </c>
      <c r="Z216" s="6">
        <v>1.38</v>
      </c>
      <c r="AA216" s="6">
        <v>0.02</v>
      </c>
      <c r="AB216" s="6">
        <v>99.03</v>
      </c>
      <c r="AC216" s="15"/>
      <c r="AD216" s="14"/>
      <c r="AE216" s="6" t="s">
        <v>1140</v>
      </c>
      <c r="AG216" s="6" t="s">
        <v>1184</v>
      </c>
    </row>
    <row r="217" spans="1:33" s="6" customFormat="1">
      <c r="A217" s="8" t="s">
        <v>1098</v>
      </c>
      <c r="B217" s="6">
        <v>3</v>
      </c>
      <c r="C217" s="8" t="s">
        <v>935</v>
      </c>
      <c r="D217" s="6">
        <v>1155</v>
      </c>
      <c r="E217" s="6">
        <v>1E-4</v>
      </c>
      <c r="F217" s="11">
        <f t="shared" si="15"/>
        <v>259200</v>
      </c>
      <c r="G217" s="9">
        <v>2.105112364703506E-12</v>
      </c>
      <c r="H217" s="10">
        <f t="shared" si="14"/>
        <v>1.4773559150470799</v>
      </c>
      <c r="I217" s="13" t="s">
        <v>826</v>
      </c>
      <c r="P217" s="6">
        <v>58.51</v>
      </c>
      <c r="Q217" s="6">
        <v>2.19</v>
      </c>
      <c r="R217" s="6">
        <v>14.45</v>
      </c>
      <c r="S217" s="14"/>
      <c r="T217" s="6">
        <v>5.4</v>
      </c>
      <c r="U217" s="6">
        <v>0.12</v>
      </c>
      <c r="V217" s="6">
        <v>3.1</v>
      </c>
      <c r="W217" s="6">
        <v>9.7799999999999994</v>
      </c>
      <c r="X217" s="6">
        <v>2.04</v>
      </c>
      <c r="Y217" s="6">
        <v>1.37</v>
      </c>
      <c r="Z217" s="6">
        <v>1.9</v>
      </c>
      <c r="AA217" s="6">
        <v>0.45</v>
      </c>
      <c r="AB217" s="6">
        <v>99.86</v>
      </c>
      <c r="AC217" s="15"/>
      <c r="AD217" s="14"/>
      <c r="AE217" s="6" t="s">
        <v>1140</v>
      </c>
      <c r="AG217" s="6" t="s">
        <v>1184</v>
      </c>
    </row>
    <row r="218" spans="1:33" s="6" customFormat="1">
      <c r="A218" s="8" t="s">
        <v>1098</v>
      </c>
      <c r="B218" s="6">
        <v>4</v>
      </c>
      <c r="C218" s="8" t="s">
        <v>935</v>
      </c>
      <c r="D218" s="6">
        <v>1165</v>
      </c>
      <c r="E218" s="6">
        <v>1E-4</v>
      </c>
      <c r="F218" s="11">
        <f t="shared" si="15"/>
        <v>259200</v>
      </c>
      <c r="G218" s="9">
        <v>2.2943606172813401E-12</v>
      </c>
      <c r="H218" s="10">
        <f t="shared" si="14"/>
        <v>1.5423336500243043</v>
      </c>
      <c r="I218" s="13" t="s">
        <v>826</v>
      </c>
      <c r="P218" s="6">
        <v>39.380000000000003</v>
      </c>
      <c r="Q218" s="6">
        <v>3.05</v>
      </c>
      <c r="R218" s="6">
        <v>10.77</v>
      </c>
      <c r="S218" s="14"/>
      <c r="T218" s="6">
        <v>10.1</v>
      </c>
      <c r="U218" s="6">
        <v>0.23</v>
      </c>
      <c r="V218" s="6">
        <v>10.050000000000001</v>
      </c>
      <c r="W218" s="6">
        <v>19.5</v>
      </c>
      <c r="X218" s="6">
        <v>1.73</v>
      </c>
      <c r="Y218" s="6">
        <v>0.3</v>
      </c>
      <c r="Z218" s="6">
        <v>4.91</v>
      </c>
      <c r="AA218" s="6">
        <v>0.05</v>
      </c>
      <c r="AB218" s="6">
        <v>100.02</v>
      </c>
      <c r="AC218" s="15"/>
      <c r="AD218" s="14"/>
      <c r="AE218" s="6" t="s">
        <v>1140</v>
      </c>
      <c r="AG218" s="6" t="s">
        <v>1184</v>
      </c>
    </row>
    <row r="219" spans="1:33" s="6" customFormat="1">
      <c r="A219" s="8" t="s">
        <v>1098</v>
      </c>
      <c r="B219" s="6">
        <v>5</v>
      </c>
      <c r="C219" s="8" t="s">
        <v>935</v>
      </c>
      <c r="D219" s="6">
        <v>1165</v>
      </c>
      <c r="E219" s="6">
        <v>1E-4</v>
      </c>
      <c r="F219" s="11">
        <f t="shared" si="15"/>
        <v>259200</v>
      </c>
      <c r="G219" s="9">
        <v>2.2943606172813401E-12</v>
      </c>
      <c r="H219" s="10">
        <f t="shared" si="14"/>
        <v>1.5423336500243043</v>
      </c>
      <c r="I219" s="13" t="s">
        <v>826</v>
      </c>
      <c r="P219" s="6">
        <v>41.89</v>
      </c>
      <c r="Q219" s="6">
        <v>2</v>
      </c>
      <c r="R219" s="6">
        <v>12.47</v>
      </c>
      <c r="S219" s="14"/>
      <c r="T219" s="6">
        <v>9.43</v>
      </c>
      <c r="U219" s="6">
        <v>0.13</v>
      </c>
      <c r="V219" s="6">
        <v>9.01</v>
      </c>
      <c r="W219" s="6">
        <v>16.55</v>
      </c>
      <c r="X219" s="6">
        <v>1.37</v>
      </c>
      <c r="Y219" s="6">
        <v>0.2</v>
      </c>
      <c r="Z219" s="6">
        <v>4.9400000000000004</v>
      </c>
      <c r="AA219" s="6">
        <v>0.15</v>
      </c>
      <c r="AB219" s="6">
        <v>97.99</v>
      </c>
      <c r="AC219" s="15"/>
      <c r="AD219" s="14"/>
      <c r="AE219" s="6" t="s">
        <v>1141</v>
      </c>
      <c r="AG219" s="6" t="s">
        <v>1184</v>
      </c>
    </row>
    <row r="220" spans="1:33" s="6" customFormat="1">
      <c r="A220" s="8" t="s">
        <v>1098</v>
      </c>
      <c r="B220" s="6">
        <v>6</v>
      </c>
      <c r="C220" s="8" t="s">
        <v>935</v>
      </c>
      <c r="D220" s="6">
        <v>1165</v>
      </c>
      <c r="E220" s="6">
        <v>1E-4</v>
      </c>
      <c r="F220" s="11">
        <f t="shared" si="15"/>
        <v>259200</v>
      </c>
      <c r="G220" s="9">
        <v>2.2943606172813401E-12</v>
      </c>
      <c r="H220" s="10">
        <f t="shared" si="14"/>
        <v>1.5423336500243043</v>
      </c>
      <c r="I220" s="13" t="s">
        <v>826</v>
      </c>
      <c r="P220" s="6">
        <v>40.64</v>
      </c>
      <c r="Q220" s="6">
        <v>2.5099999999999998</v>
      </c>
      <c r="R220" s="6">
        <v>13.18</v>
      </c>
      <c r="S220" s="14"/>
      <c r="T220" s="6">
        <v>9.02</v>
      </c>
      <c r="U220" s="6">
        <v>0.23</v>
      </c>
      <c r="V220" s="6">
        <v>6.55</v>
      </c>
      <c r="W220" s="6">
        <v>17.64</v>
      </c>
      <c r="X220" s="6">
        <v>2.64</v>
      </c>
      <c r="Y220" s="6">
        <v>0.91</v>
      </c>
      <c r="Z220" s="6">
        <v>4.78</v>
      </c>
      <c r="AA220" s="6">
        <v>0.09</v>
      </c>
      <c r="AB220" s="6">
        <v>98.11</v>
      </c>
      <c r="AC220" s="15"/>
      <c r="AD220" s="14"/>
      <c r="AE220" s="6" t="s">
        <v>1141</v>
      </c>
      <c r="AG220" s="6" t="s">
        <v>1184</v>
      </c>
    </row>
    <row r="221" spans="1:33" s="6" customFormat="1">
      <c r="A221" s="8" t="s">
        <v>1098</v>
      </c>
      <c r="B221" s="6">
        <v>7</v>
      </c>
      <c r="C221" s="8" t="s">
        <v>935</v>
      </c>
      <c r="D221" s="6">
        <v>1165</v>
      </c>
      <c r="E221" s="6">
        <v>1E-4</v>
      </c>
      <c r="F221" s="11">
        <f t="shared" si="15"/>
        <v>259200</v>
      </c>
      <c r="G221" s="9">
        <v>2.2943606172813401E-12</v>
      </c>
      <c r="H221" s="10">
        <f t="shared" si="14"/>
        <v>1.5423336500243043</v>
      </c>
      <c r="I221" s="13" t="s">
        <v>826</v>
      </c>
      <c r="P221" s="6">
        <v>41.07</v>
      </c>
      <c r="Q221" s="6">
        <v>2.67</v>
      </c>
      <c r="R221" s="6">
        <v>11.81</v>
      </c>
      <c r="S221" s="14"/>
      <c r="T221" s="6">
        <v>8.2100000000000009</v>
      </c>
      <c r="U221" s="6">
        <v>0.18</v>
      </c>
      <c r="V221" s="6">
        <v>9.14</v>
      </c>
      <c r="W221" s="6">
        <v>17.32</v>
      </c>
      <c r="X221" s="6">
        <v>2.88</v>
      </c>
      <c r="Y221" s="6">
        <v>0.65</v>
      </c>
      <c r="Z221" s="6">
        <v>4.57</v>
      </c>
      <c r="AA221" s="6">
        <v>7.0000000000000007E-2</v>
      </c>
      <c r="AB221" s="6">
        <v>98.5</v>
      </c>
      <c r="AC221" s="15"/>
      <c r="AD221" s="14"/>
      <c r="AE221" s="6" t="s">
        <v>1141</v>
      </c>
      <c r="AG221" s="6" t="s">
        <v>1184</v>
      </c>
    </row>
    <row r="222" spans="1:33" s="6" customFormat="1">
      <c r="A222" s="8" t="s">
        <v>1098</v>
      </c>
      <c r="B222" s="6">
        <v>8</v>
      </c>
      <c r="C222" s="8" t="s">
        <v>935</v>
      </c>
      <c r="D222" s="6">
        <v>1200</v>
      </c>
      <c r="E222" s="6">
        <v>1E-4</v>
      </c>
      <c r="F222" s="11">
        <f t="shared" si="15"/>
        <v>259200</v>
      </c>
      <c r="G222" s="9">
        <v>3.0726772825868176E-12</v>
      </c>
      <c r="H222" s="10">
        <f t="shared" si="14"/>
        <v>1.7848674479036286</v>
      </c>
      <c r="I222" s="13" t="s">
        <v>826</v>
      </c>
      <c r="P222" s="6">
        <v>40.5</v>
      </c>
      <c r="Q222" s="6">
        <v>1.85</v>
      </c>
      <c r="R222" s="6">
        <v>11.58</v>
      </c>
      <c r="S222" s="14"/>
      <c r="T222" s="6">
        <v>12.64</v>
      </c>
      <c r="U222" s="6">
        <v>0.11</v>
      </c>
      <c r="V222" s="6">
        <v>8.14</v>
      </c>
      <c r="W222" s="6">
        <v>17.52</v>
      </c>
      <c r="X222" s="6">
        <v>1.08</v>
      </c>
      <c r="Y222" s="6">
        <v>0.16</v>
      </c>
      <c r="Z222" s="6">
        <v>6.81</v>
      </c>
      <c r="AA222" s="6">
        <v>0.11</v>
      </c>
      <c r="AB222" s="6">
        <v>100.39</v>
      </c>
      <c r="AC222" s="15"/>
      <c r="AD222" s="14"/>
      <c r="AE222" s="6" t="s">
        <v>1141</v>
      </c>
      <c r="AG222" s="6" t="s">
        <v>1184</v>
      </c>
    </row>
    <row r="223" spans="1:33" s="6" customFormat="1">
      <c r="A223" s="8" t="s">
        <v>1098</v>
      </c>
      <c r="B223" s="6">
        <v>9</v>
      </c>
      <c r="C223" s="8" t="s">
        <v>935</v>
      </c>
      <c r="D223" s="6">
        <v>1200</v>
      </c>
      <c r="E223" s="6">
        <v>1E-4</v>
      </c>
      <c r="F223" s="11">
        <f t="shared" si="15"/>
        <v>259200</v>
      </c>
      <c r="G223" s="9">
        <v>3.0726772825868176E-12</v>
      </c>
      <c r="H223" s="10">
        <f t="shared" si="14"/>
        <v>1.7848674479036286</v>
      </c>
      <c r="I223" s="13" t="s">
        <v>826</v>
      </c>
      <c r="P223" s="6">
        <v>37.590000000000003</v>
      </c>
      <c r="Q223" s="6">
        <v>1.8</v>
      </c>
      <c r="R223" s="6">
        <v>11.45</v>
      </c>
      <c r="S223" s="14"/>
      <c r="T223" s="6">
        <v>10.38</v>
      </c>
      <c r="U223" s="6">
        <v>0.16</v>
      </c>
      <c r="V223" s="6">
        <v>6.88</v>
      </c>
      <c r="W223" s="6">
        <v>21.75</v>
      </c>
      <c r="X223" s="6">
        <v>1.7</v>
      </c>
      <c r="Y223" s="6">
        <v>0.43</v>
      </c>
      <c r="Z223" s="6">
        <v>6.82</v>
      </c>
      <c r="AA223" s="6">
        <v>0.11</v>
      </c>
      <c r="AB223" s="6">
        <v>98.96</v>
      </c>
      <c r="AC223" s="15"/>
      <c r="AD223" s="14"/>
      <c r="AE223" s="6" t="s">
        <v>1141</v>
      </c>
      <c r="AG223" s="6" t="s">
        <v>1184</v>
      </c>
    </row>
    <row r="224" spans="1:33" s="6" customFormat="1">
      <c r="A224" s="8" t="s">
        <v>1098</v>
      </c>
      <c r="B224" s="6">
        <v>10</v>
      </c>
      <c r="C224" s="8" t="s">
        <v>935</v>
      </c>
      <c r="D224" s="6">
        <v>1200</v>
      </c>
      <c r="E224" s="6">
        <v>1E-4</v>
      </c>
      <c r="F224" s="11">
        <f t="shared" si="15"/>
        <v>259200</v>
      </c>
      <c r="G224" s="9">
        <v>3.0726772825868176E-12</v>
      </c>
      <c r="H224" s="10">
        <f t="shared" si="14"/>
        <v>1.7848674479036286</v>
      </c>
      <c r="I224" s="13" t="s">
        <v>826</v>
      </c>
      <c r="P224" s="6">
        <v>38.85</v>
      </c>
      <c r="Q224" s="6">
        <v>2.3199999999999998</v>
      </c>
      <c r="R224" s="6">
        <v>10.46</v>
      </c>
      <c r="S224" s="14"/>
      <c r="T224" s="6">
        <v>8.65</v>
      </c>
      <c r="U224" s="6">
        <v>0.13</v>
      </c>
      <c r="V224" s="6">
        <v>10.039999999999999</v>
      </c>
      <c r="W224" s="6">
        <v>18.940000000000001</v>
      </c>
      <c r="X224" s="6">
        <v>2.02</v>
      </c>
      <c r="Y224" s="6">
        <v>0.38</v>
      </c>
      <c r="Z224" s="6">
        <v>5.98</v>
      </c>
      <c r="AA224" s="6">
        <v>0.09</v>
      </c>
      <c r="AB224" s="6">
        <v>97.77</v>
      </c>
      <c r="AC224" s="15"/>
      <c r="AD224" s="14"/>
      <c r="AE224" s="6" t="s">
        <v>1117</v>
      </c>
      <c r="AG224" s="6" t="s">
        <v>1184</v>
      </c>
    </row>
    <row r="225" spans="1:33" s="6" customFormat="1">
      <c r="A225" s="8" t="s">
        <v>1098</v>
      </c>
      <c r="B225" s="6">
        <v>11</v>
      </c>
      <c r="C225" s="8" t="s">
        <v>935</v>
      </c>
      <c r="D225" s="6">
        <v>1200</v>
      </c>
      <c r="E225" s="6">
        <v>1E-4</v>
      </c>
      <c r="F225" s="11">
        <f t="shared" si="15"/>
        <v>259200</v>
      </c>
      <c r="G225" s="9">
        <v>3.0726772825868176E-12</v>
      </c>
      <c r="H225" s="10">
        <f t="shared" si="14"/>
        <v>1.7848674479036286</v>
      </c>
      <c r="I225" s="13" t="s">
        <v>826</v>
      </c>
      <c r="P225" s="6">
        <v>32.42</v>
      </c>
      <c r="Q225" s="6">
        <v>2.12</v>
      </c>
      <c r="R225" s="6">
        <v>8.86</v>
      </c>
      <c r="S225" s="14"/>
      <c r="T225" s="6">
        <v>7.73</v>
      </c>
      <c r="U225" s="6">
        <v>0.21</v>
      </c>
      <c r="V225" s="6">
        <v>8.07</v>
      </c>
      <c r="W225" s="6">
        <v>25.95</v>
      </c>
      <c r="X225" s="6">
        <v>3.37</v>
      </c>
      <c r="Y225" s="6">
        <v>0.92</v>
      </c>
      <c r="Z225" s="6">
        <v>8.02</v>
      </c>
      <c r="AA225" s="6">
        <v>0.14000000000000001</v>
      </c>
      <c r="AB225" s="6">
        <v>97.67</v>
      </c>
      <c r="AC225" s="15"/>
      <c r="AD225" s="14"/>
      <c r="AE225" s="6" t="s">
        <v>1141</v>
      </c>
      <c r="AG225" s="6" t="s">
        <v>1184</v>
      </c>
    </row>
    <row r="226" spans="1:33" s="6" customFormat="1">
      <c r="A226" s="8" t="s">
        <v>1098</v>
      </c>
      <c r="B226" s="6">
        <v>12</v>
      </c>
      <c r="C226" s="8" t="s">
        <v>935</v>
      </c>
      <c r="D226" s="6">
        <v>1165</v>
      </c>
      <c r="E226" s="6">
        <v>1E-4</v>
      </c>
      <c r="F226" s="11">
        <f t="shared" si="15"/>
        <v>259200</v>
      </c>
      <c r="G226" s="9">
        <v>2.2943606172813401E-12</v>
      </c>
      <c r="H226" s="10">
        <f t="shared" si="14"/>
        <v>1.5423336500243043</v>
      </c>
      <c r="I226" s="13" t="s">
        <v>826</v>
      </c>
      <c r="P226" s="6">
        <v>34.69</v>
      </c>
      <c r="Q226" s="6">
        <v>2.25</v>
      </c>
      <c r="R226" s="6">
        <v>9.49</v>
      </c>
      <c r="S226" s="14"/>
      <c r="T226" s="6">
        <v>6.77</v>
      </c>
      <c r="U226" s="6">
        <v>0.18</v>
      </c>
      <c r="V226" s="6">
        <v>9.1999999999999993</v>
      </c>
      <c r="W226" s="6">
        <v>22.73</v>
      </c>
      <c r="X226" s="6">
        <v>3.96</v>
      </c>
      <c r="Y226" s="6">
        <v>1.1200000000000001</v>
      </c>
      <c r="Z226" s="6">
        <v>7.78</v>
      </c>
      <c r="AA226" s="6">
        <v>0.11</v>
      </c>
      <c r="AB226" s="6">
        <v>98.17</v>
      </c>
      <c r="AC226" s="15"/>
      <c r="AD226" s="14"/>
      <c r="AE226" s="6" t="s">
        <v>1141</v>
      </c>
      <c r="AG226" s="6" t="s">
        <v>1184</v>
      </c>
    </row>
    <row r="227" spans="1:33" s="6" customFormat="1">
      <c r="A227" s="8" t="s">
        <v>1098</v>
      </c>
      <c r="B227" s="6">
        <v>13</v>
      </c>
      <c r="C227" s="8" t="s">
        <v>935</v>
      </c>
      <c r="D227" s="6">
        <v>1200</v>
      </c>
      <c r="E227" s="6">
        <v>1E-4</v>
      </c>
      <c r="F227" s="11">
        <f t="shared" si="15"/>
        <v>259200</v>
      </c>
      <c r="G227" s="9">
        <v>3.0726772825868176E-12</v>
      </c>
      <c r="H227" s="10">
        <f t="shared" si="14"/>
        <v>1.7848674479036286</v>
      </c>
      <c r="I227" s="13" t="s">
        <v>826</v>
      </c>
      <c r="P227" s="6">
        <v>55.46</v>
      </c>
      <c r="Q227" s="6">
        <v>2.38</v>
      </c>
      <c r="R227" s="6">
        <v>13.31</v>
      </c>
      <c r="S227" s="14"/>
      <c r="T227" s="6">
        <v>6.22</v>
      </c>
      <c r="U227" s="6">
        <v>0.13</v>
      </c>
      <c r="V227" s="6">
        <v>3.76</v>
      </c>
      <c r="W227" s="6">
        <v>12.09</v>
      </c>
      <c r="X227" s="6">
        <v>2.0299999999999998</v>
      </c>
      <c r="Y227" s="6">
        <v>0.89</v>
      </c>
      <c r="Z227" s="6">
        <v>3.06</v>
      </c>
      <c r="AA227" s="6">
        <v>0.02</v>
      </c>
      <c r="AB227" s="6">
        <v>99.33</v>
      </c>
      <c r="AC227" s="15"/>
      <c r="AD227" s="14"/>
      <c r="AE227" s="6" t="s">
        <v>1141</v>
      </c>
      <c r="AG227" s="6" t="s">
        <v>1184</v>
      </c>
    </row>
    <row r="228" spans="1:33" s="6" customFormat="1">
      <c r="A228" s="8" t="s">
        <v>1098</v>
      </c>
      <c r="B228" s="6">
        <v>14</v>
      </c>
      <c r="C228" s="8" t="s">
        <v>935</v>
      </c>
      <c r="D228" s="6">
        <v>1200</v>
      </c>
      <c r="E228" s="6">
        <v>1E-4</v>
      </c>
      <c r="F228" s="11">
        <f t="shared" si="15"/>
        <v>259200</v>
      </c>
      <c r="G228" s="9">
        <v>3.0726772825868176E-12</v>
      </c>
      <c r="H228" s="10">
        <f t="shared" si="14"/>
        <v>1.7848674479036286</v>
      </c>
      <c r="I228" s="13" t="s">
        <v>826</v>
      </c>
      <c r="P228" s="6">
        <v>62.28</v>
      </c>
      <c r="Q228" s="6">
        <v>2.11</v>
      </c>
      <c r="R228" s="6">
        <v>15.08</v>
      </c>
      <c r="S228" s="14"/>
      <c r="T228" s="6">
        <v>3.64</v>
      </c>
      <c r="U228" s="6">
        <v>0.05</v>
      </c>
      <c r="V228" s="6">
        <v>2.67</v>
      </c>
      <c r="W228" s="6">
        <v>9.24</v>
      </c>
      <c r="X228" s="6">
        <v>1.87</v>
      </c>
      <c r="Y228" s="6">
        <v>1.25</v>
      </c>
      <c r="Z228" s="6">
        <v>2.0299999999999998</v>
      </c>
      <c r="AA228" s="6">
        <v>0.18</v>
      </c>
      <c r="AB228" s="6">
        <v>100.22</v>
      </c>
      <c r="AC228" s="15"/>
      <c r="AD228" s="14"/>
      <c r="AE228" s="6" t="s">
        <v>1140</v>
      </c>
      <c r="AG228" s="6" t="s">
        <v>1184</v>
      </c>
    </row>
    <row r="229" spans="1:33" s="6" customFormat="1">
      <c r="A229" s="8" t="s">
        <v>1098</v>
      </c>
      <c r="B229" s="6">
        <v>15</v>
      </c>
      <c r="C229" s="8" t="s">
        <v>935</v>
      </c>
      <c r="D229" s="6">
        <v>1200</v>
      </c>
      <c r="E229" s="6">
        <v>1E-4</v>
      </c>
      <c r="F229" s="11">
        <f t="shared" si="15"/>
        <v>259200</v>
      </c>
      <c r="G229" s="9">
        <v>3.0726772825868176E-12</v>
      </c>
      <c r="H229" s="10">
        <f t="shared" si="14"/>
        <v>1.7848674479036286</v>
      </c>
      <c r="I229" s="13" t="s">
        <v>826</v>
      </c>
      <c r="P229" s="6">
        <v>55.46</v>
      </c>
      <c r="Q229" s="6">
        <v>2.0499999999999998</v>
      </c>
      <c r="R229" s="6">
        <v>13.2</v>
      </c>
      <c r="S229" s="14"/>
      <c r="T229" s="6">
        <v>8.9499999999999993</v>
      </c>
      <c r="U229" s="6">
        <v>0.13</v>
      </c>
      <c r="V229" s="6">
        <v>3.06</v>
      </c>
      <c r="W229" s="6">
        <v>9.65</v>
      </c>
      <c r="X229" s="6">
        <v>2.38</v>
      </c>
      <c r="Y229" s="6">
        <v>1.71</v>
      </c>
      <c r="Z229" s="6">
        <v>2.33</v>
      </c>
      <c r="AA229" s="6">
        <v>0.11</v>
      </c>
      <c r="AB229" s="6">
        <v>98.92</v>
      </c>
      <c r="AC229" s="15"/>
      <c r="AD229" s="14"/>
      <c r="AE229" s="6" t="s">
        <v>1140</v>
      </c>
      <c r="AG229" s="6" t="s">
        <v>1184</v>
      </c>
    </row>
    <row r="230" spans="1:33" s="6" customFormat="1">
      <c r="A230" s="8" t="s">
        <v>1098</v>
      </c>
      <c r="B230" s="6">
        <v>16</v>
      </c>
      <c r="C230" s="8" t="s">
        <v>935</v>
      </c>
      <c r="D230" s="6">
        <v>1200</v>
      </c>
      <c r="E230" s="6">
        <v>1E-4</v>
      </c>
      <c r="F230" s="11">
        <f t="shared" si="15"/>
        <v>259200</v>
      </c>
      <c r="G230" s="9">
        <v>3.0726772825868176E-12</v>
      </c>
      <c r="H230" s="10">
        <f t="shared" si="14"/>
        <v>1.7848674479036286</v>
      </c>
      <c r="I230" s="13" t="s">
        <v>826</v>
      </c>
      <c r="P230" s="6">
        <v>43.43</v>
      </c>
      <c r="Q230" s="6">
        <v>1.52</v>
      </c>
      <c r="R230" s="6">
        <v>12.92</v>
      </c>
      <c r="S230" s="14"/>
      <c r="T230" s="6">
        <v>8.44</v>
      </c>
      <c r="U230" s="6">
        <v>0.13</v>
      </c>
      <c r="V230" s="6">
        <v>5.48</v>
      </c>
      <c r="W230" s="6">
        <v>19.3</v>
      </c>
      <c r="X230" s="6">
        <v>2.39</v>
      </c>
      <c r="Y230" s="6">
        <v>0.15</v>
      </c>
      <c r="Z230" s="6">
        <v>5.96</v>
      </c>
      <c r="AA230" s="6">
        <v>0.14000000000000001</v>
      </c>
      <c r="AB230" s="6">
        <v>99.72</v>
      </c>
      <c r="AC230" s="15"/>
      <c r="AD230" s="14"/>
      <c r="AE230" s="6" t="s">
        <v>1141</v>
      </c>
      <c r="AG230" s="6" t="s">
        <v>1184</v>
      </c>
    </row>
    <row r="231" spans="1:33" s="6" customFormat="1">
      <c r="A231" s="8" t="s">
        <v>1098</v>
      </c>
      <c r="B231" s="6">
        <v>17</v>
      </c>
      <c r="C231" s="8" t="s">
        <v>935</v>
      </c>
      <c r="D231" s="6">
        <v>1200</v>
      </c>
      <c r="E231" s="6">
        <v>1E-4</v>
      </c>
      <c r="F231" s="11">
        <f t="shared" si="15"/>
        <v>259200</v>
      </c>
      <c r="G231" s="9">
        <v>3.0726772825868176E-12</v>
      </c>
      <c r="H231" s="10">
        <f t="shared" si="14"/>
        <v>1.7848674479036286</v>
      </c>
      <c r="I231" s="13" t="s">
        <v>826</v>
      </c>
      <c r="P231" s="6">
        <v>36.01</v>
      </c>
      <c r="Q231" s="6">
        <v>2.35</v>
      </c>
      <c r="R231" s="6">
        <v>8.1999999999999993</v>
      </c>
      <c r="S231" s="14"/>
      <c r="T231" s="6">
        <v>7.67</v>
      </c>
      <c r="U231" s="6">
        <v>0.18</v>
      </c>
      <c r="V231" s="6">
        <v>12.93</v>
      </c>
      <c r="W231" s="6">
        <v>20.54</v>
      </c>
      <c r="X231" s="6">
        <v>2.7</v>
      </c>
      <c r="Y231" s="6">
        <v>0.84</v>
      </c>
      <c r="Z231" s="6">
        <v>7.21</v>
      </c>
      <c r="AA231" s="6">
        <v>0.04</v>
      </c>
      <c r="AB231" s="6">
        <v>98.63</v>
      </c>
      <c r="AC231" s="15"/>
      <c r="AD231" s="14"/>
      <c r="AE231" s="6" t="s">
        <v>1141</v>
      </c>
      <c r="AG231" s="6" t="s">
        <v>1184</v>
      </c>
    </row>
    <row r="232" spans="1:33" s="6" customFormat="1">
      <c r="A232" s="8" t="s">
        <v>1098</v>
      </c>
      <c r="B232" s="6">
        <v>18</v>
      </c>
      <c r="C232" s="8" t="s">
        <v>935</v>
      </c>
      <c r="D232" s="6">
        <v>1200</v>
      </c>
      <c r="E232" s="6">
        <v>1E-4</v>
      </c>
      <c r="F232" s="11">
        <f t="shared" si="15"/>
        <v>259200</v>
      </c>
      <c r="G232" s="9">
        <v>3.0726772825868176E-12</v>
      </c>
      <c r="H232" s="10">
        <f t="shared" si="14"/>
        <v>1.7848674479036286</v>
      </c>
      <c r="I232" s="13" t="s">
        <v>826</v>
      </c>
      <c r="P232" s="6">
        <v>35.97</v>
      </c>
      <c r="Q232" s="6">
        <v>2.54</v>
      </c>
      <c r="R232" s="6">
        <v>9.27</v>
      </c>
      <c r="S232" s="14"/>
      <c r="T232" s="6">
        <v>9.32</v>
      </c>
      <c r="U232" s="6">
        <v>0.19</v>
      </c>
      <c r="V232" s="6">
        <v>12.67</v>
      </c>
      <c r="W232" s="6">
        <v>21.01</v>
      </c>
      <c r="X232" s="6">
        <v>1.04</v>
      </c>
      <c r="Y232" s="6">
        <v>0.18</v>
      </c>
      <c r="Z232" s="6">
        <v>7.54</v>
      </c>
      <c r="AA232" s="6">
        <v>0.02</v>
      </c>
      <c r="AB232" s="6">
        <v>99.71</v>
      </c>
      <c r="AC232" s="15"/>
      <c r="AD232" s="14"/>
      <c r="AE232" s="6" t="s">
        <v>1141</v>
      </c>
      <c r="AG232" s="6" t="s">
        <v>1184</v>
      </c>
    </row>
    <row r="233" spans="1:33" s="6" customFormat="1">
      <c r="A233" s="8" t="s">
        <v>1098</v>
      </c>
      <c r="B233" s="6">
        <v>19</v>
      </c>
      <c r="C233" s="8" t="s">
        <v>935</v>
      </c>
      <c r="D233" s="6">
        <v>1250</v>
      </c>
      <c r="E233" s="6">
        <v>1E-4</v>
      </c>
      <c r="F233" s="11">
        <f t="shared" si="15"/>
        <v>259200</v>
      </c>
      <c r="G233" s="9">
        <v>4.5564394944268856E-12</v>
      </c>
      <c r="H233" s="10">
        <f t="shared" si="14"/>
        <v>2.1735032707179887</v>
      </c>
      <c r="I233" s="13" t="s">
        <v>826</v>
      </c>
      <c r="P233" s="6">
        <v>55.43</v>
      </c>
      <c r="Q233" s="6">
        <v>2.14</v>
      </c>
      <c r="R233" s="6">
        <v>12.82</v>
      </c>
      <c r="S233" s="14"/>
      <c r="T233" s="6">
        <v>8.2100000000000009</v>
      </c>
      <c r="U233" s="6">
        <v>0.06</v>
      </c>
      <c r="V233" s="6">
        <v>2.89</v>
      </c>
      <c r="W233" s="6">
        <v>12.31</v>
      </c>
      <c r="X233" s="6">
        <v>1.91</v>
      </c>
      <c r="Y233" s="6">
        <v>0.98</v>
      </c>
      <c r="Z233" s="6">
        <v>3.63</v>
      </c>
      <c r="AA233" s="6">
        <v>0.37</v>
      </c>
      <c r="AB233" s="6">
        <v>100.38</v>
      </c>
      <c r="AC233" s="15"/>
      <c r="AD233" s="14"/>
      <c r="AE233" s="6" t="s">
        <v>1140</v>
      </c>
      <c r="AG233" s="6" t="s">
        <v>1184</v>
      </c>
    </row>
    <row r="234" spans="1:33" s="6" customFormat="1">
      <c r="A234" s="8" t="s">
        <v>1098</v>
      </c>
      <c r="B234" s="6">
        <v>20</v>
      </c>
      <c r="C234" s="8" t="s">
        <v>935</v>
      </c>
      <c r="D234" s="6">
        <v>1250</v>
      </c>
      <c r="E234" s="6">
        <v>1E-4</v>
      </c>
      <c r="F234" s="11">
        <f t="shared" si="15"/>
        <v>259200</v>
      </c>
      <c r="G234" s="9">
        <v>4.5564394944268856E-12</v>
      </c>
      <c r="H234" s="10">
        <f t="shared" si="14"/>
        <v>2.1735032707179887</v>
      </c>
      <c r="I234" s="13" t="s">
        <v>826</v>
      </c>
      <c r="P234" s="6">
        <v>49.38</v>
      </c>
      <c r="Q234" s="6">
        <v>1.99</v>
      </c>
      <c r="R234" s="6">
        <v>11.88</v>
      </c>
      <c r="S234" s="14"/>
      <c r="T234" s="6">
        <v>10.49</v>
      </c>
      <c r="U234" s="6">
        <v>0.1</v>
      </c>
      <c r="V234" s="6">
        <v>2.0499999999999998</v>
      </c>
      <c r="W234" s="6">
        <v>15.37</v>
      </c>
      <c r="X234" s="6">
        <v>2.44</v>
      </c>
      <c r="Y234" s="6">
        <v>1.48</v>
      </c>
      <c r="Z234" s="6">
        <v>4.45</v>
      </c>
      <c r="AA234" s="6">
        <v>7.0000000000000007E-2</v>
      </c>
      <c r="AB234" s="6">
        <v>99.61</v>
      </c>
      <c r="AC234" s="15"/>
      <c r="AD234" s="14"/>
      <c r="AE234" s="6" t="s">
        <v>1140</v>
      </c>
      <c r="AG234" s="6" t="s">
        <v>1184</v>
      </c>
    </row>
    <row r="235" spans="1:33" s="6" customFormat="1">
      <c r="A235" s="8" t="s">
        <v>1098</v>
      </c>
      <c r="B235" s="6">
        <v>21</v>
      </c>
      <c r="C235" s="8" t="s">
        <v>935</v>
      </c>
      <c r="D235" s="6">
        <v>1250</v>
      </c>
      <c r="E235" s="6">
        <v>1E-4</v>
      </c>
      <c r="F235" s="11">
        <f t="shared" si="15"/>
        <v>259200</v>
      </c>
      <c r="G235" s="9">
        <v>4.5564394944268856E-12</v>
      </c>
      <c r="H235" s="10">
        <f t="shared" si="14"/>
        <v>2.1735032707179887</v>
      </c>
      <c r="I235" s="13" t="s">
        <v>826</v>
      </c>
      <c r="P235" s="6">
        <v>49.91</v>
      </c>
      <c r="Q235" s="6">
        <v>1.73</v>
      </c>
      <c r="R235" s="6">
        <v>14.56</v>
      </c>
      <c r="S235" s="14"/>
      <c r="T235" s="6">
        <v>2.02</v>
      </c>
      <c r="U235" s="6">
        <v>0.06</v>
      </c>
      <c r="V235" s="6">
        <v>6.79</v>
      </c>
      <c r="W235" s="6">
        <v>20.37</v>
      </c>
      <c r="X235" s="6">
        <v>0.45</v>
      </c>
      <c r="Y235" s="6">
        <v>0.03</v>
      </c>
      <c r="Z235" s="6">
        <v>4.7</v>
      </c>
      <c r="AA235" s="6">
        <v>0.05</v>
      </c>
      <c r="AB235" s="6">
        <v>100.62</v>
      </c>
      <c r="AC235" s="15"/>
      <c r="AD235" s="14"/>
      <c r="AE235" s="6" t="s">
        <v>1140</v>
      </c>
      <c r="AG235" s="6" t="s">
        <v>1184</v>
      </c>
    </row>
    <row r="236" spans="1:33" s="6" customFormat="1">
      <c r="A236" s="8" t="s">
        <v>1098</v>
      </c>
      <c r="B236" s="6">
        <v>22</v>
      </c>
      <c r="C236" s="8" t="s">
        <v>935</v>
      </c>
      <c r="D236" s="6">
        <v>1250</v>
      </c>
      <c r="E236" s="6">
        <v>1E-4</v>
      </c>
      <c r="F236" s="11">
        <f t="shared" si="15"/>
        <v>259200</v>
      </c>
      <c r="G236" s="9">
        <v>4.5564394944268856E-12</v>
      </c>
      <c r="H236" s="10">
        <f t="shared" si="14"/>
        <v>2.1735032707179887</v>
      </c>
      <c r="I236" s="13" t="s">
        <v>826</v>
      </c>
      <c r="P236" s="6">
        <v>43.95</v>
      </c>
      <c r="Q236" s="6">
        <v>1.52</v>
      </c>
      <c r="R236" s="6">
        <v>12.9</v>
      </c>
      <c r="S236" s="14"/>
      <c r="T236" s="6">
        <v>10.130000000000001</v>
      </c>
      <c r="U236" s="6">
        <v>7.0000000000000007E-2</v>
      </c>
      <c r="V236" s="6">
        <v>5.5</v>
      </c>
      <c r="W236" s="6">
        <v>17.96</v>
      </c>
      <c r="X236" s="6">
        <v>1.21</v>
      </c>
      <c r="Y236" s="6">
        <v>0.08</v>
      </c>
      <c r="Z236" s="6">
        <v>6.18</v>
      </c>
      <c r="AA236" s="6">
        <v>0.09</v>
      </c>
      <c r="AB236" s="6">
        <v>99.5</v>
      </c>
      <c r="AC236" s="15"/>
      <c r="AD236" s="14"/>
      <c r="AE236" s="6" t="s">
        <v>1141</v>
      </c>
      <c r="AG236" s="6" t="s">
        <v>1184</v>
      </c>
    </row>
    <row r="237" spans="1:33" s="6" customFormat="1">
      <c r="A237" s="8" t="s">
        <v>1098</v>
      </c>
      <c r="B237" s="6">
        <v>23</v>
      </c>
      <c r="C237" s="8" t="s">
        <v>935</v>
      </c>
      <c r="D237" s="6">
        <v>1200</v>
      </c>
      <c r="E237" s="6">
        <v>1E-4</v>
      </c>
      <c r="F237" s="11">
        <f t="shared" si="15"/>
        <v>259200</v>
      </c>
      <c r="G237" s="9">
        <v>3.0726772825868176E-12</v>
      </c>
      <c r="H237" s="10">
        <f t="shared" ref="H237:H268" si="16">2*SQRT(G237*F237)*1000</f>
        <v>1.7848674479036286</v>
      </c>
      <c r="I237" s="13" t="s">
        <v>826</v>
      </c>
      <c r="P237" s="6">
        <v>32.229999999999997</v>
      </c>
      <c r="Q237" s="6">
        <v>2.19</v>
      </c>
      <c r="R237" s="6">
        <v>7.2</v>
      </c>
      <c r="S237" s="14"/>
      <c r="T237" s="6">
        <v>6.73</v>
      </c>
      <c r="U237" s="6">
        <v>0.13</v>
      </c>
      <c r="V237" s="6">
        <v>9.75</v>
      </c>
      <c r="W237" s="6">
        <v>30.93</v>
      </c>
      <c r="X237" s="6">
        <v>1.05</v>
      </c>
      <c r="Y237" s="6">
        <v>0.34</v>
      </c>
      <c r="Z237" s="6">
        <v>8.43</v>
      </c>
      <c r="AA237" s="6">
        <v>0.06</v>
      </c>
      <c r="AB237" s="6">
        <v>98.98</v>
      </c>
      <c r="AC237" s="15"/>
      <c r="AD237" s="14"/>
      <c r="AE237" s="6" t="s">
        <v>1141</v>
      </c>
      <c r="AG237" s="6" t="s">
        <v>1184</v>
      </c>
    </row>
    <row r="238" spans="1:33" s="6" customFormat="1">
      <c r="A238" s="8" t="s">
        <v>1098</v>
      </c>
      <c r="B238" s="6">
        <v>24</v>
      </c>
      <c r="C238" s="8" t="s">
        <v>935</v>
      </c>
      <c r="D238" s="6">
        <v>1200</v>
      </c>
      <c r="E238" s="6">
        <v>1E-4</v>
      </c>
      <c r="F238" s="11">
        <f t="shared" si="15"/>
        <v>259200</v>
      </c>
      <c r="G238" s="9">
        <v>3.0726772825868176E-12</v>
      </c>
      <c r="H238" s="10">
        <f t="shared" si="16"/>
        <v>1.7848674479036286</v>
      </c>
      <c r="I238" s="13" t="s">
        <v>826</v>
      </c>
      <c r="P238" s="6">
        <v>46</v>
      </c>
      <c r="Q238" s="6">
        <v>1.59</v>
      </c>
      <c r="R238" s="6">
        <v>14.5</v>
      </c>
      <c r="S238" s="14"/>
      <c r="T238" s="6">
        <v>8.7200000000000006</v>
      </c>
      <c r="U238" s="6">
        <v>0.13</v>
      </c>
      <c r="V238" s="6">
        <v>6.33</v>
      </c>
      <c r="W238" s="6">
        <v>15.51</v>
      </c>
      <c r="X238" s="6">
        <v>2.63</v>
      </c>
      <c r="Y238" s="6">
        <v>0.13</v>
      </c>
      <c r="Z238" s="6">
        <v>3.85</v>
      </c>
      <c r="AA238" s="6">
        <v>0.06</v>
      </c>
      <c r="AB238" s="6">
        <v>99.39</v>
      </c>
      <c r="AC238" s="15"/>
      <c r="AD238" s="14"/>
      <c r="AE238" s="6" t="s">
        <v>1140</v>
      </c>
      <c r="AG238" s="6" t="s">
        <v>1184</v>
      </c>
    </row>
    <row r="239" spans="1:33" s="6" customFormat="1">
      <c r="A239" s="8" t="s">
        <v>1098</v>
      </c>
      <c r="B239" s="6">
        <v>25</v>
      </c>
      <c r="C239" s="8" t="s">
        <v>935</v>
      </c>
      <c r="D239" s="6">
        <v>1250</v>
      </c>
      <c r="E239" s="6">
        <v>1E-4</v>
      </c>
      <c r="F239" s="11">
        <f t="shared" si="15"/>
        <v>259200</v>
      </c>
      <c r="G239" s="9">
        <v>4.5564394944268856E-12</v>
      </c>
      <c r="H239" s="10">
        <f t="shared" si="16"/>
        <v>2.1735032707179887</v>
      </c>
      <c r="I239" s="13" t="s">
        <v>826</v>
      </c>
      <c r="P239" s="6">
        <v>32.200000000000003</v>
      </c>
      <c r="Q239" s="6">
        <v>2.14</v>
      </c>
      <c r="R239" s="6">
        <v>7.71</v>
      </c>
      <c r="S239" s="14"/>
      <c r="T239" s="6">
        <v>9.23</v>
      </c>
      <c r="U239" s="6">
        <v>0.16</v>
      </c>
      <c r="V239" s="6">
        <v>12.19</v>
      </c>
      <c r="W239" s="6">
        <v>21.69</v>
      </c>
      <c r="X239" s="6">
        <v>2.75</v>
      </c>
      <c r="Y239" s="6">
        <v>1.06</v>
      </c>
      <c r="Z239" s="6">
        <v>9</v>
      </c>
      <c r="AA239" s="6">
        <v>0.04</v>
      </c>
      <c r="AB239" s="6">
        <v>98.13</v>
      </c>
      <c r="AC239" s="15"/>
      <c r="AD239" s="14"/>
      <c r="AE239" s="6" t="s">
        <v>1141</v>
      </c>
      <c r="AG239" s="6" t="s">
        <v>1184</v>
      </c>
    </row>
    <row r="240" spans="1:33" s="6" customFormat="1">
      <c r="A240" s="8" t="s">
        <v>1098</v>
      </c>
      <c r="B240" s="6">
        <v>26</v>
      </c>
      <c r="C240" s="8" t="s">
        <v>935</v>
      </c>
      <c r="D240" s="6">
        <v>1250</v>
      </c>
      <c r="E240" s="6">
        <v>1E-4</v>
      </c>
      <c r="F240" s="11">
        <f t="shared" si="15"/>
        <v>259200</v>
      </c>
      <c r="G240" s="9">
        <v>4.5564394944268856E-12</v>
      </c>
      <c r="H240" s="10">
        <f t="shared" si="16"/>
        <v>2.1735032707179887</v>
      </c>
      <c r="I240" s="13" t="s">
        <v>826</v>
      </c>
      <c r="P240" s="6">
        <v>58.21</v>
      </c>
      <c r="Q240" s="6">
        <v>0.64</v>
      </c>
      <c r="R240" s="6">
        <v>15.71</v>
      </c>
      <c r="S240" s="14"/>
      <c r="T240" s="6">
        <v>4.3600000000000003</v>
      </c>
      <c r="U240" s="6">
        <v>0.05</v>
      </c>
      <c r="V240" s="6">
        <v>1.56</v>
      </c>
      <c r="W240" s="6">
        <v>11.76</v>
      </c>
      <c r="X240" s="6">
        <v>2.13</v>
      </c>
      <c r="Y240" s="6">
        <v>4.0599999999999996</v>
      </c>
      <c r="Z240" s="6">
        <v>1.89</v>
      </c>
      <c r="AA240" s="6">
        <v>0.05</v>
      </c>
      <c r="AB240" s="6">
        <v>100.37</v>
      </c>
      <c r="AC240" s="15"/>
      <c r="AD240" s="14"/>
      <c r="AE240" s="6" t="s">
        <v>1140</v>
      </c>
      <c r="AG240" s="6" t="s">
        <v>1184</v>
      </c>
    </row>
    <row r="241" spans="1:33" s="6" customFormat="1">
      <c r="A241" s="8" t="s">
        <v>1098</v>
      </c>
      <c r="B241" s="6">
        <v>27</v>
      </c>
      <c r="C241" s="8" t="s">
        <v>935</v>
      </c>
      <c r="D241" s="6">
        <v>1250</v>
      </c>
      <c r="E241" s="6">
        <v>1E-4</v>
      </c>
      <c r="F241" s="11">
        <f t="shared" si="15"/>
        <v>259200</v>
      </c>
      <c r="G241" s="9">
        <v>4.5564394944268856E-12</v>
      </c>
      <c r="H241" s="10">
        <f t="shared" si="16"/>
        <v>2.1735032707179887</v>
      </c>
      <c r="I241" s="13" t="s">
        <v>826</v>
      </c>
      <c r="P241" s="6">
        <v>40.4</v>
      </c>
      <c r="Q241" s="6">
        <v>1.57</v>
      </c>
      <c r="R241" s="6">
        <v>10.14</v>
      </c>
      <c r="S241" s="14"/>
      <c r="T241" s="6">
        <v>18.73</v>
      </c>
      <c r="U241" s="6">
        <v>0.13</v>
      </c>
      <c r="V241" s="6">
        <v>3.17</v>
      </c>
      <c r="W241" s="6">
        <v>13.48</v>
      </c>
      <c r="X241" s="6">
        <v>1.46</v>
      </c>
      <c r="Y241" s="6">
        <v>0.85</v>
      </c>
      <c r="Z241" s="6">
        <v>8.43</v>
      </c>
      <c r="AA241" s="6">
        <v>0.18</v>
      </c>
      <c r="AB241" s="6">
        <v>98.35</v>
      </c>
      <c r="AC241" s="15"/>
      <c r="AD241" s="14"/>
      <c r="AE241" s="6" t="s">
        <v>1154</v>
      </c>
      <c r="AG241" s="6" t="s">
        <v>1184</v>
      </c>
    </row>
    <row r="242" spans="1:33" s="6" customFormat="1">
      <c r="A242" s="8" t="s">
        <v>1098</v>
      </c>
      <c r="B242" s="6">
        <v>28</v>
      </c>
      <c r="C242" s="8" t="s">
        <v>935</v>
      </c>
      <c r="D242" s="6">
        <v>1250</v>
      </c>
      <c r="E242" s="6">
        <v>1E-4</v>
      </c>
      <c r="F242" s="11">
        <f t="shared" si="15"/>
        <v>259200</v>
      </c>
      <c r="G242" s="9">
        <v>4.5564394944268856E-12</v>
      </c>
      <c r="H242" s="10">
        <f t="shared" si="16"/>
        <v>2.1735032707179887</v>
      </c>
      <c r="I242" s="13" t="s">
        <v>826</v>
      </c>
      <c r="P242" s="6">
        <v>27.91</v>
      </c>
      <c r="Q242" s="6">
        <v>1.68</v>
      </c>
      <c r="R242" s="6">
        <v>6.2</v>
      </c>
      <c r="S242" s="14"/>
      <c r="T242" s="6">
        <v>18.98</v>
      </c>
      <c r="U242" s="6">
        <v>0.11</v>
      </c>
      <c r="V242" s="6">
        <v>10.73</v>
      </c>
      <c r="W242" s="6">
        <v>18.95</v>
      </c>
      <c r="X242" s="6">
        <v>0.46</v>
      </c>
      <c r="Y242" s="6">
        <v>0.11</v>
      </c>
      <c r="Z242" s="6">
        <v>13.1</v>
      </c>
      <c r="AA242" s="6">
        <v>7.0000000000000007E-2</v>
      </c>
      <c r="AB242" s="6">
        <v>98.23</v>
      </c>
      <c r="AC242" s="15"/>
      <c r="AD242" s="14"/>
      <c r="AE242" s="6" t="s">
        <v>1154</v>
      </c>
      <c r="AG242" s="6" t="s">
        <v>1184</v>
      </c>
    </row>
    <row r="243" spans="1:33" s="6" customFormat="1">
      <c r="A243" s="8" t="s">
        <v>1098</v>
      </c>
      <c r="B243" s="6">
        <v>29</v>
      </c>
      <c r="C243" s="8" t="s">
        <v>935</v>
      </c>
      <c r="D243" s="6">
        <v>1250</v>
      </c>
      <c r="E243" s="6">
        <v>1E-4</v>
      </c>
      <c r="F243" s="11">
        <f t="shared" si="15"/>
        <v>259200</v>
      </c>
      <c r="G243" s="9">
        <v>4.5564394944268856E-12</v>
      </c>
      <c r="H243" s="10">
        <f t="shared" si="16"/>
        <v>2.1735032707179887</v>
      </c>
      <c r="I243" s="13" t="s">
        <v>826</v>
      </c>
      <c r="P243" s="6">
        <v>29.31</v>
      </c>
      <c r="Q243" s="6">
        <v>2</v>
      </c>
      <c r="R243" s="6">
        <v>7.13</v>
      </c>
      <c r="S243" s="14"/>
      <c r="T243" s="6">
        <v>8.2100000000000009</v>
      </c>
      <c r="U243" s="6">
        <v>0.19</v>
      </c>
      <c r="V243" s="6">
        <v>8.9700000000000006</v>
      </c>
      <c r="W243" s="6">
        <v>30.36</v>
      </c>
      <c r="X243" s="6">
        <v>1.36</v>
      </c>
      <c r="Y243" s="6">
        <v>0.36</v>
      </c>
      <c r="Z243" s="6">
        <v>10.95</v>
      </c>
      <c r="AA243" s="6">
        <v>0.06</v>
      </c>
      <c r="AB243" s="6">
        <v>98.84</v>
      </c>
      <c r="AC243" s="15"/>
      <c r="AD243" s="14"/>
      <c r="AE243" s="6" t="s">
        <v>1141</v>
      </c>
      <c r="AG243" s="6" t="s">
        <v>1184</v>
      </c>
    </row>
    <row r="244" spans="1:33" s="6" customFormat="1">
      <c r="A244" s="8" t="s">
        <v>1098</v>
      </c>
      <c r="B244" s="6">
        <v>30</v>
      </c>
      <c r="C244" s="8" t="s">
        <v>935</v>
      </c>
      <c r="D244" s="6">
        <v>1250</v>
      </c>
      <c r="E244" s="6">
        <v>1E-4</v>
      </c>
      <c r="F244" s="11">
        <f t="shared" si="15"/>
        <v>259200</v>
      </c>
      <c r="G244" s="9">
        <v>4.5564394944268856E-12</v>
      </c>
      <c r="H244" s="10">
        <f t="shared" si="16"/>
        <v>2.1735032707179887</v>
      </c>
      <c r="I244" s="13" t="s">
        <v>826</v>
      </c>
      <c r="P244" s="6">
        <v>48.22</v>
      </c>
      <c r="Q244" s="6">
        <v>1.95</v>
      </c>
      <c r="R244" s="6">
        <v>12.22</v>
      </c>
      <c r="S244" s="14"/>
      <c r="T244" s="6">
        <v>9.68</v>
      </c>
      <c r="U244" s="6">
        <v>0.11</v>
      </c>
      <c r="V244" s="6">
        <v>1.27</v>
      </c>
      <c r="W244" s="6">
        <v>18.66</v>
      </c>
      <c r="X244" s="6">
        <v>2.09</v>
      </c>
      <c r="Y244" s="6">
        <v>1.52</v>
      </c>
      <c r="Z244" s="6">
        <v>3.77</v>
      </c>
      <c r="AA244" s="6">
        <v>0.05</v>
      </c>
      <c r="AB244" s="6">
        <v>99.49</v>
      </c>
      <c r="AC244" s="15"/>
      <c r="AD244" s="14"/>
      <c r="AE244" s="6" t="s">
        <v>1140</v>
      </c>
      <c r="AG244" s="6" t="s">
        <v>1184</v>
      </c>
    </row>
    <row r="245" spans="1:33" s="6" customFormat="1">
      <c r="A245" s="8" t="s">
        <v>1098</v>
      </c>
      <c r="B245" s="6">
        <v>31</v>
      </c>
      <c r="C245" s="8" t="s">
        <v>935</v>
      </c>
      <c r="D245" s="6">
        <v>1250</v>
      </c>
      <c r="E245" s="6">
        <v>1E-4</v>
      </c>
      <c r="F245" s="11">
        <f t="shared" si="15"/>
        <v>259200</v>
      </c>
      <c r="G245" s="9">
        <v>4.5564394944268856E-12</v>
      </c>
      <c r="H245" s="10">
        <f t="shared" si="16"/>
        <v>2.1735032707179887</v>
      </c>
      <c r="I245" s="13" t="s">
        <v>826</v>
      </c>
      <c r="P245" s="6">
        <v>48.71</v>
      </c>
      <c r="Q245" s="6">
        <v>0.73</v>
      </c>
      <c r="R245" s="6">
        <v>15.14</v>
      </c>
      <c r="S245" s="14"/>
      <c r="T245" s="6">
        <v>5.78</v>
      </c>
      <c r="U245" s="6">
        <v>0.13</v>
      </c>
      <c r="V245" s="6">
        <v>1.5</v>
      </c>
      <c r="W245" s="6">
        <v>19.05</v>
      </c>
      <c r="X245" s="6">
        <v>2.11</v>
      </c>
      <c r="Y245" s="6">
        <v>2.27</v>
      </c>
      <c r="Z245" s="6">
        <v>3.43</v>
      </c>
      <c r="AA245" s="6">
        <v>0.05</v>
      </c>
      <c r="AB245" s="6">
        <v>98.85</v>
      </c>
      <c r="AC245" s="15"/>
      <c r="AD245" s="14"/>
      <c r="AE245" s="6" t="s">
        <v>1140</v>
      </c>
      <c r="AG245" s="6" t="s">
        <v>1184</v>
      </c>
    </row>
    <row r="246" spans="1:33" s="6" customFormat="1">
      <c r="A246" s="8" t="s">
        <v>1098</v>
      </c>
      <c r="B246" s="6">
        <v>32</v>
      </c>
      <c r="C246" s="8" t="s">
        <v>935</v>
      </c>
      <c r="D246" s="6">
        <v>1250</v>
      </c>
      <c r="E246" s="6">
        <v>1E-4</v>
      </c>
      <c r="F246" s="11">
        <f t="shared" si="15"/>
        <v>259200</v>
      </c>
      <c r="G246" s="9">
        <v>4.5564394944268856E-12</v>
      </c>
      <c r="H246" s="10">
        <f t="shared" si="16"/>
        <v>2.1735032707179887</v>
      </c>
      <c r="I246" s="13" t="s">
        <v>826</v>
      </c>
      <c r="P246" s="6">
        <v>29.77</v>
      </c>
      <c r="Q246" s="6">
        <v>2.0299999999999998</v>
      </c>
      <c r="R246" s="6">
        <v>8.14</v>
      </c>
      <c r="S246" s="14"/>
      <c r="T246" s="6">
        <v>8.9499999999999993</v>
      </c>
      <c r="U246" s="6">
        <v>0.19</v>
      </c>
      <c r="V246" s="6">
        <v>7.55</v>
      </c>
      <c r="W246" s="6">
        <v>30.71</v>
      </c>
      <c r="X246" s="6">
        <v>1.98</v>
      </c>
      <c r="Y246" s="6">
        <v>0.38</v>
      </c>
      <c r="Z246" s="6">
        <v>10.6</v>
      </c>
      <c r="AA246" s="6">
        <v>0.11</v>
      </c>
      <c r="AB246" s="6">
        <v>100.3</v>
      </c>
      <c r="AC246" s="15"/>
      <c r="AD246" s="14"/>
      <c r="AE246" s="6" t="s">
        <v>1141</v>
      </c>
      <c r="AG246" s="6" t="s">
        <v>1184</v>
      </c>
    </row>
    <row r="247" spans="1:33" s="6" customFormat="1">
      <c r="A247" s="8" t="s">
        <v>1098</v>
      </c>
      <c r="B247" s="6">
        <v>33</v>
      </c>
      <c r="C247" s="8" t="s">
        <v>935</v>
      </c>
      <c r="D247" s="6">
        <v>1250</v>
      </c>
      <c r="E247" s="6">
        <v>1E-4</v>
      </c>
      <c r="F247" s="11">
        <f t="shared" si="15"/>
        <v>259200</v>
      </c>
      <c r="G247" s="9">
        <v>4.5564394944268856E-12</v>
      </c>
      <c r="H247" s="10">
        <f t="shared" si="16"/>
        <v>2.1735032707179887</v>
      </c>
      <c r="I247" s="13" t="s">
        <v>826</v>
      </c>
      <c r="P247" s="6">
        <v>41.3</v>
      </c>
      <c r="Q247" s="6">
        <v>1.45</v>
      </c>
      <c r="R247" s="6">
        <v>11.97</v>
      </c>
      <c r="S247" s="14"/>
      <c r="T247" s="6">
        <v>8</v>
      </c>
      <c r="U247" s="6">
        <v>0.13</v>
      </c>
      <c r="V247" s="6">
        <v>4.57</v>
      </c>
      <c r="W247" s="6">
        <v>22.57</v>
      </c>
      <c r="X247" s="6">
        <v>2.14</v>
      </c>
      <c r="Y247" s="6">
        <v>0.11</v>
      </c>
      <c r="Z247" s="6">
        <v>6.92</v>
      </c>
      <c r="AA247" s="6">
        <v>0.05</v>
      </c>
      <c r="AB247" s="6">
        <v>99.16</v>
      </c>
      <c r="AC247" s="15"/>
      <c r="AD247" s="14"/>
      <c r="AE247" s="6" t="s">
        <v>1141</v>
      </c>
      <c r="AG247" s="6" t="s">
        <v>1184</v>
      </c>
    </row>
    <row r="248" spans="1:33" s="6" customFormat="1">
      <c r="A248" s="8" t="s">
        <v>1098</v>
      </c>
      <c r="B248" s="6">
        <v>34</v>
      </c>
      <c r="C248" s="8" t="s">
        <v>935</v>
      </c>
      <c r="D248" s="6">
        <v>1250</v>
      </c>
      <c r="E248" s="6">
        <v>1E-4</v>
      </c>
      <c r="F248" s="11">
        <f t="shared" si="15"/>
        <v>259200</v>
      </c>
      <c r="G248" s="9">
        <v>4.5564394944268856E-12</v>
      </c>
      <c r="H248" s="10">
        <f t="shared" si="16"/>
        <v>2.1735032707179887</v>
      </c>
      <c r="I248" s="13" t="s">
        <v>826</v>
      </c>
      <c r="P248" s="6">
        <v>35.71</v>
      </c>
      <c r="Q248" s="6">
        <v>1.77</v>
      </c>
      <c r="R248" s="6">
        <v>10.81</v>
      </c>
      <c r="S248" s="14"/>
      <c r="T248" s="6">
        <v>9.8699999999999992</v>
      </c>
      <c r="U248" s="6">
        <v>0.14000000000000001</v>
      </c>
      <c r="V248" s="6">
        <v>5.57</v>
      </c>
      <c r="W248" s="6">
        <v>26.69</v>
      </c>
      <c r="X248" s="6">
        <v>1.36</v>
      </c>
      <c r="Y248" s="6">
        <v>0.3</v>
      </c>
      <c r="Z248" s="6">
        <v>8.1</v>
      </c>
      <c r="AA248" s="6">
        <v>7.0000000000000007E-2</v>
      </c>
      <c r="AB248" s="6">
        <v>100.32</v>
      </c>
      <c r="AC248" s="15"/>
      <c r="AD248" s="14"/>
      <c r="AE248" s="6" t="s">
        <v>1141</v>
      </c>
      <c r="AG248" s="6" t="s">
        <v>1184</v>
      </c>
    </row>
    <row r="249" spans="1:33" s="6" customFormat="1">
      <c r="A249" s="8" t="s">
        <v>1098</v>
      </c>
      <c r="B249" s="6">
        <v>35</v>
      </c>
      <c r="C249" s="8" t="s">
        <v>935</v>
      </c>
      <c r="D249" s="6">
        <v>1250</v>
      </c>
      <c r="E249" s="6">
        <v>1E-4</v>
      </c>
      <c r="F249" s="11">
        <f t="shared" si="15"/>
        <v>259200</v>
      </c>
      <c r="G249" s="9">
        <v>4.5564394944268856E-12</v>
      </c>
      <c r="H249" s="10">
        <f t="shared" si="16"/>
        <v>2.1735032707179887</v>
      </c>
      <c r="I249" s="13" t="s">
        <v>826</v>
      </c>
      <c r="P249" s="6">
        <v>38.04</v>
      </c>
      <c r="Q249" s="6">
        <v>1.58</v>
      </c>
      <c r="R249" s="6">
        <v>9.73</v>
      </c>
      <c r="S249" s="14"/>
      <c r="T249" s="6">
        <v>16.71</v>
      </c>
      <c r="U249" s="6">
        <v>0.1</v>
      </c>
      <c r="V249" s="6">
        <v>6.64</v>
      </c>
      <c r="W249" s="6">
        <v>18.23</v>
      </c>
      <c r="X249" s="6">
        <v>0.8</v>
      </c>
      <c r="Y249" s="6">
        <v>0.15</v>
      </c>
      <c r="Z249" s="6">
        <v>8.43</v>
      </c>
      <c r="AA249" s="6">
        <v>7.0000000000000007E-2</v>
      </c>
      <c r="AB249" s="6">
        <v>100.41</v>
      </c>
      <c r="AC249" s="15"/>
      <c r="AD249" s="14"/>
      <c r="AE249" s="6" t="s">
        <v>1154</v>
      </c>
      <c r="AG249" s="6" t="s">
        <v>1184</v>
      </c>
    </row>
    <row r="250" spans="1:33" s="6" customFormat="1">
      <c r="A250" s="8" t="s">
        <v>1098</v>
      </c>
      <c r="B250" s="6">
        <v>36</v>
      </c>
      <c r="C250" s="8" t="s">
        <v>935</v>
      </c>
      <c r="D250" s="6">
        <v>1250</v>
      </c>
      <c r="E250" s="6">
        <v>1E-4</v>
      </c>
      <c r="F250" s="11">
        <f t="shared" si="15"/>
        <v>259200</v>
      </c>
      <c r="G250" s="9">
        <v>4.5564394944268856E-12</v>
      </c>
      <c r="H250" s="10">
        <f t="shared" si="16"/>
        <v>2.1735032707179887</v>
      </c>
      <c r="I250" s="13" t="s">
        <v>826</v>
      </c>
      <c r="P250" s="6">
        <v>33.28</v>
      </c>
      <c r="Q250" s="6">
        <v>2.2400000000000002</v>
      </c>
      <c r="R250" s="6">
        <v>7.97</v>
      </c>
      <c r="S250" s="14"/>
      <c r="T250" s="6">
        <v>8.17</v>
      </c>
      <c r="U250" s="6">
        <v>0.18</v>
      </c>
      <c r="V250" s="6">
        <v>12.81</v>
      </c>
      <c r="W250" s="6">
        <v>23.5</v>
      </c>
      <c r="X250" s="6">
        <v>0.56000000000000005</v>
      </c>
      <c r="Y250" s="6">
        <v>0.12</v>
      </c>
      <c r="Z250" s="6">
        <v>10.46</v>
      </c>
      <c r="AA250" s="6">
        <v>0.02</v>
      </c>
      <c r="AB250" s="6">
        <v>99.29</v>
      </c>
      <c r="AC250" s="15"/>
      <c r="AD250" s="14"/>
      <c r="AE250" s="6" t="s">
        <v>1141</v>
      </c>
      <c r="AG250" s="6" t="s">
        <v>1184</v>
      </c>
    </row>
    <row r="251" spans="1:33" s="6" customFormat="1">
      <c r="A251" s="8" t="s">
        <v>1098</v>
      </c>
      <c r="B251" s="6">
        <v>37</v>
      </c>
      <c r="C251" s="8" t="s">
        <v>935</v>
      </c>
      <c r="D251" s="6">
        <v>1250</v>
      </c>
      <c r="E251" s="6">
        <v>1E-4</v>
      </c>
      <c r="F251" s="11">
        <f t="shared" si="15"/>
        <v>259200</v>
      </c>
      <c r="G251" s="9">
        <v>4.5564394944268856E-12</v>
      </c>
      <c r="H251" s="10">
        <f t="shared" si="16"/>
        <v>2.1735032707179887</v>
      </c>
      <c r="I251" s="13" t="s">
        <v>826</v>
      </c>
      <c r="P251" s="6">
        <v>37.549999999999997</v>
      </c>
      <c r="Q251" s="6">
        <v>2.4900000000000002</v>
      </c>
      <c r="R251" s="6">
        <v>10.11</v>
      </c>
      <c r="S251" s="14"/>
      <c r="T251" s="6">
        <v>5.09</v>
      </c>
      <c r="U251" s="6">
        <v>0.13</v>
      </c>
      <c r="V251" s="6">
        <v>12.06</v>
      </c>
      <c r="W251" s="6">
        <v>22.16</v>
      </c>
      <c r="X251" s="6">
        <v>1.21</v>
      </c>
      <c r="Y251" s="6">
        <v>0.24</v>
      </c>
      <c r="Z251" s="6">
        <v>8.8699999999999992</v>
      </c>
      <c r="AA251" s="6">
        <v>0.09</v>
      </c>
      <c r="AB251" s="6">
        <v>99.91</v>
      </c>
      <c r="AC251" s="15"/>
      <c r="AD251" s="14"/>
      <c r="AE251" s="6" t="s">
        <v>1141</v>
      </c>
      <c r="AG251" s="6" t="s">
        <v>1184</v>
      </c>
    </row>
    <row r="252" spans="1:33" s="6" customFormat="1">
      <c r="A252" s="8" t="s">
        <v>1098</v>
      </c>
      <c r="B252" s="6">
        <v>38</v>
      </c>
      <c r="C252" s="8" t="s">
        <v>935</v>
      </c>
      <c r="D252" s="6">
        <v>1275</v>
      </c>
      <c r="E252" s="6">
        <v>1E-4</v>
      </c>
      <c r="F252" s="11">
        <f t="shared" si="15"/>
        <v>259200</v>
      </c>
      <c r="G252" s="9">
        <v>5.4958549768650414E-12</v>
      </c>
      <c r="H252" s="10">
        <f t="shared" si="16"/>
        <v>2.3870698439747575</v>
      </c>
      <c r="I252" s="13" t="s">
        <v>826</v>
      </c>
      <c r="P252" s="6">
        <v>56.73</v>
      </c>
      <c r="Q252" s="6">
        <v>2</v>
      </c>
      <c r="R252" s="6">
        <v>12.18</v>
      </c>
      <c r="S252" s="14"/>
      <c r="T252" s="6">
        <v>6.3</v>
      </c>
      <c r="U252" s="6">
        <v>0.06</v>
      </c>
      <c r="V252" s="6">
        <v>2.68</v>
      </c>
      <c r="W252" s="6">
        <v>12.79</v>
      </c>
      <c r="X252" s="6">
        <v>1.79</v>
      </c>
      <c r="Y252" s="6">
        <v>1.06</v>
      </c>
      <c r="Z252" s="6">
        <v>3.71</v>
      </c>
      <c r="AA252" s="6">
        <v>0.23</v>
      </c>
      <c r="AB252" s="6">
        <v>99.3</v>
      </c>
      <c r="AC252" s="15"/>
      <c r="AD252" s="14"/>
      <c r="AE252" s="6" t="s">
        <v>1140</v>
      </c>
      <c r="AG252" s="6" t="s">
        <v>1184</v>
      </c>
    </row>
    <row r="253" spans="1:33" s="6" customFormat="1">
      <c r="A253" s="8" t="s">
        <v>1098</v>
      </c>
      <c r="B253" s="6">
        <v>39</v>
      </c>
      <c r="C253" s="8" t="s">
        <v>935</v>
      </c>
      <c r="D253" s="6">
        <v>1275</v>
      </c>
      <c r="E253" s="6">
        <v>1E-4</v>
      </c>
      <c r="F253" s="11">
        <f t="shared" si="15"/>
        <v>259200</v>
      </c>
      <c r="G253" s="9">
        <v>5.4958549768650414E-12</v>
      </c>
      <c r="H253" s="10">
        <f t="shared" si="16"/>
        <v>2.3870698439747575</v>
      </c>
      <c r="I253" s="13" t="s">
        <v>826</v>
      </c>
      <c r="P253" s="6">
        <v>34.200000000000003</v>
      </c>
      <c r="Q253" s="6">
        <v>2.34</v>
      </c>
      <c r="R253" s="6">
        <v>7.84</v>
      </c>
      <c r="S253" s="14"/>
      <c r="T253" s="6">
        <v>5.69</v>
      </c>
      <c r="U253" s="6">
        <v>0.15</v>
      </c>
      <c r="V253" s="6">
        <v>12.8</v>
      </c>
      <c r="W253" s="6">
        <v>24.38</v>
      </c>
      <c r="X253" s="6">
        <v>0.96</v>
      </c>
      <c r="Y253" s="6">
        <v>0.32</v>
      </c>
      <c r="Z253" s="6">
        <v>11.11</v>
      </c>
      <c r="AA253" s="6">
        <v>0.11</v>
      </c>
      <c r="AB253" s="6">
        <v>99.79</v>
      </c>
      <c r="AC253" s="15"/>
      <c r="AD253" s="14"/>
      <c r="AE253" s="6" t="s">
        <v>1154</v>
      </c>
      <c r="AG253" s="6" t="s">
        <v>1184</v>
      </c>
    </row>
    <row r="254" spans="1:33" s="6" customFormat="1">
      <c r="A254" s="8" t="s">
        <v>1098</v>
      </c>
      <c r="B254" s="6">
        <v>40</v>
      </c>
      <c r="C254" s="8" t="s">
        <v>935</v>
      </c>
      <c r="D254" s="6">
        <v>1275</v>
      </c>
      <c r="E254" s="6">
        <v>1E-4</v>
      </c>
      <c r="F254" s="11">
        <f t="shared" si="15"/>
        <v>259200</v>
      </c>
      <c r="G254" s="9">
        <v>5.4958549768650414E-12</v>
      </c>
      <c r="H254" s="10">
        <f t="shared" si="16"/>
        <v>2.3870698439747575</v>
      </c>
      <c r="I254" s="13" t="s">
        <v>826</v>
      </c>
      <c r="P254" s="6">
        <v>48.09</v>
      </c>
      <c r="Q254" s="6">
        <v>1.96</v>
      </c>
      <c r="R254" s="6">
        <v>11.39</v>
      </c>
      <c r="S254" s="14"/>
      <c r="T254" s="6">
        <v>10.19</v>
      </c>
      <c r="U254" s="6">
        <v>0.15</v>
      </c>
      <c r="V254" s="6">
        <v>1.95</v>
      </c>
      <c r="W254" s="6">
        <v>17.3</v>
      </c>
      <c r="X254" s="6">
        <v>2.23</v>
      </c>
      <c r="Y254" s="6">
        <v>1.6</v>
      </c>
      <c r="Z254" s="6">
        <v>5.21</v>
      </c>
      <c r="AA254" s="6">
        <v>0.09</v>
      </c>
      <c r="AB254" s="6">
        <v>100.07</v>
      </c>
      <c r="AC254" s="15"/>
      <c r="AD254" s="14"/>
      <c r="AE254" s="6" t="s">
        <v>1140</v>
      </c>
      <c r="AG254" s="6" t="s">
        <v>1184</v>
      </c>
    </row>
    <row r="255" spans="1:33" s="6" customFormat="1">
      <c r="A255" s="8" t="s">
        <v>1098</v>
      </c>
      <c r="B255" s="6">
        <v>41</v>
      </c>
      <c r="C255" s="8" t="s">
        <v>935</v>
      </c>
      <c r="D255" s="6">
        <v>1275</v>
      </c>
      <c r="E255" s="6">
        <v>1E-4</v>
      </c>
      <c r="F255" s="11">
        <f t="shared" si="15"/>
        <v>259200</v>
      </c>
      <c r="G255" s="9">
        <v>5.4958549768650414E-12</v>
      </c>
      <c r="H255" s="10">
        <f t="shared" si="16"/>
        <v>2.3870698439747575</v>
      </c>
      <c r="I255" s="13" t="s">
        <v>826</v>
      </c>
      <c r="P255" s="6">
        <v>50.57</v>
      </c>
      <c r="Q255" s="6">
        <v>2.06</v>
      </c>
      <c r="R255" s="6">
        <v>12.53</v>
      </c>
      <c r="S255" s="14"/>
      <c r="T255" s="6">
        <v>9.65</v>
      </c>
      <c r="U255" s="6">
        <v>0.11</v>
      </c>
      <c r="V255" s="6">
        <v>3.92</v>
      </c>
      <c r="W255" s="6">
        <v>11.05</v>
      </c>
      <c r="X255" s="6">
        <v>1.85</v>
      </c>
      <c r="Y255" s="6">
        <v>1.54</v>
      </c>
      <c r="Z255" s="6">
        <v>6.7</v>
      </c>
      <c r="AA255" s="6">
        <v>0.26</v>
      </c>
      <c r="AB255" s="6">
        <v>99.98</v>
      </c>
      <c r="AC255" s="15"/>
      <c r="AD255" s="14"/>
      <c r="AE255" s="6" t="s">
        <v>1155</v>
      </c>
      <c r="AG255" s="6" t="s">
        <v>1184</v>
      </c>
    </row>
    <row r="256" spans="1:33" s="6" customFormat="1">
      <c r="A256" s="8" t="s">
        <v>1098</v>
      </c>
      <c r="B256" s="6">
        <v>42</v>
      </c>
      <c r="C256" s="8" t="s">
        <v>935</v>
      </c>
      <c r="D256" s="6">
        <v>1275</v>
      </c>
      <c r="E256" s="6">
        <v>8</v>
      </c>
      <c r="F256" s="11">
        <v>25200</v>
      </c>
      <c r="G256" s="9">
        <v>5.4958549768650414E-12</v>
      </c>
      <c r="H256" s="10">
        <f t="shared" si="16"/>
        <v>0.74429979287112269</v>
      </c>
      <c r="I256" s="13" t="s">
        <v>92</v>
      </c>
      <c r="P256" s="6">
        <v>53.86</v>
      </c>
      <c r="Q256" s="6">
        <v>0.86</v>
      </c>
      <c r="R256" s="6">
        <v>16.350000000000001</v>
      </c>
      <c r="S256" s="14"/>
      <c r="T256" s="6">
        <v>4.87</v>
      </c>
      <c r="V256" s="6">
        <v>3.38</v>
      </c>
      <c r="W256" s="6">
        <v>11.83</v>
      </c>
      <c r="X256" s="6">
        <v>2.65</v>
      </c>
      <c r="Y256" s="6">
        <v>2.16</v>
      </c>
      <c r="Z256" s="6">
        <v>2.5</v>
      </c>
      <c r="AA256" s="6">
        <v>0.05</v>
      </c>
      <c r="AB256" s="6">
        <v>98.64</v>
      </c>
      <c r="AC256" s="15"/>
      <c r="AD256" s="14"/>
      <c r="AE256" s="6" t="s">
        <v>1140</v>
      </c>
      <c r="AG256" s="6" t="s">
        <v>1184</v>
      </c>
    </row>
    <row r="257" spans="1:33" s="6" customFormat="1">
      <c r="A257" s="8" t="s">
        <v>1098</v>
      </c>
      <c r="B257" s="6">
        <v>43</v>
      </c>
      <c r="C257" s="8" t="s">
        <v>935</v>
      </c>
      <c r="D257" s="6">
        <v>1275</v>
      </c>
      <c r="E257" s="6">
        <v>8</v>
      </c>
      <c r="F257" s="11">
        <v>14400</v>
      </c>
      <c r="G257" s="9">
        <v>5.4958549768650414E-12</v>
      </c>
      <c r="H257" s="10">
        <f t="shared" si="16"/>
        <v>0.5626377579468218</v>
      </c>
      <c r="I257" s="13" t="s">
        <v>92</v>
      </c>
      <c r="P257" s="6">
        <v>52.67</v>
      </c>
      <c r="Q257" s="6">
        <v>0.86</v>
      </c>
      <c r="R257" s="6">
        <v>15.55</v>
      </c>
      <c r="S257" s="14"/>
      <c r="T257" s="6">
        <v>6.37</v>
      </c>
      <c r="V257" s="6">
        <v>3.4</v>
      </c>
      <c r="W257" s="6">
        <v>10.01</v>
      </c>
      <c r="X257" s="6">
        <v>3</v>
      </c>
      <c r="Y257" s="6">
        <v>2.29</v>
      </c>
      <c r="Z257" s="6">
        <v>3.18</v>
      </c>
      <c r="AA257" s="6">
        <v>0.11</v>
      </c>
      <c r="AB257" s="6">
        <v>97.33</v>
      </c>
      <c r="AC257" s="15"/>
      <c r="AD257" s="14"/>
      <c r="AE257" s="6" t="s">
        <v>1140</v>
      </c>
      <c r="AG257" s="6" t="s">
        <v>1184</v>
      </c>
    </row>
    <row r="258" spans="1:33" s="6" customFormat="1">
      <c r="A258" s="8" t="s">
        <v>1098</v>
      </c>
      <c r="B258" s="6">
        <v>44</v>
      </c>
      <c r="C258" s="8" t="s">
        <v>935</v>
      </c>
      <c r="D258" s="6">
        <v>1275</v>
      </c>
      <c r="E258" s="6">
        <v>8</v>
      </c>
      <c r="F258" s="11">
        <v>14400</v>
      </c>
      <c r="G258" s="9">
        <v>5.4958549768650414E-12</v>
      </c>
      <c r="H258" s="10">
        <f t="shared" si="16"/>
        <v>0.5626377579468218</v>
      </c>
      <c r="I258" s="13" t="s">
        <v>92</v>
      </c>
      <c r="P258" s="6">
        <v>33.270000000000003</v>
      </c>
      <c r="Q258" s="6">
        <v>2.36</v>
      </c>
      <c r="R258" s="6">
        <v>8.57</v>
      </c>
      <c r="S258" s="14"/>
      <c r="T258" s="6">
        <v>10.44</v>
      </c>
      <c r="V258" s="6">
        <v>13.4</v>
      </c>
      <c r="W258" s="6">
        <v>18.100000000000001</v>
      </c>
      <c r="X258" s="6">
        <v>3.5</v>
      </c>
      <c r="Y258" s="6">
        <v>1.1499999999999999</v>
      </c>
      <c r="Z258" s="6">
        <v>6.46</v>
      </c>
      <c r="AA258" s="6">
        <v>0.21</v>
      </c>
      <c r="AB258" s="6">
        <v>97.23</v>
      </c>
      <c r="AC258" s="15"/>
      <c r="AD258" s="14"/>
      <c r="AE258" s="6" t="s">
        <v>1141</v>
      </c>
      <c r="AG258" s="6" t="s">
        <v>1184</v>
      </c>
    </row>
    <row r="259" spans="1:33" s="6" customFormat="1">
      <c r="A259" s="8" t="s">
        <v>1098</v>
      </c>
      <c r="B259" s="6">
        <v>45</v>
      </c>
      <c r="C259" s="8" t="s">
        <v>935</v>
      </c>
      <c r="D259" s="6">
        <v>1300</v>
      </c>
      <c r="E259" s="6">
        <v>8</v>
      </c>
      <c r="F259" s="11">
        <v>14400</v>
      </c>
      <c r="G259" s="9">
        <v>6.5895756464467825E-12</v>
      </c>
      <c r="H259" s="10">
        <f t="shared" si="16"/>
        <v>0.61608405046335579</v>
      </c>
      <c r="I259" s="13" t="s">
        <v>92</v>
      </c>
      <c r="P259" s="6">
        <v>44.3</v>
      </c>
      <c r="Q259" s="6">
        <v>1.51</v>
      </c>
      <c r="R259" s="6">
        <v>13.65</v>
      </c>
      <c r="S259" s="14"/>
      <c r="T259" s="6">
        <v>8.02</v>
      </c>
      <c r="V259" s="6">
        <v>6.4</v>
      </c>
      <c r="W259" s="6">
        <v>16.809999999999999</v>
      </c>
      <c r="X259" s="6">
        <v>2.19</v>
      </c>
      <c r="Y259" s="6">
        <v>0.11</v>
      </c>
      <c r="Z259" s="6">
        <v>5.59</v>
      </c>
      <c r="AA259" s="6">
        <v>0.06</v>
      </c>
      <c r="AB259" s="6">
        <v>98.58</v>
      </c>
      <c r="AC259" s="15"/>
      <c r="AD259" s="14"/>
      <c r="AE259" s="6" t="s">
        <v>1141</v>
      </c>
      <c r="AG259" s="6" t="s">
        <v>1184</v>
      </c>
    </row>
    <row r="260" spans="1:33" s="6" customFormat="1">
      <c r="A260" s="8" t="s">
        <v>1098</v>
      </c>
      <c r="B260" s="6">
        <v>46</v>
      </c>
      <c r="C260" s="8" t="s">
        <v>935</v>
      </c>
      <c r="D260" s="6">
        <v>1300</v>
      </c>
      <c r="E260" s="6">
        <v>8</v>
      </c>
      <c r="F260" s="11">
        <v>16200</v>
      </c>
      <c r="G260" s="9">
        <v>6.5895756464467825E-12</v>
      </c>
      <c r="H260" s="10">
        <f t="shared" si="16"/>
        <v>0.65345581479527104</v>
      </c>
      <c r="I260" s="13" t="s">
        <v>92</v>
      </c>
      <c r="P260" s="6">
        <v>50.61</v>
      </c>
      <c r="Q260" s="6">
        <v>1.98</v>
      </c>
      <c r="R260" s="6">
        <v>12.31</v>
      </c>
      <c r="S260" s="14"/>
      <c r="T260" s="6">
        <v>10.1</v>
      </c>
      <c r="V260" s="6">
        <v>2.85</v>
      </c>
      <c r="W260" s="6">
        <v>11.82</v>
      </c>
      <c r="X260" s="6">
        <v>3.01</v>
      </c>
      <c r="Y260" s="6">
        <v>1.56</v>
      </c>
      <c r="Z260" s="6">
        <v>3.83</v>
      </c>
      <c r="AA260" s="6">
        <v>0.06</v>
      </c>
      <c r="AB260" s="6">
        <v>98.07</v>
      </c>
      <c r="AC260" s="15"/>
      <c r="AD260" s="14"/>
      <c r="AE260" s="6" t="s">
        <v>1140</v>
      </c>
      <c r="AG260" s="6" t="s">
        <v>1184</v>
      </c>
    </row>
    <row r="261" spans="1:33" s="6" customFormat="1">
      <c r="A261" s="8" t="s">
        <v>1098</v>
      </c>
      <c r="B261" s="6">
        <v>47</v>
      </c>
      <c r="C261" s="8" t="s">
        <v>935</v>
      </c>
      <c r="D261" s="6">
        <v>1300</v>
      </c>
      <c r="E261" s="6">
        <v>8</v>
      </c>
      <c r="F261" s="11">
        <v>14400</v>
      </c>
      <c r="G261" s="9">
        <v>6.5895756464467825E-12</v>
      </c>
      <c r="H261" s="10">
        <f t="shared" si="16"/>
        <v>0.61608405046335579</v>
      </c>
      <c r="I261" s="13" t="s">
        <v>92</v>
      </c>
      <c r="P261" s="6">
        <v>52.35</v>
      </c>
      <c r="Q261" s="6">
        <v>0.86</v>
      </c>
      <c r="R261" s="6">
        <v>15.46</v>
      </c>
      <c r="S261" s="14"/>
      <c r="T261" s="6">
        <v>6.09</v>
      </c>
      <c r="V261" s="6">
        <v>3.94</v>
      </c>
      <c r="W261" s="6">
        <v>11.18</v>
      </c>
      <c r="X261" s="6">
        <v>2.72</v>
      </c>
      <c r="Y261" s="6">
        <v>1.99</v>
      </c>
      <c r="Z261" s="6">
        <v>4.04</v>
      </c>
      <c r="AA261" s="6">
        <v>0.11</v>
      </c>
      <c r="AB261" s="6">
        <v>98.63</v>
      </c>
      <c r="AC261" s="15"/>
      <c r="AD261" s="14"/>
      <c r="AE261" s="6" t="s">
        <v>1140</v>
      </c>
      <c r="AG261" s="6" t="s">
        <v>1184</v>
      </c>
    </row>
    <row r="262" spans="1:33" s="6" customFormat="1">
      <c r="A262" s="8" t="s">
        <v>1098</v>
      </c>
      <c r="B262" s="6">
        <v>48</v>
      </c>
      <c r="C262" s="8" t="s">
        <v>935</v>
      </c>
      <c r="D262" s="6">
        <v>1300</v>
      </c>
      <c r="E262" s="6">
        <v>8</v>
      </c>
      <c r="F262" s="11">
        <v>16200</v>
      </c>
      <c r="G262" s="9">
        <v>6.5895756464467825E-12</v>
      </c>
      <c r="H262" s="10">
        <f t="shared" si="16"/>
        <v>0.65345581479527104</v>
      </c>
      <c r="I262" s="13" t="s">
        <v>92</v>
      </c>
      <c r="P262" s="6">
        <v>29.55</v>
      </c>
      <c r="Q262" s="6">
        <v>2.0299999999999998</v>
      </c>
      <c r="R262" s="6">
        <v>7.8</v>
      </c>
      <c r="S262" s="14"/>
      <c r="T262" s="6">
        <v>9.43</v>
      </c>
      <c r="V262" s="6">
        <v>12.26</v>
      </c>
      <c r="W262" s="6">
        <v>21.78</v>
      </c>
      <c r="X262" s="6">
        <v>2.96</v>
      </c>
      <c r="Y262" s="6">
        <v>1.1000000000000001</v>
      </c>
      <c r="Z262" s="6">
        <v>9.3699999999999992</v>
      </c>
      <c r="AA262" s="6">
        <v>0.05</v>
      </c>
      <c r="AB262" s="6">
        <v>96.28</v>
      </c>
      <c r="AC262" s="15"/>
      <c r="AD262" s="14"/>
      <c r="AE262" s="6" t="s">
        <v>1141</v>
      </c>
      <c r="AG262" s="6" t="s">
        <v>1184</v>
      </c>
    </row>
    <row r="263" spans="1:33" s="6" customFormat="1">
      <c r="A263" s="8" t="s">
        <v>1098</v>
      </c>
      <c r="B263" s="6">
        <v>49</v>
      </c>
      <c r="C263" s="8" t="s">
        <v>935</v>
      </c>
      <c r="D263" s="6">
        <v>1300</v>
      </c>
      <c r="E263" s="6">
        <v>12</v>
      </c>
      <c r="F263" s="11">
        <v>61200</v>
      </c>
      <c r="G263" s="9">
        <v>6.5895756464467825E-12</v>
      </c>
      <c r="H263" s="10">
        <f t="shared" si="16"/>
        <v>1.2700898071593885</v>
      </c>
      <c r="I263" s="13" t="s">
        <v>92</v>
      </c>
      <c r="P263" s="6">
        <v>47.99</v>
      </c>
      <c r="Q263" s="6">
        <v>2.72</v>
      </c>
      <c r="R263" s="6">
        <v>11.78</v>
      </c>
      <c r="S263" s="14"/>
      <c r="T263" s="6">
        <v>9.5500000000000007</v>
      </c>
      <c r="U263" s="6">
        <v>0.11</v>
      </c>
      <c r="V263" s="6">
        <v>1.47</v>
      </c>
      <c r="W263" s="6">
        <v>17.34</v>
      </c>
      <c r="X263" s="6">
        <v>2.5</v>
      </c>
      <c r="Y263" s="6">
        <v>1.31</v>
      </c>
      <c r="Z263" s="6">
        <v>4.34</v>
      </c>
      <c r="AA263" s="6">
        <v>0.23</v>
      </c>
      <c r="AB263" s="6">
        <v>99.11</v>
      </c>
      <c r="AC263" s="15"/>
      <c r="AD263" s="14"/>
      <c r="AE263" s="6" t="s">
        <v>1140</v>
      </c>
      <c r="AG263" s="6" t="s">
        <v>1184</v>
      </c>
    </row>
    <row r="264" spans="1:33" s="6" customFormat="1">
      <c r="A264" s="8" t="s">
        <v>1098</v>
      </c>
      <c r="B264" s="6">
        <v>50</v>
      </c>
      <c r="C264" s="8" t="s">
        <v>935</v>
      </c>
      <c r="D264" s="6">
        <v>1300</v>
      </c>
      <c r="E264" s="6">
        <v>12</v>
      </c>
      <c r="F264" s="11">
        <v>68400</v>
      </c>
      <c r="G264" s="9">
        <v>6.5895756464467825E-12</v>
      </c>
      <c r="H264" s="10">
        <f t="shared" si="16"/>
        <v>1.3427240583484901</v>
      </c>
      <c r="I264" s="13" t="s">
        <v>92</v>
      </c>
      <c r="P264" s="6">
        <v>54.07</v>
      </c>
      <c r="Q264" s="6">
        <v>1.01</v>
      </c>
      <c r="R264" s="6">
        <v>16.22</v>
      </c>
      <c r="S264" s="14"/>
      <c r="T264" s="6">
        <v>5.19</v>
      </c>
      <c r="U264" s="6">
        <v>0.11</v>
      </c>
      <c r="V264" s="6">
        <v>1.68</v>
      </c>
      <c r="W264" s="6">
        <v>14.28</v>
      </c>
      <c r="X264" s="6">
        <v>2.77</v>
      </c>
      <c r="Y264" s="6">
        <v>1.99</v>
      </c>
      <c r="Z264" s="6">
        <v>3.26</v>
      </c>
      <c r="AA264" s="6">
        <v>0.35</v>
      </c>
      <c r="AB264" s="6">
        <v>100.55</v>
      </c>
      <c r="AC264" s="15"/>
      <c r="AD264" s="14"/>
      <c r="AE264" s="6" t="s">
        <v>1140</v>
      </c>
      <c r="AG264" s="6" t="s">
        <v>1184</v>
      </c>
    </row>
    <row r="265" spans="1:33" s="6" customFormat="1">
      <c r="A265" s="8" t="s">
        <v>1098</v>
      </c>
      <c r="B265" s="6">
        <v>51</v>
      </c>
      <c r="C265" s="8" t="s">
        <v>935</v>
      </c>
      <c r="D265" s="6">
        <v>1300</v>
      </c>
      <c r="E265" s="6">
        <v>12</v>
      </c>
      <c r="F265" s="11">
        <v>82800</v>
      </c>
      <c r="G265" s="9">
        <v>6.5895756464467825E-12</v>
      </c>
      <c r="H265" s="10">
        <f t="shared" si="16"/>
        <v>1.4773176551111729</v>
      </c>
      <c r="I265" s="13" t="s">
        <v>92</v>
      </c>
      <c r="P265" s="6">
        <v>46.22</v>
      </c>
      <c r="Q265" s="6">
        <v>1.81</v>
      </c>
      <c r="R265" s="6">
        <v>14.46</v>
      </c>
      <c r="S265" s="14"/>
      <c r="T265" s="6">
        <v>6.46</v>
      </c>
      <c r="U265" s="6">
        <v>0.15</v>
      </c>
      <c r="V265" s="6">
        <v>2.2200000000000002</v>
      </c>
      <c r="W265" s="6">
        <v>20.74</v>
      </c>
      <c r="X265" s="6">
        <v>2.73</v>
      </c>
      <c r="Y265" s="6">
        <v>0.17</v>
      </c>
      <c r="Z265" s="6">
        <v>3.39</v>
      </c>
      <c r="AA265" s="6">
        <v>0.2</v>
      </c>
      <c r="AB265" s="6">
        <v>98.35</v>
      </c>
      <c r="AC265" s="15"/>
      <c r="AD265" s="14"/>
      <c r="AE265" s="6" t="s">
        <v>1140</v>
      </c>
      <c r="AG265" s="6" t="s">
        <v>1184</v>
      </c>
    </row>
    <row r="266" spans="1:33" s="6" customFormat="1">
      <c r="A266" s="8" t="s">
        <v>1098</v>
      </c>
      <c r="B266" s="6">
        <v>52</v>
      </c>
      <c r="C266" s="8" t="s">
        <v>935</v>
      </c>
      <c r="D266" s="6">
        <v>1300</v>
      </c>
      <c r="E266" s="6">
        <v>14</v>
      </c>
      <c r="F266" s="11">
        <v>9000</v>
      </c>
      <c r="G266" s="9">
        <v>6.5895756464467825E-12</v>
      </c>
      <c r="H266" s="10">
        <f t="shared" si="16"/>
        <v>0.48705720739157959</v>
      </c>
      <c r="I266" s="13" t="s">
        <v>92</v>
      </c>
      <c r="P266" s="6">
        <v>44.94</v>
      </c>
      <c r="Q266" s="6">
        <v>1.61</v>
      </c>
      <c r="R266" s="6">
        <v>14.43</v>
      </c>
      <c r="S266" s="14"/>
      <c r="T266" s="6">
        <v>8.2899999999999991</v>
      </c>
      <c r="V266" s="6">
        <v>6.29</v>
      </c>
      <c r="W266" s="6">
        <v>16.350000000000001</v>
      </c>
      <c r="X266" s="6">
        <v>2.9</v>
      </c>
      <c r="Y266" s="6">
        <v>0.17</v>
      </c>
      <c r="Z266" s="6">
        <v>5.26</v>
      </c>
      <c r="AA266" s="6">
        <v>0.36</v>
      </c>
      <c r="AB266" s="6">
        <v>100.24</v>
      </c>
      <c r="AC266" s="15"/>
      <c r="AD266" s="14"/>
      <c r="AE266" s="6" t="s">
        <v>1141</v>
      </c>
      <c r="AG266" s="6" t="s">
        <v>1184</v>
      </c>
    </row>
    <row r="267" spans="1:33" s="6" customFormat="1">
      <c r="A267" s="8" t="s">
        <v>1098</v>
      </c>
      <c r="B267" s="6">
        <v>53</v>
      </c>
      <c r="C267" s="8" t="s">
        <v>935</v>
      </c>
      <c r="D267" s="6">
        <v>1300</v>
      </c>
      <c r="E267" s="6">
        <v>14</v>
      </c>
      <c r="F267" s="11">
        <v>9000</v>
      </c>
      <c r="G267" s="9">
        <v>6.5895756464467825E-12</v>
      </c>
      <c r="H267" s="10">
        <f t="shared" si="16"/>
        <v>0.48705720739157959</v>
      </c>
      <c r="I267" s="13" t="s">
        <v>92</v>
      </c>
      <c r="P267" s="6">
        <v>50.95</v>
      </c>
      <c r="Q267" s="6">
        <v>2.04</v>
      </c>
      <c r="R267" s="6">
        <v>12.67</v>
      </c>
      <c r="S267" s="14"/>
      <c r="T267" s="6">
        <v>10.050000000000001</v>
      </c>
      <c r="V267" s="6">
        <v>3.97</v>
      </c>
      <c r="W267" s="6">
        <v>11.69</v>
      </c>
      <c r="X267" s="6">
        <v>3.05</v>
      </c>
      <c r="Y267" s="6">
        <v>1.41</v>
      </c>
      <c r="Z267" s="6">
        <v>3.94</v>
      </c>
      <c r="AA267" s="6">
        <v>0.09</v>
      </c>
      <c r="AB267" s="6">
        <v>99.86</v>
      </c>
      <c r="AC267" s="15"/>
      <c r="AD267" s="14"/>
      <c r="AE267" s="6" t="s">
        <v>1140</v>
      </c>
      <c r="AG267" s="6" t="s">
        <v>1184</v>
      </c>
    </row>
    <row r="268" spans="1:33" s="6" customFormat="1">
      <c r="A268" s="8" t="s">
        <v>1098</v>
      </c>
      <c r="B268" s="6">
        <v>54</v>
      </c>
      <c r="C268" s="8" t="s">
        <v>935</v>
      </c>
      <c r="D268" s="6">
        <v>1300</v>
      </c>
      <c r="E268" s="6">
        <v>14</v>
      </c>
      <c r="F268" s="11">
        <v>9000</v>
      </c>
      <c r="G268" s="9">
        <v>6.5895756464467825E-12</v>
      </c>
      <c r="H268" s="10">
        <f t="shared" si="16"/>
        <v>0.48705720739157959</v>
      </c>
      <c r="I268" s="13" t="s">
        <v>92</v>
      </c>
      <c r="P268" s="6">
        <v>51.14</v>
      </c>
      <c r="Q268" s="6">
        <v>0.79</v>
      </c>
      <c r="R268" s="6">
        <v>15.67</v>
      </c>
      <c r="S268" s="14"/>
      <c r="T268" s="6">
        <v>5.34</v>
      </c>
      <c r="V268" s="6">
        <v>5.12</v>
      </c>
      <c r="W268" s="6">
        <v>12.22</v>
      </c>
      <c r="X268" s="6">
        <v>2.69</v>
      </c>
      <c r="Y268" s="6">
        <v>1.88</v>
      </c>
      <c r="Z268" s="6">
        <v>4.3600000000000003</v>
      </c>
      <c r="AA268" s="6">
        <v>0.37</v>
      </c>
      <c r="AB268" s="6">
        <v>99.21</v>
      </c>
      <c r="AC268" s="15"/>
      <c r="AD268" s="14"/>
      <c r="AE268" s="6" t="s">
        <v>1140</v>
      </c>
      <c r="AG268" s="6" t="s">
        <v>1184</v>
      </c>
    </row>
    <row r="269" spans="1:33" s="6" customFormat="1">
      <c r="A269" s="8" t="s">
        <v>1098</v>
      </c>
      <c r="B269" s="6">
        <v>55</v>
      </c>
      <c r="C269" s="8" t="s">
        <v>935</v>
      </c>
      <c r="D269" s="6">
        <v>1300</v>
      </c>
      <c r="E269" s="6">
        <v>14</v>
      </c>
      <c r="F269" s="11">
        <v>9000</v>
      </c>
      <c r="G269" s="9">
        <v>6.5895756464467825E-12</v>
      </c>
      <c r="H269" s="10">
        <f t="shared" ref="H269:H292" si="17">2*SQRT(G269*F269)*1000</f>
        <v>0.48705720739157959</v>
      </c>
      <c r="I269" s="13" t="s">
        <v>92</v>
      </c>
      <c r="P269" s="6">
        <v>32.549999999999997</v>
      </c>
      <c r="Q269" s="6">
        <v>2.5099999999999998</v>
      </c>
      <c r="R269" s="6">
        <v>8.65</v>
      </c>
      <c r="S269" s="14"/>
      <c r="T269" s="6">
        <v>10.74</v>
      </c>
      <c r="V269" s="6">
        <v>11.78</v>
      </c>
      <c r="W269" s="6">
        <v>20.32</v>
      </c>
      <c r="X269" s="6">
        <v>3.57</v>
      </c>
      <c r="Y269" s="6">
        <v>1.29</v>
      </c>
      <c r="Z269" s="6">
        <v>8.0399999999999991</v>
      </c>
      <c r="AA269" s="6">
        <v>0.28000000000000003</v>
      </c>
      <c r="AB269" s="6">
        <v>99.45</v>
      </c>
      <c r="AC269" s="15"/>
      <c r="AD269" s="14"/>
      <c r="AE269" s="6" t="s">
        <v>1141</v>
      </c>
      <c r="AG269" s="6" t="s">
        <v>1184</v>
      </c>
    </row>
    <row r="270" spans="1:33" s="6" customFormat="1">
      <c r="A270" s="8" t="s">
        <v>1098</v>
      </c>
      <c r="B270" s="6">
        <v>56</v>
      </c>
      <c r="C270" s="8" t="s">
        <v>935</v>
      </c>
      <c r="D270" s="6">
        <v>1300</v>
      </c>
      <c r="E270" s="6">
        <v>14</v>
      </c>
      <c r="F270" s="11">
        <v>9000</v>
      </c>
      <c r="G270" s="9">
        <v>6.5895756464467825E-12</v>
      </c>
      <c r="H270" s="10">
        <f t="shared" si="17"/>
        <v>0.48705720739157959</v>
      </c>
      <c r="I270" s="13" t="s">
        <v>92</v>
      </c>
      <c r="P270" s="6">
        <v>50.54</v>
      </c>
      <c r="Q270" s="6">
        <v>2.14</v>
      </c>
      <c r="R270" s="6">
        <v>12.62</v>
      </c>
      <c r="S270" s="14"/>
      <c r="T270" s="6">
        <v>9.7200000000000006</v>
      </c>
      <c r="V270" s="6">
        <v>4.21</v>
      </c>
      <c r="W270" s="6">
        <v>10.35</v>
      </c>
      <c r="X270" s="6">
        <v>3.07</v>
      </c>
      <c r="Y270" s="6">
        <v>1.57</v>
      </c>
      <c r="Z270" s="6">
        <v>5.74</v>
      </c>
      <c r="AA270" s="6">
        <v>0.33</v>
      </c>
      <c r="AB270" s="6">
        <v>99.96</v>
      </c>
      <c r="AC270" s="15"/>
      <c r="AD270" s="14"/>
      <c r="AE270" s="6" t="s">
        <v>1155</v>
      </c>
      <c r="AG270" s="6" t="s">
        <v>1184</v>
      </c>
    </row>
    <row r="271" spans="1:33" s="6" customFormat="1">
      <c r="A271" s="8" t="s">
        <v>1098</v>
      </c>
      <c r="B271" s="6">
        <v>57</v>
      </c>
      <c r="C271" s="8" t="s">
        <v>935</v>
      </c>
      <c r="D271" s="6">
        <v>1300</v>
      </c>
      <c r="E271" s="6">
        <v>14</v>
      </c>
      <c r="F271" s="11">
        <v>9000</v>
      </c>
      <c r="G271" s="9">
        <v>6.5895756464467825E-12</v>
      </c>
      <c r="H271" s="10">
        <f t="shared" si="17"/>
        <v>0.48705720739157959</v>
      </c>
      <c r="I271" s="13" t="s">
        <v>92</v>
      </c>
      <c r="P271" s="6">
        <v>31.19</v>
      </c>
      <c r="Q271" s="6">
        <v>2.3199999999999998</v>
      </c>
      <c r="R271" s="6">
        <v>8.39</v>
      </c>
      <c r="S271" s="14"/>
      <c r="T271" s="6">
        <v>10.3</v>
      </c>
      <c r="V271" s="6">
        <v>13.41</v>
      </c>
      <c r="W271" s="6">
        <v>17.32</v>
      </c>
      <c r="X271" s="6">
        <v>3.44</v>
      </c>
      <c r="Y271" s="6">
        <v>1.22</v>
      </c>
      <c r="Z271" s="6">
        <v>11.74</v>
      </c>
      <c r="AA271" s="6">
        <v>0.71</v>
      </c>
      <c r="AB271" s="6">
        <v>99.33</v>
      </c>
      <c r="AC271" s="15"/>
      <c r="AD271" s="14"/>
      <c r="AE271" s="6" t="s">
        <v>1154</v>
      </c>
      <c r="AG271" s="6" t="s">
        <v>1184</v>
      </c>
    </row>
    <row r="272" spans="1:33" s="6" customFormat="1">
      <c r="A272" s="8" t="s">
        <v>1098</v>
      </c>
      <c r="B272" s="6">
        <v>58</v>
      </c>
      <c r="C272" s="8" t="s">
        <v>935</v>
      </c>
      <c r="D272" s="6">
        <v>1300</v>
      </c>
      <c r="E272" s="6">
        <v>14</v>
      </c>
      <c r="F272" s="11">
        <v>5400</v>
      </c>
      <c r="G272" s="9">
        <v>6.5895756464467825E-12</v>
      </c>
      <c r="H272" s="10">
        <f t="shared" si="17"/>
        <v>0.37727289057557595</v>
      </c>
      <c r="I272" s="13" t="s">
        <v>92</v>
      </c>
      <c r="P272" s="6">
        <v>39.880000000000003</v>
      </c>
      <c r="Q272" s="6">
        <v>1.74</v>
      </c>
      <c r="R272" s="6">
        <v>9.9600000000000009</v>
      </c>
      <c r="S272" s="14"/>
      <c r="T272" s="6">
        <v>8.34</v>
      </c>
      <c r="V272" s="6">
        <v>10.130000000000001</v>
      </c>
      <c r="W272" s="6">
        <v>15.16</v>
      </c>
      <c r="X272" s="6">
        <v>2.29</v>
      </c>
      <c r="Y272" s="6">
        <v>1</v>
      </c>
      <c r="Z272" s="6">
        <v>8.2799999999999994</v>
      </c>
      <c r="AA272" s="6">
        <v>0.51</v>
      </c>
      <c r="AB272" s="6">
        <v>96.68</v>
      </c>
      <c r="AC272" s="15"/>
      <c r="AD272" s="14"/>
      <c r="AE272" s="6" t="s">
        <v>1154</v>
      </c>
      <c r="AG272" s="6" t="s">
        <v>1184</v>
      </c>
    </row>
    <row r="273" spans="1:33" s="6" customFormat="1">
      <c r="A273" s="8" t="s">
        <v>1098</v>
      </c>
      <c r="B273" s="6">
        <v>59</v>
      </c>
      <c r="C273" s="8" t="s">
        <v>935</v>
      </c>
      <c r="D273" s="6">
        <v>1300</v>
      </c>
      <c r="E273" s="6">
        <v>14</v>
      </c>
      <c r="F273" s="11">
        <v>5400</v>
      </c>
      <c r="G273" s="9">
        <v>6.5895756464467825E-12</v>
      </c>
      <c r="H273" s="10">
        <f t="shared" si="17"/>
        <v>0.37727289057557595</v>
      </c>
      <c r="I273" s="13" t="s">
        <v>92</v>
      </c>
      <c r="P273" s="6">
        <v>35.92</v>
      </c>
      <c r="Q273" s="6">
        <v>1.29</v>
      </c>
      <c r="R273" s="6">
        <v>11.2</v>
      </c>
      <c r="S273" s="14"/>
      <c r="T273" s="6">
        <v>6.81</v>
      </c>
      <c r="V273" s="6">
        <v>14.25</v>
      </c>
      <c r="W273" s="6">
        <v>17.489999999999998</v>
      </c>
      <c r="X273" s="6">
        <v>2.09</v>
      </c>
      <c r="Y273" s="6">
        <v>0.12</v>
      </c>
      <c r="Z273" s="6">
        <v>8.0500000000000007</v>
      </c>
      <c r="AA273" s="6">
        <v>0.5</v>
      </c>
      <c r="AB273" s="6">
        <v>97.22</v>
      </c>
      <c r="AC273" s="15"/>
      <c r="AD273" s="14"/>
      <c r="AE273" s="6" t="s">
        <v>1154</v>
      </c>
      <c r="AG273" s="6" t="s">
        <v>1184</v>
      </c>
    </row>
    <row r="274" spans="1:33" s="6" customFormat="1">
      <c r="A274" s="8" t="s">
        <v>1098</v>
      </c>
      <c r="B274" s="6">
        <v>60</v>
      </c>
      <c r="C274" s="8" t="s">
        <v>935</v>
      </c>
      <c r="D274" s="6">
        <v>1300</v>
      </c>
      <c r="E274" s="6">
        <v>14</v>
      </c>
      <c r="F274" s="11">
        <v>5400</v>
      </c>
      <c r="G274" s="9">
        <v>6.5895756464467825E-12</v>
      </c>
      <c r="H274" s="10">
        <f t="shared" si="17"/>
        <v>0.37727289057557595</v>
      </c>
      <c r="I274" s="13" t="s">
        <v>92</v>
      </c>
      <c r="P274" s="6">
        <v>25.72</v>
      </c>
      <c r="Q274" s="6">
        <v>1.87</v>
      </c>
      <c r="R274" s="6">
        <v>6.47</v>
      </c>
      <c r="S274" s="14"/>
      <c r="T274" s="6">
        <v>8.41</v>
      </c>
      <c r="V274" s="6">
        <v>17.39</v>
      </c>
      <c r="W274" s="6">
        <v>22.03</v>
      </c>
      <c r="X274" s="6">
        <v>2.87</v>
      </c>
      <c r="Y274" s="6">
        <v>0.98</v>
      </c>
      <c r="Z274" s="6">
        <v>11.09</v>
      </c>
      <c r="AA274" s="6">
        <v>0.15</v>
      </c>
      <c r="AB274" s="6">
        <v>96.83</v>
      </c>
      <c r="AC274" s="15"/>
      <c r="AD274" s="14"/>
      <c r="AE274" s="6" t="s">
        <v>1154</v>
      </c>
      <c r="AG274" s="6" t="s">
        <v>1184</v>
      </c>
    </row>
    <row r="275" spans="1:33" s="6" customFormat="1">
      <c r="A275" s="8" t="s">
        <v>1098</v>
      </c>
      <c r="B275" s="6">
        <v>61</v>
      </c>
      <c r="C275" s="8" t="s">
        <v>935</v>
      </c>
      <c r="D275" s="6">
        <v>1300</v>
      </c>
      <c r="E275" s="6">
        <v>14</v>
      </c>
      <c r="F275" s="11">
        <v>5400</v>
      </c>
      <c r="G275" s="9">
        <v>6.5895756464467825E-12</v>
      </c>
      <c r="H275" s="10">
        <f t="shared" si="17"/>
        <v>0.37727289057557595</v>
      </c>
      <c r="I275" s="13" t="s">
        <v>92</v>
      </c>
      <c r="P275" s="6">
        <v>53.15</v>
      </c>
      <c r="Q275" s="6">
        <v>0.88</v>
      </c>
      <c r="R275" s="6">
        <v>16.350000000000001</v>
      </c>
      <c r="S275" s="14"/>
      <c r="T275" s="6">
        <v>7</v>
      </c>
      <c r="V275" s="6">
        <v>4.2699999999999996</v>
      </c>
      <c r="W275" s="6">
        <v>11.41</v>
      </c>
      <c r="X275" s="6">
        <v>3.08</v>
      </c>
      <c r="Y275" s="6">
        <v>2.0699999999999998</v>
      </c>
      <c r="Z275" s="6">
        <v>4.1500000000000004</v>
      </c>
      <c r="AA275" s="6">
        <v>0.38</v>
      </c>
      <c r="AB275" s="6">
        <v>102.36</v>
      </c>
      <c r="AC275" s="15"/>
      <c r="AD275" s="14"/>
      <c r="AE275" s="6" t="s">
        <v>1140</v>
      </c>
      <c r="AG275" s="6" t="s">
        <v>1184</v>
      </c>
    </row>
    <row r="276" spans="1:33" s="6" customFormat="1">
      <c r="A276" s="8" t="s">
        <v>1098</v>
      </c>
      <c r="B276" s="6">
        <v>62</v>
      </c>
      <c r="C276" s="8" t="s">
        <v>935</v>
      </c>
      <c r="D276" s="6">
        <v>1300</v>
      </c>
      <c r="E276" s="6">
        <v>14</v>
      </c>
      <c r="F276" s="11">
        <v>5400</v>
      </c>
      <c r="G276" s="9">
        <v>6.5895756464467825E-12</v>
      </c>
      <c r="H276" s="10">
        <f t="shared" si="17"/>
        <v>0.37727289057557595</v>
      </c>
      <c r="I276" s="13" t="s">
        <v>92</v>
      </c>
      <c r="P276" s="6">
        <v>50.62</v>
      </c>
      <c r="Q276" s="6">
        <v>1.96</v>
      </c>
      <c r="R276" s="6">
        <v>12.64</v>
      </c>
      <c r="S276" s="14"/>
      <c r="T276" s="6">
        <v>8.99</v>
      </c>
      <c r="V276" s="6">
        <v>5.91</v>
      </c>
      <c r="W276" s="6">
        <v>11.37</v>
      </c>
      <c r="X276" s="6">
        <v>2.63</v>
      </c>
      <c r="Y276" s="6">
        <v>1.59</v>
      </c>
      <c r="Z276" s="6">
        <v>5.14</v>
      </c>
      <c r="AA276" s="6">
        <v>0.03</v>
      </c>
      <c r="AB276" s="6">
        <v>100.85</v>
      </c>
      <c r="AC276" s="15"/>
      <c r="AD276" s="14"/>
      <c r="AE276" s="6" t="s">
        <v>1140</v>
      </c>
      <c r="AG276" s="6" t="s">
        <v>1184</v>
      </c>
    </row>
    <row r="277" spans="1:33" s="6" customFormat="1">
      <c r="A277" s="8" t="s">
        <v>1098</v>
      </c>
      <c r="B277" s="6">
        <v>63</v>
      </c>
      <c r="C277" s="8" t="s">
        <v>935</v>
      </c>
      <c r="D277" s="6">
        <v>1300</v>
      </c>
      <c r="E277" s="6">
        <v>14</v>
      </c>
      <c r="F277" s="11">
        <v>5400</v>
      </c>
      <c r="G277" s="9">
        <v>6.5895756464467825E-12</v>
      </c>
      <c r="H277" s="10">
        <f t="shared" si="17"/>
        <v>0.37727289057557595</v>
      </c>
      <c r="I277" s="13" t="s">
        <v>92</v>
      </c>
      <c r="P277" s="6">
        <v>34.35</v>
      </c>
      <c r="Q277" s="6">
        <v>2.56</v>
      </c>
      <c r="R277" s="6">
        <v>9.51</v>
      </c>
      <c r="S277" s="14"/>
      <c r="T277" s="6">
        <v>11.55</v>
      </c>
      <c r="V277" s="6">
        <v>9.92</v>
      </c>
      <c r="W277" s="6">
        <v>19.48</v>
      </c>
      <c r="X277" s="6">
        <v>4.9000000000000004</v>
      </c>
      <c r="Y277" s="6">
        <v>1.03</v>
      </c>
      <c r="Z277" s="6">
        <v>6.3</v>
      </c>
      <c r="AA277" s="6">
        <v>7.0000000000000007E-2</v>
      </c>
      <c r="AB277" s="6">
        <v>99.6</v>
      </c>
      <c r="AC277" s="15"/>
      <c r="AD277" s="14"/>
      <c r="AE277" s="6" t="s">
        <v>1141</v>
      </c>
      <c r="AG277" s="6" t="s">
        <v>1184</v>
      </c>
    </row>
    <row r="278" spans="1:33" s="6" customFormat="1">
      <c r="A278" s="8" t="s">
        <v>1098</v>
      </c>
      <c r="B278" s="6">
        <v>64</v>
      </c>
      <c r="C278" s="8" t="s">
        <v>935</v>
      </c>
      <c r="D278" s="6">
        <v>1300</v>
      </c>
      <c r="E278" s="6">
        <v>14</v>
      </c>
      <c r="F278" s="11">
        <v>100800</v>
      </c>
      <c r="G278" s="9">
        <v>6.5895756464467825E-12</v>
      </c>
      <c r="H278" s="10">
        <f t="shared" si="17"/>
        <v>1.6300051842394068</v>
      </c>
      <c r="I278" s="13" t="s">
        <v>92</v>
      </c>
      <c r="P278" s="6">
        <v>49.09</v>
      </c>
      <c r="Q278" s="6">
        <v>1.99</v>
      </c>
      <c r="R278" s="6">
        <v>12.65</v>
      </c>
      <c r="S278" s="14"/>
      <c r="T278" s="6">
        <v>10.79</v>
      </c>
      <c r="V278" s="6">
        <v>2.96</v>
      </c>
      <c r="W278" s="6">
        <v>12.95</v>
      </c>
      <c r="X278" s="6">
        <v>2.94</v>
      </c>
      <c r="Y278" s="6">
        <v>1.52</v>
      </c>
      <c r="Z278" s="6">
        <v>5.6</v>
      </c>
      <c r="AA278" s="6">
        <v>0.12</v>
      </c>
      <c r="AB278" s="6">
        <v>100.49</v>
      </c>
      <c r="AC278" s="15"/>
      <c r="AD278" s="14"/>
      <c r="AE278" s="6" t="s">
        <v>1140</v>
      </c>
      <c r="AG278" s="6" t="s">
        <v>1184</v>
      </c>
    </row>
    <row r="279" spans="1:33" s="6" customFormat="1">
      <c r="A279" s="8" t="s">
        <v>1098</v>
      </c>
      <c r="B279" s="6">
        <v>65</v>
      </c>
      <c r="C279" s="8" t="s">
        <v>935</v>
      </c>
      <c r="D279" s="6">
        <v>1350</v>
      </c>
      <c r="E279" s="6">
        <v>12</v>
      </c>
      <c r="F279" s="11">
        <v>7200</v>
      </c>
      <c r="G279" s="9">
        <v>9.315745787957696E-12</v>
      </c>
      <c r="H279" s="10">
        <f t="shared" si="17"/>
        <v>0.51797053844131102</v>
      </c>
      <c r="I279" s="13" t="s">
        <v>92</v>
      </c>
      <c r="P279" s="6">
        <v>51.06</v>
      </c>
      <c r="Q279" s="6">
        <v>1.95</v>
      </c>
      <c r="R279" s="6">
        <v>12.28</v>
      </c>
      <c r="S279" s="14"/>
      <c r="T279" s="6">
        <v>9.41</v>
      </c>
      <c r="V279" s="6">
        <v>3.19</v>
      </c>
      <c r="W279" s="6">
        <v>12.87</v>
      </c>
      <c r="X279" s="6">
        <v>2.74</v>
      </c>
      <c r="Y279" s="6">
        <v>1.43</v>
      </c>
      <c r="Z279" s="6">
        <v>4.3499999999999996</v>
      </c>
      <c r="AA279" s="6">
        <v>0.19</v>
      </c>
      <c r="AB279" s="6">
        <v>99.28</v>
      </c>
      <c r="AC279" s="15"/>
      <c r="AD279" s="14"/>
      <c r="AE279" s="6" t="s">
        <v>1140</v>
      </c>
      <c r="AG279" s="6" t="s">
        <v>1184</v>
      </c>
    </row>
    <row r="280" spans="1:33" s="6" customFormat="1">
      <c r="A280" s="8" t="s">
        <v>1098</v>
      </c>
      <c r="B280" s="6">
        <v>66</v>
      </c>
      <c r="C280" s="8" t="s">
        <v>935</v>
      </c>
      <c r="D280" s="6">
        <v>1350</v>
      </c>
      <c r="E280" s="6">
        <v>12</v>
      </c>
      <c r="F280" s="11">
        <v>7200</v>
      </c>
      <c r="G280" s="9">
        <v>9.315745787957696E-12</v>
      </c>
      <c r="H280" s="10">
        <f t="shared" si="17"/>
        <v>0.51797053844131102</v>
      </c>
      <c r="I280" s="13" t="s">
        <v>92</v>
      </c>
      <c r="P280" s="6">
        <v>42.17</v>
      </c>
      <c r="Q280" s="6">
        <v>1.38</v>
      </c>
      <c r="R280" s="6">
        <v>12.88</v>
      </c>
      <c r="S280" s="14"/>
      <c r="T280" s="6">
        <v>6.14</v>
      </c>
      <c r="V280" s="6">
        <v>7.89</v>
      </c>
      <c r="W280" s="6">
        <v>18.82</v>
      </c>
      <c r="X280" s="6">
        <v>2.17</v>
      </c>
      <c r="Y280" s="6">
        <v>0.13</v>
      </c>
      <c r="Z280" s="6">
        <v>6.74</v>
      </c>
      <c r="AA280" s="6">
        <v>0.18</v>
      </c>
      <c r="AB280" s="6">
        <v>98.32</v>
      </c>
      <c r="AC280" s="15"/>
      <c r="AD280" s="14"/>
      <c r="AE280" s="6" t="s">
        <v>1141</v>
      </c>
      <c r="AG280" s="6" t="s">
        <v>1184</v>
      </c>
    </row>
    <row r="281" spans="1:33" s="6" customFormat="1">
      <c r="A281" s="8" t="s">
        <v>1098</v>
      </c>
      <c r="B281" s="6">
        <v>67</v>
      </c>
      <c r="C281" s="8" t="s">
        <v>935</v>
      </c>
      <c r="D281" s="6">
        <v>1350</v>
      </c>
      <c r="E281" s="6">
        <v>12</v>
      </c>
      <c r="F281" s="11">
        <v>7200</v>
      </c>
      <c r="G281" s="9">
        <v>9.315745787957696E-12</v>
      </c>
      <c r="H281" s="10">
        <f t="shared" si="17"/>
        <v>0.51797053844131102</v>
      </c>
      <c r="I281" s="13" t="s">
        <v>92</v>
      </c>
      <c r="P281" s="6">
        <v>30.93</v>
      </c>
      <c r="Q281" s="6">
        <v>2.14</v>
      </c>
      <c r="R281" s="6">
        <v>7.32</v>
      </c>
      <c r="S281" s="14"/>
      <c r="T281" s="6">
        <v>9.14</v>
      </c>
      <c r="V281" s="6">
        <v>13.31</v>
      </c>
      <c r="W281" s="6">
        <v>21.75</v>
      </c>
      <c r="X281" s="6">
        <v>3.07</v>
      </c>
      <c r="Y281" s="6">
        <v>1.1399999999999999</v>
      </c>
      <c r="Z281" s="6">
        <v>9.73</v>
      </c>
      <c r="AA281" s="6">
        <v>0.1</v>
      </c>
      <c r="AB281" s="6">
        <v>98.53</v>
      </c>
      <c r="AC281" s="15"/>
      <c r="AD281" s="14"/>
      <c r="AE281" s="6" t="s">
        <v>1141</v>
      </c>
      <c r="AG281" s="6" t="s">
        <v>1184</v>
      </c>
    </row>
    <row r="282" spans="1:33" s="6" customFormat="1">
      <c r="A282" s="8" t="s">
        <v>1098</v>
      </c>
      <c r="B282" s="6">
        <v>68</v>
      </c>
      <c r="C282" s="8" t="s">
        <v>935</v>
      </c>
      <c r="D282" s="6">
        <v>1300</v>
      </c>
      <c r="E282" s="6">
        <v>17</v>
      </c>
      <c r="F282" s="11">
        <v>102600</v>
      </c>
      <c r="G282" s="9">
        <v>6.5895756464467825E-12</v>
      </c>
      <c r="H282" s="10">
        <f t="shared" si="17"/>
        <v>1.644494404156414</v>
      </c>
      <c r="I282" s="13" t="s">
        <v>92</v>
      </c>
      <c r="P282" s="6">
        <v>48.68</v>
      </c>
      <c r="Q282" s="6">
        <v>2.67</v>
      </c>
      <c r="R282" s="6">
        <v>12</v>
      </c>
      <c r="S282" s="14"/>
      <c r="T282" s="6">
        <v>8.7200000000000006</v>
      </c>
      <c r="U282" s="6">
        <v>0.12</v>
      </c>
      <c r="V282" s="6">
        <v>1.4</v>
      </c>
      <c r="W282" s="6">
        <v>17.440000000000001</v>
      </c>
      <c r="X282" s="6">
        <v>2.75</v>
      </c>
      <c r="Y282" s="6">
        <v>1.3</v>
      </c>
      <c r="Z282" s="6">
        <v>3.98</v>
      </c>
      <c r="AA282" s="6">
        <v>0.02</v>
      </c>
      <c r="AB282" s="6">
        <v>99.07</v>
      </c>
      <c r="AC282" s="15"/>
      <c r="AD282" s="14"/>
      <c r="AE282" s="6" t="s">
        <v>1140</v>
      </c>
      <c r="AG282" s="6" t="s">
        <v>1184</v>
      </c>
    </row>
    <row r="283" spans="1:33" s="6" customFormat="1">
      <c r="A283" s="8" t="s">
        <v>1098</v>
      </c>
      <c r="B283" s="6">
        <v>69</v>
      </c>
      <c r="C283" s="8" t="s">
        <v>935</v>
      </c>
      <c r="D283" s="6">
        <v>1350</v>
      </c>
      <c r="E283" s="6">
        <v>17</v>
      </c>
      <c r="F283" s="11">
        <v>84600</v>
      </c>
      <c r="G283" s="9">
        <v>9.315745787957696E-12</v>
      </c>
      <c r="H283" s="10">
        <f t="shared" si="17"/>
        <v>1.7755135523686898</v>
      </c>
      <c r="I283" s="13" t="s">
        <v>92</v>
      </c>
      <c r="P283" s="6">
        <v>41.65</v>
      </c>
      <c r="Q283" s="6">
        <v>1.42</v>
      </c>
      <c r="R283" s="6">
        <v>13.19</v>
      </c>
      <c r="S283" s="14"/>
      <c r="T283" s="6">
        <v>7.89</v>
      </c>
      <c r="U283" s="6">
        <v>0.15</v>
      </c>
      <c r="V283" s="6">
        <v>5.1100000000000003</v>
      </c>
      <c r="W283" s="6">
        <v>20.34</v>
      </c>
      <c r="X283" s="6">
        <v>2.3199999999999998</v>
      </c>
      <c r="Y283" s="6">
        <v>0.12</v>
      </c>
      <c r="Z283" s="6">
        <v>6.84</v>
      </c>
      <c r="AA283" s="6">
        <v>0.24</v>
      </c>
      <c r="AB283" s="6">
        <v>99.02</v>
      </c>
      <c r="AC283" s="15"/>
      <c r="AD283" s="14"/>
      <c r="AE283" s="6" t="s">
        <v>1141</v>
      </c>
      <c r="AG283" s="6" t="s">
        <v>1184</v>
      </c>
    </row>
    <row r="284" spans="1:33" s="6" customFormat="1">
      <c r="A284" s="8" t="s">
        <v>1098</v>
      </c>
      <c r="B284" s="6">
        <v>70</v>
      </c>
      <c r="C284" s="8" t="s">
        <v>935</v>
      </c>
      <c r="D284" s="6">
        <v>1350</v>
      </c>
      <c r="E284" s="6">
        <v>17</v>
      </c>
      <c r="F284" s="11">
        <v>66600</v>
      </c>
      <c r="G284" s="9">
        <v>9.315745787957696E-12</v>
      </c>
      <c r="H284" s="10">
        <f t="shared" si="17"/>
        <v>1.5753458915146001</v>
      </c>
      <c r="I284" s="13" t="s">
        <v>92</v>
      </c>
      <c r="P284" s="6">
        <v>27.7</v>
      </c>
      <c r="Q284" s="6">
        <v>1.01</v>
      </c>
      <c r="R284" s="6">
        <v>5.57</v>
      </c>
      <c r="S284" s="14"/>
      <c r="T284" s="6">
        <v>8.74</v>
      </c>
      <c r="V284" s="6">
        <v>14.62</v>
      </c>
      <c r="W284" s="6">
        <v>23.45</v>
      </c>
      <c r="X284" s="6">
        <v>2.2999999999999998</v>
      </c>
      <c r="Y284" s="6">
        <v>0.79</v>
      </c>
      <c r="Z284" s="6">
        <v>15.19</v>
      </c>
      <c r="AA284" s="6">
        <v>0.11</v>
      </c>
      <c r="AB284" s="6">
        <v>99.97</v>
      </c>
      <c r="AC284" s="15"/>
      <c r="AD284" s="14"/>
      <c r="AE284" s="6" t="s">
        <v>1154</v>
      </c>
      <c r="AG284" s="6" t="s">
        <v>1184</v>
      </c>
    </row>
    <row r="285" spans="1:33" s="6" customFormat="1">
      <c r="A285" s="8" t="s">
        <v>1098</v>
      </c>
      <c r="B285" s="6">
        <v>71</v>
      </c>
      <c r="C285" s="8" t="s">
        <v>935</v>
      </c>
      <c r="D285" s="6">
        <v>1350</v>
      </c>
      <c r="E285" s="6">
        <v>17</v>
      </c>
      <c r="F285" s="11">
        <v>72000</v>
      </c>
      <c r="G285" s="9">
        <v>9.315745787957696E-12</v>
      </c>
      <c r="H285" s="10">
        <f t="shared" si="17"/>
        <v>1.6379666623383446</v>
      </c>
      <c r="I285" s="13" t="s">
        <v>92</v>
      </c>
      <c r="P285" s="6">
        <v>40.380000000000003</v>
      </c>
      <c r="Q285" s="6">
        <v>2.08</v>
      </c>
      <c r="R285" s="6">
        <v>11.83</v>
      </c>
      <c r="S285" s="14"/>
      <c r="T285" s="6">
        <v>8.66</v>
      </c>
      <c r="V285" s="6">
        <v>2.39</v>
      </c>
      <c r="W285" s="6">
        <v>14.88</v>
      </c>
      <c r="X285" s="6">
        <v>2.75</v>
      </c>
      <c r="Y285" s="6">
        <v>1.31</v>
      </c>
      <c r="Z285" s="6">
        <v>6.29</v>
      </c>
      <c r="AA285" s="6">
        <v>0.11</v>
      </c>
      <c r="AB285" s="6">
        <v>99.57</v>
      </c>
      <c r="AC285" s="15"/>
      <c r="AD285" s="14"/>
      <c r="AE285" s="6" t="s">
        <v>1141</v>
      </c>
      <c r="AG285" s="6" t="s">
        <v>1184</v>
      </c>
    </row>
    <row r="286" spans="1:33" s="6" customFormat="1">
      <c r="A286" s="8" t="s">
        <v>1098</v>
      </c>
      <c r="B286" s="6">
        <v>72</v>
      </c>
      <c r="C286" s="8" t="s">
        <v>935</v>
      </c>
      <c r="D286" s="6">
        <v>1350</v>
      </c>
      <c r="E286" s="6">
        <v>25</v>
      </c>
      <c r="F286" s="11">
        <v>68400</v>
      </c>
      <c r="G286" s="9">
        <v>9.315745787957696E-12</v>
      </c>
      <c r="H286" s="10">
        <f t="shared" si="17"/>
        <v>1.5964924201464992</v>
      </c>
      <c r="I286" s="13" t="s">
        <v>92</v>
      </c>
      <c r="P286" s="6">
        <v>50.57</v>
      </c>
      <c r="Q286" s="6">
        <v>1.93</v>
      </c>
      <c r="R286" s="6">
        <v>13.03</v>
      </c>
      <c r="S286" s="14"/>
      <c r="T286" s="6">
        <v>10.44</v>
      </c>
      <c r="V286" s="6">
        <v>3.17</v>
      </c>
      <c r="W286" s="6">
        <v>12.65</v>
      </c>
      <c r="X286" s="6">
        <v>3.29</v>
      </c>
      <c r="Y286" s="6">
        <v>1.41</v>
      </c>
      <c r="Z286" s="6">
        <v>4.9800000000000004</v>
      </c>
      <c r="AA286" s="6">
        <v>0.04</v>
      </c>
      <c r="AB286" s="6">
        <v>101.43</v>
      </c>
      <c r="AC286" s="15"/>
      <c r="AD286" s="14"/>
      <c r="AE286" s="6" t="s">
        <v>1156</v>
      </c>
      <c r="AG286" s="6" t="s">
        <v>1184</v>
      </c>
    </row>
    <row r="287" spans="1:33" s="6" customFormat="1">
      <c r="A287" s="8" t="s">
        <v>1098</v>
      </c>
      <c r="B287" s="6">
        <v>73</v>
      </c>
      <c r="C287" s="8" t="s">
        <v>935</v>
      </c>
      <c r="D287" s="6">
        <v>1350</v>
      </c>
      <c r="E287" s="6">
        <v>25</v>
      </c>
      <c r="F287" s="11">
        <v>68400</v>
      </c>
      <c r="G287" s="9">
        <v>9.315745787957696E-12</v>
      </c>
      <c r="H287" s="10">
        <f t="shared" si="17"/>
        <v>1.5964924201464992</v>
      </c>
      <c r="I287" s="13" t="s">
        <v>92</v>
      </c>
      <c r="P287" s="6">
        <v>44.46</v>
      </c>
      <c r="Q287" s="6">
        <v>1.53</v>
      </c>
      <c r="R287" s="6">
        <v>13.95</v>
      </c>
      <c r="S287" s="14"/>
      <c r="T287" s="6">
        <v>8.4600000000000009</v>
      </c>
      <c r="V287" s="6">
        <v>6.21</v>
      </c>
      <c r="W287" s="6">
        <v>16.95</v>
      </c>
      <c r="X287" s="6">
        <v>2.7</v>
      </c>
      <c r="Y287" s="6">
        <v>0.18</v>
      </c>
      <c r="Z287" s="6">
        <v>6.04</v>
      </c>
      <c r="AA287" s="6">
        <v>0.11</v>
      </c>
      <c r="AB287" s="6">
        <v>100.4</v>
      </c>
      <c r="AC287" s="15"/>
      <c r="AD287" s="14"/>
      <c r="AE287" s="6" t="s">
        <v>1141</v>
      </c>
      <c r="AG287" s="6" t="s">
        <v>1184</v>
      </c>
    </row>
    <row r="288" spans="1:33" s="6" customFormat="1">
      <c r="A288" s="8" t="s">
        <v>1098</v>
      </c>
      <c r="B288" s="6">
        <v>74</v>
      </c>
      <c r="C288" s="8" t="s">
        <v>935</v>
      </c>
      <c r="D288" s="6">
        <v>1350</v>
      </c>
      <c r="E288" s="6">
        <v>17</v>
      </c>
      <c r="F288" s="11">
        <v>79200</v>
      </c>
      <c r="G288" s="9">
        <v>9.315745787957696E-12</v>
      </c>
      <c r="H288" s="10">
        <f t="shared" si="17"/>
        <v>1.7179139284681868</v>
      </c>
      <c r="I288" s="13" t="s">
        <v>92</v>
      </c>
      <c r="P288" s="6">
        <v>59.43</v>
      </c>
      <c r="Q288" s="6">
        <v>0.73</v>
      </c>
      <c r="R288" s="6">
        <v>15.58</v>
      </c>
      <c r="S288" s="14"/>
      <c r="T288" s="6">
        <v>4.3600000000000003</v>
      </c>
      <c r="U288" s="6">
        <v>0.06</v>
      </c>
      <c r="V288" s="6">
        <v>2.29</v>
      </c>
      <c r="W288" s="6">
        <v>8.7200000000000006</v>
      </c>
      <c r="X288" s="6">
        <v>2.48</v>
      </c>
      <c r="Y288" s="6">
        <v>4.3600000000000003</v>
      </c>
      <c r="Z288" s="6">
        <v>2.99</v>
      </c>
      <c r="AA288" s="6">
        <v>0.1</v>
      </c>
      <c r="AB288" s="6">
        <v>100.99</v>
      </c>
      <c r="AC288" s="15"/>
      <c r="AD288" s="14"/>
      <c r="AE288" s="6" t="s">
        <v>1140</v>
      </c>
      <c r="AG288" s="6" t="s">
        <v>1184</v>
      </c>
    </row>
    <row r="289" spans="1:33" s="6" customFormat="1">
      <c r="A289" s="8" t="s">
        <v>1098</v>
      </c>
      <c r="B289" s="6">
        <v>75</v>
      </c>
      <c r="C289" s="8" t="s">
        <v>935</v>
      </c>
      <c r="D289" s="6">
        <v>1350</v>
      </c>
      <c r="E289" s="6">
        <v>17</v>
      </c>
      <c r="F289" s="11">
        <v>91800</v>
      </c>
      <c r="G289" s="9">
        <v>9.315745787957696E-12</v>
      </c>
      <c r="H289" s="10">
        <f t="shared" si="17"/>
        <v>1.8495247641862127</v>
      </c>
      <c r="I289" s="13" t="s">
        <v>92</v>
      </c>
      <c r="P289" s="6">
        <v>46.69</v>
      </c>
      <c r="Q289" s="6">
        <v>1.56</v>
      </c>
      <c r="R289" s="6">
        <v>16.55</v>
      </c>
      <c r="S289" s="14"/>
      <c r="T289" s="6">
        <v>8.1999999999999993</v>
      </c>
      <c r="U289" s="6">
        <v>0.13</v>
      </c>
      <c r="V289" s="6">
        <v>2.14</v>
      </c>
      <c r="W289" s="6">
        <v>15.53</v>
      </c>
      <c r="X289" s="6">
        <v>2.99</v>
      </c>
      <c r="Y289" s="6">
        <v>1.37</v>
      </c>
      <c r="Z289" s="6">
        <v>4.8099999999999996</v>
      </c>
      <c r="AA289" s="6">
        <v>0.35</v>
      </c>
      <c r="AB289" s="6">
        <v>99.97</v>
      </c>
      <c r="AC289" s="15"/>
      <c r="AD289" s="14"/>
      <c r="AE289" s="6" t="s">
        <v>1140</v>
      </c>
      <c r="AG289" s="6" t="s">
        <v>1184</v>
      </c>
    </row>
    <row r="290" spans="1:33" s="6" customFormat="1">
      <c r="A290" s="8" t="s">
        <v>1098</v>
      </c>
      <c r="B290" s="6">
        <v>76</v>
      </c>
      <c r="C290" s="8" t="s">
        <v>935</v>
      </c>
      <c r="D290" s="6">
        <v>1350</v>
      </c>
      <c r="E290" s="6">
        <v>17</v>
      </c>
      <c r="F290" s="11">
        <v>90000</v>
      </c>
      <c r="G290" s="9">
        <v>9.315745787957696E-12</v>
      </c>
      <c r="H290" s="10">
        <f t="shared" si="17"/>
        <v>1.8313024009334915</v>
      </c>
      <c r="I290" s="13" t="s">
        <v>92</v>
      </c>
      <c r="P290" s="6">
        <v>26.24</v>
      </c>
      <c r="Q290" s="6">
        <v>0.67</v>
      </c>
      <c r="R290" s="6">
        <v>3.1</v>
      </c>
      <c r="S290" s="14"/>
      <c r="T290" s="6">
        <v>10.67</v>
      </c>
      <c r="U290" s="6">
        <v>0.2</v>
      </c>
      <c r="V290" s="6">
        <v>17.28</v>
      </c>
      <c r="W290" s="6">
        <v>25</v>
      </c>
      <c r="X290" s="6">
        <v>1.71</v>
      </c>
      <c r="Y290" s="6">
        <v>0.33</v>
      </c>
      <c r="Z290" s="6">
        <v>12.05</v>
      </c>
      <c r="AA290" s="6">
        <v>0.65</v>
      </c>
      <c r="AB290" s="6">
        <v>97.23</v>
      </c>
      <c r="AC290" s="15"/>
      <c r="AD290" s="14"/>
      <c r="AE290" s="6" t="s">
        <v>1154</v>
      </c>
      <c r="AG290" s="6" t="s">
        <v>1184</v>
      </c>
    </row>
    <row r="291" spans="1:33" s="6" customFormat="1">
      <c r="A291" s="8" t="s">
        <v>1098</v>
      </c>
      <c r="B291" s="6">
        <v>77</v>
      </c>
      <c r="C291" s="8" t="s">
        <v>935</v>
      </c>
      <c r="D291" s="6">
        <v>1350</v>
      </c>
      <c r="E291" s="6">
        <v>17</v>
      </c>
      <c r="F291" s="11">
        <v>79200</v>
      </c>
      <c r="G291" s="9">
        <v>9.315745787957696E-12</v>
      </c>
      <c r="H291" s="10">
        <f t="shared" si="17"/>
        <v>1.7179139284681868</v>
      </c>
      <c r="I291" s="13" t="s">
        <v>92</v>
      </c>
      <c r="P291" s="6">
        <v>45.04</v>
      </c>
      <c r="Q291" s="6">
        <v>1.31</v>
      </c>
      <c r="R291" s="6">
        <v>18.489999999999998</v>
      </c>
      <c r="S291" s="14"/>
      <c r="T291" s="6">
        <v>3.29</v>
      </c>
      <c r="U291" s="6">
        <v>0.08</v>
      </c>
      <c r="V291" s="6">
        <v>2.84</v>
      </c>
      <c r="W291" s="6">
        <v>21.13</v>
      </c>
      <c r="X291" s="6">
        <v>2.4700000000000002</v>
      </c>
      <c r="Y291" s="6">
        <v>0.13</v>
      </c>
      <c r="Z291" s="6">
        <v>5.74</v>
      </c>
      <c r="AA291" s="6">
        <v>0.2</v>
      </c>
      <c r="AB291" s="6">
        <v>100.53</v>
      </c>
      <c r="AC291" s="15"/>
      <c r="AD291" s="14"/>
      <c r="AE291" s="6" t="s">
        <v>1141</v>
      </c>
      <c r="AG291" s="6" t="s">
        <v>1184</v>
      </c>
    </row>
    <row r="292" spans="1:33" s="6" customFormat="1">
      <c r="A292" s="8" t="s">
        <v>1098</v>
      </c>
      <c r="B292" s="6">
        <v>78</v>
      </c>
      <c r="C292" s="8" t="s">
        <v>935</v>
      </c>
      <c r="D292" s="6">
        <v>1350</v>
      </c>
      <c r="E292" s="6">
        <v>25</v>
      </c>
      <c r="F292" s="11">
        <v>68400</v>
      </c>
      <c r="G292" s="9">
        <v>9.315745787957696E-12</v>
      </c>
      <c r="H292" s="10">
        <f t="shared" si="17"/>
        <v>1.5964924201464992</v>
      </c>
      <c r="I292" s="13" t="s">
        <v>92</v>
      </c>
      <c r="P292" s="6">
        <v>52</v>
      </c>
      <c r="Q292" s="6">
        <v>0.85</v>
      </c>
      <c r="R292" s="6">
        <v>15.9</v>
      </c>
      <c r="S292" s="14"/>
      <c r="T292" s="6">
        <v>6.05</v>
      </c>
      <c r="V292" s="6">
        <v>3.6</v>
      </c>
      <c r="W292" s="6">
        <v>11.85</v>
      </c>
      <c r="X292" s="6">
        <v>3.05</v>
      </c>
      <c r="Y292" s="6">
        <v>2.31</v>
      </c>
      <c r="Z292" s="6">
        <v>4.75</v>
      </c>
      <c r="AA292" s="6">
        <v>0.33</v>
      </c>
      <c r="AB292" s="6">
        <v>100.36</v>
      </c>
      <c r="AC292" s="15"/>
      <c r="AD292" s="14"/>
      <c r="AE292" s="6" t="s">
        <v>1156</v>
      </c>
      <c r="AG292" s="6" t="s">
        <v>1184</v>
      </c>
    </row>
    <row r="293" spans="1:33" s="6" customFormat="1">
      <c r="A293" s="8" t="s">
        <v>1043</v>
      </c>
      <c r="B293" s="6" t="s">
        <v>140</v>
      </c>
      <c r="C293" s="8" t="s">
        <v>1129</v>
      </c>
      <c r="D293" s="8">
        <v>1080</v>
      </c>
      <c r="E293" s="8">
        <v>8</v>
      </c>
      <c r="F293" s="8">
        <v>17280</v>
      </c>
      <c r="G293" s="9">
        <v>1.0598971239956754E-12</v>
      </c>
      <c r="H293" s="10">
        <v>0.27066601044568028</v>
      </c>
      <c r="I293" s="6">
        <v>5.6</v>
      </c>
      <c r="L293" s="8">
        <v>1</v>
      </c>
      <c r="M293" s="8">
        <v>1</v>
      </c>
      <c r="N293" s="6" t="s">
        <v>92</v>
      </c>
      <c r="O293" s="8">
        <v>1</v>
      </c>
      <c r="P293" s="6">
        <v>40.130000000000003</v>
      </c>
      <c r="Q293" s="6">
        <v>1.89</v>
      </c>
      <c r="R293" s="6">
        <v>13.18</v>
      </c>
      <c r="T293" s="6">
        <v>8.2899999999999991</v>
      </c>
      <c r="U293" s="6">
        <v>0.15</v>
      </c>
      <c r="V293" s="6">
        <v>7.42</v>
      </c>
      <c r="W293" s="6">
        <v>11.22</v>
      </c>
      <c r="X293" s="6">
        <v>3.4</v>
      </c>
      <c r="Y293" s="6">
        <v>1.6</v>
      </c>
      <c r="Z293" s="6">
        <v>3.25</v>
      </c>
      <c r="AA293" s="8">
        <v>0.18</v>
      </c>
      <c r="AB293" s="6">
        <v>90.53</v>
      </c>
      <c r="AE293" s="6" t="s">
        <v>1117</v>
      </c>
    </row>
    <row r="294" spans="1:33" s="6" customFormat="1">
      <c r="A294" s="8" t="s">
        <v>1043</v>
      </c>
      <c r="B294" s="6" t="s">
        <v>143</v>
      </c>
      <c r="C294" s="8" t="s">
        <v>1129</v>
      </c>
      <c r="D294" s="8">
        <v>1080</v>
      </c>
      <c r="E294" s="8">
        <v>20</v>
      </c>
      <c r="F294" s="8">
        <v>13680</v>
      </c>
      <c r="G294" s="9">
        <v>1.0598971239956754E-12</v>
      </c>
      <c r="H294" s="10">
        <v>0.24082684780780436</v>
      </c>
      <c r="I294" s="6">
        <v>9.9</v>
      </c>
      <c r="L294" s="8">
        <v>1</v>
      </c>
      <c r="M294" s="8">
        <v>1</v>
      </c>
      <c r="N294" s="6" t="s">
        <v>92</v>
      </c>
      <c r="O294" s="8">
        <v>1</v>
      </c>
      <c r="P294" s="6">
        <v>40</v>
      </c>
      <c r="Q294" s="6">
        <v>1.88</v>
      </c>
      <c r="R294" s="6">
        <v>13.02</v>
      </c>
      <c r="T294" s="6">
        <v>8.5299999999999994</v>
      </c>
      <c r="V294" s="6">
        <v>7.37</v>
      </c>
      <c r="W294" s="6">
        <v>11.92</v>
      </c>
      <c r="X294" s="6">
        <v>3.4</v>
      </c>
      <c r="Y294" s="6">
        <v>1.6</v>
      </c>
      <c r="Z294" s="6">
        <v>3.57</v>
      </c>
      <c r="AA294" s="8">
        <v>0.11</v>
      </c>
      <c r="AB294" s="6">
        <v>91.41</v>
      </c>
      <c r="AE294" s="6" t="s">
        <v>1117</v>
      </c>
    </row>
    <row r="295" spans="1:33" s="6" customFormat="1">
      <c r="A295" s="8" t="s">
        <v>1043</v>
      </c>
      <c r="B295" s="6" t="s">
        <v>145</v>
      </c>
      <c r="C295" s="8" t="s">
        <v>1129</v>
      </c>
      <c r="D295" s="8">
        <v>1080</v>
      </c>
      <c r="E295" s="8">
        <v>7.5</v>
      </c>
      <c r="F295" s="8">
        <v>15480</v>
      </c>
      <c r="G295" s="9">
        <v>1.0598971239956754E-12</v>
      </c>
      <c r="H295" s="10">
        <v>0.25618124427407296</v>
      </c>
      <c r="I295" s="6">
        <v>5</v>
      </c>
      <c r="L295" s="8">
        <v>1</v>
      </c>
      <c r="M295" s="8">
        <v>1</v>
      </c>
      <c r="N295" s="6" t="s">
        <v>92</v>
      </c>
      <c r="O295" s="8">
        <v>1</v>
      </c>
      <c r="P295" s="6">
        <v>40.630000000000003</v>
      </c>
      <c r="Q295" s="6">
        <v>2.09</v>
      </c>
      <c r="R295" s="6">
        <v>13.25</v>
      </c>
      <c r="T295" s="6">
        <v>8.58</v>
      </c>
      <c r="V295" s="6">
        <v>8.1199999999999992</v>
      </c>
      <c r="W295" s="6">
        <v>11.29</v>
      </c>
      <c r="X295" s="6">
        <v>3.2</v>
      </c>
      <c r="Y295" s="6">
        <v>1.6</v>
      </c>
      <c r="Z295" s="6">
        <v>3.16</v>
      </c>
      <c r="AA295" s="8">
        <v>0.23</v>
      </c>
      <c r="AB295" s="6">
        <v>91.92</v>
      </c>
      <c r="AE295" s="6" t="s">
        <v>1117</v>
      </c>
    </row>
    <row r="296" spans="1:33" s="6" customFormat="1">
      <c r="A296" s="8" t="s">
        <v>1043</v>
      </c>
      <c r="B296" s="6" t="s">
        <v>145</v>
      </c>
      <c r="C296" s="8" t="s">
        <v>1129</v>
      </c>
      <c r="D296" s="8">
        <v>1080</v>
      </c>
      <c r="E296" s="8">
        <v>7.5</v>
      </c>
      <c r="F296" s="8">
        <f>4.3*3600</f>
        <v>15480</v>
      </c>
      <c r="G296" s="9">
        <v>1.0598971239956754E-12</v>
      </c>
      <c r="H296" s="10">
        <f>2*SQRT(G296*F296)*1000</f>
        <v>0.25618124427407296</v>
      </c>
      <c r="I296" s="6">
        <v>5.9</v>
      </c>
      <c r="L296" s="8">
        <v>1</v>
      </c>
      <c r="M296" s="8">
        <v>1</v>
      </c>
      <c r="N296" s="6">
        <v>1</v>
      </c>
      <c r="O296" s="8">
        <v>1</v>
      </c>
      <c r="P296" s="6">
        <v>38.42</v>
      </c>
      <c r="Q296" s="6">
        <v>2.0299999999999998</v>
      </c>
      <c r="R296" s="6">
        <v>12.8</v>
      </c>
      <c r="T296" s="6">
        <v>10.37</v>
      </c>
      <c r="V296" s="6">
        <v>8.0399999999999991</v>
      </c>
      <c r="W296" s="6">
        <v>11.74</v>
      </c>
      <c r="X296" s="6">
        <v>3.1</v>
      </c>
      <c r="Y296" s="6">
        <v>1.5</v>
      </c>
      <c r="Z296" s="6">
        <v>3.65</v>
      </c>
      <c r="AA296" s="8">
        <v>0.15</v>
      </c>
      <c r="AB296" s="6">
        <v>91.65</v>
      </c>
      <c r="AE296" s="6" t="s">
        <v>1117</v>
      </c>
    </row>
    <row r="297" spans="1:33" s="6" customFormat="1">
      <c r="A297" s="8" t="s">
        <v>1043</v>
      </c>
      <c r="B297" s="6" t="s">
        <v>152</v>
      </c>
      <c r="C297" s="8" t="s">
        <v>1129</v>
      </c>
      <c r="D297" s="8">
        <v>1080</v>
      </c>
      <c r="E297" s="8">
        <v>20</v>
      </c>
      <c r="F297" s="8">
        <v>10800</v>
      </c>
      <c r="G297" s="9">
        <v>1.0598971239956754E-12</v>
      </c>
      <c r="H297" s="10">
        <v>0.21398026954981897</v>
      </c>
      <c r="I297" s="6">
        <v>10.199999999999999</v>
      </c>
      <c r="L297" s="8">
        <v>1</v>
      </c>
      <c r="M297" s="8">
        <v>1</v>
      </c>
      <c r="N297" s="6" t="s">
        <v>92</v>
      </c>
      <c r="O297" s="8">
        <v>1</v>
      </c>
      <c r="P297" s="6">
        <v>67.7</v>
      </c>
      <c r="Q297" s="6">
        <v>0.23</v>
      </c>
      <c r="R297" s="6">
        <v>13.04</v>
      </c>
      <c r="T297" s="6">
        <v>1.71</v>
      </c>
      <c r="V297" s="6">
        <v>0.39</v>
      </c>
      <c r="W297" s="6">
        <v>2.5299999999999998</v>
      </c>
      <c r="X297" s="6">
        <v>4</v>
      </c>
      <c r="Y297" s="6">
        <v>3</v>
      </c>
      <c r="Z297" s="6">
        <v>0.28999999999999998</v>
      </c>
      <c r="AA297" s="8">
        <v>0.2</v>
      </c>
      <c r="AB297" s="6">
        <v>92.89</v>
      </c>
      <c r="AE297" s="6" t="s">
        <v>1132</v>
      </c>
    </row>
    <row r="298" spans="1:33" s="6" customFormat="1">
      <c r="A298" s="8" t="s">
        <v>1085</v>
      </c>
      <c r="B298" s="8" t="s">
        <v>697</v>
      </c>
      <c r="C298" s="8" t="s">
        <v>645</v>
      </c>
      <c r="D298" s="8">
        <v>850</v>
      </c>
      <c r="E298" s="8">
        <v>1</v>
      </c>
      <c r="F298" s="31">
        <v>428400</v>
      </c>
      <c r="G298" s="32">
        <v>7.2976735414337512E-14</v>
      </c>
      <c r="H298" s="33">
        <f t="shared" ref="H298:H321" si="18">2*SQRT(G298*F298)*1000</f>
        <v>0.35362824237609863</v>
      </c>
      <c r="I298" s="8" t="s">
        <v>41</v>
      </c>
      <c r="J298" s="8" t="s">
        <v>698</v>
      </c>
      <c r="K298" s="8"/>
      <c r="L298" s="8">
        <v>1</v>
      </c>
      <c r="M298" s="8">
        <v>1</v>
      </c>
      <c r="N298" s="8">
        <v>1</v>
      </c>
      <c r="O298" s="8">
        <v>1</v>
      </c>
      <c r="P298" s="8">
        <v>71.66</v>
      </c>
      <c r="Q298" s="8">
        <v>0.19800000000000001</v>
      </c>
      <c r="R298" s="8">
        <v>14.5</v>
      </c>
      <c r="S298" s="8"/>
      <c r="T298" s="8">
        <v>3.05</v>
      </c>
      <c r="U298" s="8">
        <v>0.11799999999999999</v>
      </c>
      <c r="V298" s="8">
        <v>0.188</v>
      </c>
      <c r="W298" s="8">
        <v>1.99</v>
      </c>
      <c r="X298" s="8">
        <v>5.6</v>
      </c>
      <c r="Y298" s="8">
        <v>2.54</v>
      </c>
      <c r="Z298" s="8">
        <v>5.3999999999999999E-2</v>
      </c>
      <c r="AA298" s="8">
        <v>2.8000000000000001E-2</v>
      </c>
      <c r="AB298" s="8">
        <v>96.92</v>
      </c>
      <c r="AC298" s="8">
        <v>4.2699999999999996</v>
      </c>
      <c r="AD298" s="8" t="s">
        <v>43</v>
      </c>
      <c r="AE298" s="6" t="s">
        <v>1131</v>
      </c>
    </row>
    <row r="299" spans="1:33" s="6" customFormat="1">
      <c r="A299" s="8" t="s">
        <v>1085</v>
      </c>
      <c r="B299" s="8" t="s">
        <v>699</v>
      </c>
      <c r="C299" s="8" t="s">
        <v>645</v>
      </c>
      <c r="D299" s="8">
        <v>850</v>
      </c>
      <c r="E299" s="8">
        <v>2</v>
      </c>
      <c r="F299" s="31">
        <v>338400</v>
      </c>
      <c r="G299" s="32">
        <v>7.2976735414337512E-14</v>
      </c>
      <c r="H299" s="33">
        <f t="shared" si="18"/>
        <v>0.31429493959789945</v>
      </c>
      <c r="I299" s="8" t="s">
        <v>41</v>
      </c>
      <c r="J299" s="8" t="s">
        <v>700</v>
      </c>
      <c r="K299" s="8"/>
      <c r="L299" s="8">
        <v>1</v>
      </c>
      <c r="M299" s="8">
        <v>1</v>
      </c>
      <c r="N299" s="8">
        <v>1</v>
      </c>
      <c r="O299" s="8">
        <v>1</v>
      </c>
      <c r="P299" s="8">
        <v>69.83</v>
      </c>
      <c r="Q299" s="8">
        <v>0.22900000000000001</v>
      </c>
      <c r="R299" s="8">
        <v>15.42</v>
      </c>
      <c r="S299" s="8"/>
      <c r="T299" s="8">
        <v>3.23</v>
      </c>
      <c r="U299" s="8">
        <v>0.13100000000000001</v>
      </c>
      <c r="V299" s="8">
        <v>0.23499999999999999</v>
      </c>
      <c r="W299" s="8">
        <v>2.56</v>
      </c>
      <c r="X299" s="8">
        <v>6.01</v>
      </c>
      <c r="Y299" s="8">
        <v>2.2000000000000002</v>
      </c>
      <c r="Z299" s="8">
        <v>4.4999999999999998E-2</v>
      </c>
      <c r="AA299" s="8">
        <v>1.9E-2</v>
      </c>
      <c r="AB299" s="8">
        <v>95.5</v>
      </c>
      <c r="AC299" s="8">
        <v>6.67</v>
      </c>
      <c r="AD299" s="8" t="s">
        <v>43</v>
      </c>
      <c r="AE299" s="6" t="s">
        <v>1131</v>
      </c>
    </row>
    <row r="300" spans="1:33" s="6" customFormat="1">
      <c r="A300" s="8" t="s">
        <v>1085</v>
      </c>
      <c r="B300" s="8" t="s">
        <v>701</v>
      </c>
      <c r="C300" s="8" t="s">
        <v>645</v>
      </c>
      <c r="D300" s="8">
        <v>900</v>
      </c>
      <c r="E300" s="8">
        <v>1</v>
      </c>
      <c r="F300" s="31">
        <v>691200</v>
      </c>
      <c r="G300" s="32">
        <v>1.4274849337614078E-13</v>
      </c>
      <c r="H300" s="33">
        <f t="shared" si="18"/>
        <v>0.6282284890757136</v>
      </c>
      <c r="I300" s="8" t="s">
        <v>41</v>
      </c>
      <c r="J300" s="8" t="s">
        <v>702</v>
      </c>
      <c r="K300" s="8"/>
      <c r="L300" s="8">
        <v>1</v>
      </c>
      <c r="M300" s="8">
        <v>1</v>
      </c>
      <c r="N300" s="8">
        <v>1</v>
      </c>
      <c r="O300" s="8">
        <v>1</v>
      </c>
      <c r="P300" s="8">
        <v>70.75</v>
      </c>
      <c r="Q300" s="8">
        <v>0.32900000000000001</v>
      </c>
      <c r="R300" s="8">
        <v>15.04</v>
      </c>
      <c r="S300" s="8"/>
      <c r="T300" s="8">
        <v>2.5299999999999998</v>
      </c>
      <c r="U300" s="8">
        <v>0.153</v>
      </c>
      <c r="V300" s="8">
        <v>0.29799999999999999</v>
      </c>
      <c r="W300" s="8">
        <v>2.4300000000000002</v>
      </c>
      <c r="X300" s="8">
        <v>5.95</v>
      </c>
      <c r="Y300" s="8">
        <v>2.36</v>
      </c>
      <c r="Z300" s="8">
        <v>0.05</v>
      </c>
      <c r="AA300" s="8">
        <v>2.7E-2</v>
      </c>
      <c r="AB300" s="8">
        <v>97.71</v>
      </c>
      <c r="AC300" s="8">
        <v>4.26</v>
      </c>
      <c r="AD300" s="8" t="s">
        <v>43</v>
      </c>
      <c r="AE300" s="6" t="s">
        <v>1131</v>
      </c>
    </row>
    <row r="301" spans="1:33" s="6" customFormat="1">
      <c r="A301" s="8" t="s">
        <v>1085</v>
      </c>
      <c r="B301" s="8" t="s">
        <v>703</v>
      </c>
      <c r="C301" s="8" t="s">
        <v>645</v>
      </c>
      <c r="D301" s="8">
        <v>900</v>
      </c>
      <c r="E301" s="8">
        <v>0.5</v>
      </c>
      <c r="F301" s="31">
        <v>496800</v>
      </c>
      <c r="G301" s="32">
        <v>1.4274849337614078E-13</v>
      </c>
      <c r="H301" s="33">
        <f t="shared" si="18"/>
        <v>0.5326066147139622</v>
      </c>
      <c r="I301" s="8" t="s">
        <v>41</v>
      </c>
      <c r="J301" s="8" t="s">
        <v>700</v>
      </c>
      <c r="K301" s="8"/>
      <c r="L301" s="8">
        <v>1</v>
      </c>
      <c r="M301" s="8">
        <v>1</v>
      </c>
      <c r="N301" s="8">
        <v>1</v>
      </c>
      <c r="O301" s="8">
        <v>1</v>
      </c>
      <c r="P301" s="8">
        <v>71.930000000000007</v>
      </c>
      <c r="Q301" s="8">
        <v>0.26500000000000001</v>
      </c>
      <c r="R301" s="8">
        <v>13.77</v>
      </c>
      <c r="S301" s="8"/>
      <c r="T301" s="8">
        <v>3.39</v>
      </c>
      <c r="U301" s="8">
        <v>0.161</v>
      </c>
      <c r="V301" s="8">
        <v>0.22900000000000001</v>
      </c>
      <c r="W301" s="8">
        <v>1.78</v>
      </c>
      <c r="X301" s="8">
        <v>5.61</v>
      </c>
      <c r="Y301" s="8">
        <v>2.7</v>
      </c>
      <c r="Z301" s="8">
        <v>3.4000000000000002E-2</v>
      </c>
      <c r="AA301" s="8">
        <v>1.7000000000000001E-2</v>
      </c>
      <c r="AB301" s="8">
        <v>98.56</v>
      </c>
      <c r="AC301" s="8">
        <v>2.74</v>
      </c>
      <c r="AD301" s="8" t="s">
        <v>43</v>
      </c>
      <c r="AE301" s="6" t="s">
        <v>1131</v>
      </c>
    </row>
    <row r="302" spans="1:33" s="6" customFormat="1">
      <c r="A302" s="8" t="s">
        <v>1085</v>
      </c>
      <c r="B302" s="8" t="s">
        <v>704</v>
      </c>
      <c r="C302" s="8" t="s">
        <v>645</v>
      </c>
      <c r="D302" s="8">
        <v>850</v>
      </c>
      <c r="E302" s="8">
        <v>1.5</v>
      </c>
      <c r="F302" s="31">
        <v>1112400</v>
      </c>
      <c r="G302" s="32">
        <v>7.2976735414337512E-14</v>
      </c>
      <c r="H302" s="33">
        <f t="shared" si="18"/>
        <v>0.56983969842372006</v>
      </c>
      <c r="I302" s="8" t="s">
        <v>41</v>
      </c>
      <c r="J302" s="8" t="s">
        <v>700</v>
      </c>
      <c r="K302" s="8"/>
      <c r="L302" s="8">
        <v>1</v>
      </c>
      <c r="M302" s="8">
        <v>1</v>
      </c>
      <c r="N302" s="8">
        <v>1</v>
      </c>
      <c r="O302" s="8">
        <v>1</v>
      </c>
      <c r="P302" s="8">
        <v>72.150000000000006</v>
      </c>
      <c r="Q302" s="8">
        <v>0.22500000000000001</v>
      </c>
      <c r="R302" s="8">
        <v>15.32</v>
      </c>
      <c r="S302" s="8"/>
      <c r="T302" s="8">
        <v>2.42</v>
      </c>
      <c r="U302" s="8">
        <v>0.112</v>
      </c>
      <c r="V302" s="8">
        <v>0.19700000000000001</v>
      </c>
      <c r="W302" s="8">
        <v>2.4300000000000002</v>
      </c>
      <c r="X302" s="8">
        <v>4.63</v>
      </c>
      <c r="Y302" s="8">
        <v>2.34</v>
      </c>
      <c r="Z302" s="8">
        <v>5.0999999999999997E-2</v>
      </c>
      <c r="AA302" s="8">
        <v>2.5000000000000001E-2</v>
      </c>
      <c r="AB302" s="8">
        <v>93.47</v>
      </c>
      <c r="AC302" s="8">
        <v>5.41</v>
      </c>
      <c r="AD302" s="8" t="s">
        <v>43</v>
      </c>
      <c r="AE302" s="6" t="s">
        <v>1131</v>
      </c>
    </row>
    <row r="303" spans="1:33" s="6" customFormat="1">
      <c r="A303" s="8" t="s">
        <v>1085</v>
      </c>
      <c r="B303" s="8" t="s">
        <v>705</v>
      </c>
      <c r="C303" s="8" t="s">
        <v>645</v>
      </c>
      <c r="D303" s="8">
        <v>950</v>
      </c>
      <c r="E303" s="8">
        <v>1</v>
      </c>
      <c r="F303" s="31">
        <v>248400</v>
      </c>
      <c r="G303" s="32">
        <v>2.6432360916877484E-13</v>
      </c>
      <c r="H303" s="33">
        <f t="shared" si="18"/>
        <v>0.51247628049510219</v>
      </c>
      <c r="I303" s="8" t="s">
        <v>41</v>
      </c>
      <c r="J303" s="8" t="s">
        <v>706</v>
      </c>
      <c r="K303" s="8"/>
      <c r="L303" s="8">
        <v>1</v>
      </c>
      <c r="M303" s="8">
        <v>1</v>
      </c>
      <c r="N303" s="8">
        <v>1</v>
      </c>
      <c r="O303" s="8">
        <v>1</v>
      </c>
      <c r="P303" s="8">
        <v>69.89</v>
      </c>
      <c r="Q303" s="8">
        <v>0.27300000000000002</v>
      </c>
      <c r="R303" s="8">
        <v>15.25</v>
      </c>
      <c r="S303" s="8"/>
      <c r="T303" s="8">
        <v>2.83</v>
      </c>
      <c r="U303" s="8">
        <v>0.13100000000000001</v>
      </c>
      <c r="V303" s="8">
        <v>0.23300000000000001</v>
      </c>
      <c r="W303" s="8">
        <v>2.29</v>
      </c>
      <c r="X303" s="8">
        <v>6.31</v>
      </c>
      <c r="Y303" s="8">
        <v>2.61</v>
      </c>
      <c r="Z303" s="8">
        <v>4.3999999999999997E-2</v>
      </c>
      <c r="AA303" s="8">
        <v>2.3E-2</v>
      </c>
      <c r="AB303" s="8">
        <v>98.65</v>
      </c>
      <c r="AC303" s="8">
        <v>4.2300000000000004</v>
      </c>
      <c r="AD303" s="8" t="s">
        <v>43</v>
      </c>
      <c r="AE303" s="6" t="s">
        <v>1131</v>
      </c>
    </row>
    <row r="304" spans="1:33" s="6" customFormat="1">
      <c r="A304" s="8" t="s">
        <v>1085</v>
      </c>
      <c r="B304" s="8" t="s">
        <v>707</v>
      </c>
      <c r="C304" s="8" t="s">
        <v>645</v>
      </c>
      <c r="D304" s="8">
        <v>975</v>
      </c>
      <c r="E304" s="8">
        <v>0.5</v>
      </c>
      <c r="F304" s="31">
        <v>252000</v>
      </c>
      <c r="G304" s="32">
        <v>3.530850559550637E-13</v>
      </c>
      <c r="H304" s="33">
        <f t="shared" si="18"/>
        <v>0.59658170974536606</v>
      </c>
      <c r="I304" s="8" t="s">
        <v>41</v>
      </c>
      <c r="J304" s="8" t="s">
        <v>708</v>
      </c>
      <c r="K304" s="8"/>
      <c r="L304" s="8">
        <v>1</v>
      </c>
      <c r="M304" s="8">
        <v>1</v>
      </c>
      <c r="N304" s="8">
        <v>1</v>
      </c>
      <c r="O304" s="8">
        <v>1</v>
      </c>
      <c r="P304" s="8">
        <v>71</v>
      </c>
      <c r="Q304" s="8">
        <v>0.27600000000000002</v>
      </c>
      <c r="R304" s="8">
        <v>15.07</v>
      </c>
      <c r="S304" s="8"/>
      <c r="T304" s="8">
        <v>2.1</v>
      </c>
      <c r="U304" s="8">
        <v>0.108</v>
      </c>
      <c r="V304" s="8">
        <v>0.23699999999999999</v>
      </c>
      <c r="W304" s="8">
        <v>2.44</v>
      </c>
      <c r="X304" s="8">
        <v>6.78</v>
      </c>
      <c r="Y304" s="8">
        <v>2.37</v>
      </c>
      <c r="Z304" s="8">
        <v>5.8999999999999997E-2</v>
      </c>
      <c r="AA304" s="8">
        <v>3.2000000000000001E-2</v>
      </c>
      <c r="AB304" s="8">
        <v>100.2</v>
      </c>
      <c r="AC304" s="8">
        <v>2.74</v>
      </c>
      <c r="AD304" s="8" t="s">
        <v>43</v>
      </c>
      <c r="AE304" s="6" t="s">
        <v>1131</v>
      </c>
    </row>
    <row r="305" spans="1:31" s="6" customFormat="1">
      <c r="A305" s="8" t="s">
        <v>1085</v>
      </c>
      <c r="B305" s="8" t="s">
        <v>709</v>
      </c>
      <c r="C305" s="8" t="s">
        <v>645</v>
      </c>
      <c r="D305" s="8">
        <v>875</v>
      </c>
      <c r="E305" s="8">
        <v>2</v>
      </c>
      <c r="F305" s="31">
        <v>252000</v>
      </c>
      <c r="G305" s="32">
        <v>1.028135457036711E-13</v>
      </c>
      <c r="H305" s="33">
        <f t="shared" si="18"/>
        <v>0.32192554118817673</v>
      </c>
      <c r="I305" s="8" t="s">
        <v>41</v>
      </c>
      <c r="J305" s="8" t="s">
        <v>710</v>
      </c>
      <c r="K305" s="8"/>
      <c r="L305" s="8">
        <v>1</v>
      </c>
      <c r="M305" s="8">
        <v>1</v>
      </c>
      <c r="N305" s="8">
        <v>1</v>
      </c>
      <c r="O305" s="8">
        <v>1</v>
      </c>
      <c r="P305" s="8">
        <v>70.459999999999994</v>
      </c>
      <c r="Q305" s="8">
        <v>0.25600000000000001</v>
      </c>
      <c r="R305" s="8">
        <v>15.4</v>
      </c>
      <c r="S305" s="8"/>
      <c r="T305" s="8">
        <v>3.28</v>
      </c>
      <c r="U305" s="8">
        <v>0.14000000000000001</v>
      </c>
      <c r="V305" s="8">
        <v>0.22700000000000001</v>
      </c>
      <c r="W305" s="8">
        <v>2.31</v>
      </c>
      <c r="X305" s="8">
        <v>5.09</v>
      </c>
      <c r="Y305" s="8">
        <v>2.6</v>
      </c>
      <c r="Z305" s="8">
        <v>4.5999999999999999E-2</v>
      </c>
      <c r="AA305" s="8">
        <v>2.4E-2</v>
      </c>
      <c r="AB305" s="8">
        <v>95.18</v>
      </c>
      <c r="AC305" s="8">
        <v>6.53</v>
      </c>
      <c r="AD305" s="8" t="s">
        <v>43</v>
      </c>
      <c r="AE305" s="6" t="s">
        <v>1131</v>
      </c>
    </row>
    <row r="306" spans="1:31" s="6" customFormat="1">
      <c r="A306" s="8" t="s">
        <v>1085</v>
      </c>
      <c r="B306" s="8" t="s">
        <v>711</v>
      </c>
      <c r="C306" s="8" t="s">
        <v>645</v>
      </c>
      <c r="D306" s="8">
        <v>800</v>
      </c>
      <c r="E306" s="8">
        <v>1</v>
      </c>
      <c r="F306" s="31">
        <v>597600</v>
      </c>
      <c r="G306" s="32">
        <v>3.5046513928104248E-14</v>
      </c>
      <c r="H306" s="33">
        <f t="shared" si="18"/>
        <v>0.28943943562296481</v>
      </c>
      <c r="I306" s="8" t="s">
        <v>41</v>
      </c>
      <c r="J306" s="8" t="s">
        <v>700</v>
      </c>
      <c r="K306" s="8"/>
      <c r="L306" s="8">
        <v>1</v>
      </c>
      <c r="M306" s="8">
        <v>1</v>
      </c>
      <c r="N306" s="8">
        <v>1</v>
      </c>
      <c r="O306" s="8">
        <v>1</v>
      </c>
      <c r="P306" s="8">
        <v>77.22</v>
      </c>
      <c r="Q306" s="8">
        <v>8.7999999999999995E-2</v>
      </c>
      <c r="R306" s="8">
        <v>13.45</v>
      </c>
      <c r="S306" s="8"/>
      <c r="T306" s="8">
        <v>1.81</v>
      </c>
      <c r="U306" s="8">
        <v>0.10100000000000001</v>
      </c>
      <c r="V306" s="8">
        <v>7.6999999999999999E-2</v>
      </c>
      <c r="W306" s="8">
        <v>1.23</v>
      </c>
      <c r="X306" s="8">
        <v>3.79</v>
      </c>
      <c r="Y306" s="8">
        <v>2.06</v>
      </c>
      <c r="Z306" s="8">
        <v>0.01</v>
      </c>
      <c r="AA306" s="8">
        <v>7.0000000000000001E-3</v>
      </c>
      <c r="AB306" s="8">
        <v>91.83</v>
      </c>
      <c r="AC306" s="8">
        <v>4.24</v>
      </c>
      <c r="AD306" s="8" t="s">
        <v>43</v>
      </c>
      <c r="AE306" s="6" t="s">
        <v>1131</v>
      </c>
    </row>
    <row r="307" spans="1:31" s="6" customFormat="1">
      <c r="A307" s="8" t="s">
        <v>1085</v>
      </c>
      <c r="B307" s="8" t="s">
        <v>712</v>
      </c>
      <c r="C307" s="8" t="s">
        <v>645</v>
      </c>
      <c r="D307" s="8">
        <v>850</v>
      </c>
      <c r="E307" s="8">
        <v>1.25</v>
      </c>
      <c r="F307" s="31">
        <v>590400</v>
      </c>
      <c r="G307" s="32">
        <v>7.2976735414337512E-14</v>
      </c>
      <c r="H307" s="33">
        <f t="shared" si="18"/>
        <v>0.41514076932349042</v>
      </c>
      <c r="I307" s="8" t="s">
        <v>41</v>
      </c>
      <c r="J307" s="8" t="s">
        <v>700</v>
      </c>
      <c r="K307" s="8"/>
      <c r="L307" s="8">
        <v>1</v>
      </c>
      <c r="M307" s="8">
        <v>1</v>
      </c>
      <c r="N307" s="8">
        <v>1</v>
      </c>
      <c r="O307" s="8">
        <v>1</v>
      </c>
      <c r="P307" s="8">
        <v>74.31</v>
      </c>
      <c r="Q307" s="8">
        <v>0.183</v>
      </c>
      <c r="R307" s="8">
        <v>14.88</v>
      </c>
      <c r="S307" s="8"/>
      <c r="T307" s="8">
        <v>2.87</v>
      </c>
      <c r="U307" s="8">
        <v>0.13</v>
      </c>
      <c r="V307" s="8">
        <v>0.19800000000000001</v>
      </c>
      <c r="W307" s="8">
        <v>2.16</v>
      </c>
      <c r="X307" s="8">
        <v>3.48</v>
      </c>
      <c r="Y307" s="8">
        <v>1.66</v>
      </c>
      <c r="Z307" s="8">
        <v>1.4E-2</v>
      </c>
      <c r="AA307" s="8">
        <v>1.0999999999999999E-2</v>
      </c>
      <c r="AB307" s="8">
        <v>93.44</v>
      </c>
      <c r="AC307" s="8">
        <v>4.76</v>
      </c>
      <c r="AD307" s="8" t="s">
        <v>43</v>
      </c>
      <c r="AE307" s="6" t="s">
        <v>1131</v>
      </c>
    </row>
    <row r="308" spans="1:31" s="6" customFormat="1">
      <c r="A308" s="8" t="s">
        <v>1085</v>
      </c>
      <c r="B308" s="8" t="s">
        <v>713</v>
      </c>
      <c r="C308" s="8" t="s">
        <v>645</v>
      </c>
      <c r="D308" s="8">
        <v>875</v>
      </c>
      <c r="E308" s="8">
        <v>1.5</v>
      </c>
      <c r="F308" s="31">
        <v>428400</v>
      </c>
      <c r="G308" s="32">
        <v>1.028135457036711E-13</v>
      </c>
      <c r="H308" s="33">
        <f t="shared" si="18"/>
        <v>0.41973955248202521</v>
      </c>
      <c r="I308" s="8" t="s">
        <v>41</v>
      </c>
      <c r="J308" s="8" t="s">
        <v>714</v>
      </c>
      <c r="K308" s="8"/>
      <c r="L308" s="8">
        <v>1</v>
      </c>
      <c r="M308" s="8">
        <v>1</v>
      </c>
      <c r="N308" s="8">
        <v>1</v>
      </c>
      <c r="O308" s="8">
        <v>1</v>
      </c>
      <c r="P308" s="8">
        <v>74.319999999999993</v>
      </c>
      <c r="Q308" s="8">
        <v>0.27100000000000002</v>
      </c>
      <c r="R308" s="8">
        <v>15.88</v>
      </c>
      <c r="S308" s="8"/>
      <c r="T308" s="8">
        <v>2.14</v>
      </c>
      <c r="U308" s="8">
        <v>8.5000000000000006E-2</v>
      </c>
      <c r="V308" s="8">
        <v>0.14599999999999999</v>
      </c>
      <c r="W308" s="8">
        <v>2.79</v>
      </c>
      <c r="X308" s="8">
        <v>2.6</v>
      </c>
      <c r="Y308" s="8">
        <v>1.62</v>
      </c>
      <c r="Z308" s="8">
        <v>3.4000000000000002E-2</v>
      </c>
      <c r="AA308" s="8">
        <v>2.1000000000000001E-2</v>
      </c>
      <c r="AB308" s="8">
        <v>91.48</v>
      </c>
      <c r="AC308" s="8">
        <v>5.26</v>
      </c>
      <c r="AD308" s="8" t="s">
        <v>43</v>
      </c>
      <c r="AE308" s="6" t="s">
        <v>1131</v>
      </c>
    </row>
    <row r="309" spans="1:31" s="6" customFormat="1">
      <c r="A309" s="8" t="s">
        <v>1085</v>
      </c>
      <c r="B309" s="8" t="s">
        <v>715</v>
      </c>
      <c r="C309" s="8" t="s">
        <v>645</v>
      </c>
      <c r="D309" s="8">
        <v>900</v>
      </c>
      <c r="E309" s="35">
        <v>1.5</v>
      </c>
      <c r="F309" s="31">
        <v>590400</v>
      </c>
      <c r="G309" s="32">
        <v>1.4274849337614078E-13</v>
      </c>
      <c r="H309" s="33">
        <f t="shared" si="18"/>
        <v>0.58061591603838592</v>
      </c>
      <c r="I309" s="8" t="s">
        <v>41</v>
      </c>
      <c r="J309" s="8" t="s">
        <v>716</v>
      </c>
      <c r="K309" s="8"/>
      <c r="L309" s="8">
        <v>1</v>
      </c>
      <c r="M309" s="8">
        <v>1</v>
      </c>
      <c r="N309" s="8">
        <v>1</v>
      </c>
      <c r="O309" s="8">
        <v>1</v>
      </c>
      <c r="P309" s="8">
        <v>73.63</v>
      </c>
      <c r="Q309" s="8">
        <v>0.307</v>
      </c>
      <c r="R309" s="8">
        <v>15.71</v>
      </c>
      <c r="S309" s="8"/>
      <c r="T309" s="8">
        <v>3.1</v>
      </c>
      <c r="U309" s="8">
        <v>0.125</v>
      </c>
      <c r="V309" s="8">
        <v>0.24399999999999999</v>
      </c>
      <c r="W309" s="8">
        <v>2.69</v>
      </c>
      <c r="X309" s="8">
        <v>2.5299999999999998</v>
      </c>
      <c r="Y309" s="8">
        <v>1.52</v>
      </c>
      <c r="Z309" s="8">
        <v>3.3000000000000002E-2</v>
      </c>
      <c r="AA309" s="8">
        <v>1.2E-2</v>
      </c>
      <c r="AB309" s="8">
        <v>91.83</v>
      </c>
      <c r="AC309" s="8">
        <v>5.24</v>
      </c>
      <c r="AD309" s="8" t="s">
        <v>43</v>
      </c>
      <c r="AE309" s="6" t="s">
        <v>1131</v>
      </c>
    </row>
    <row r="310" spans="1:31" s="6" customFormat="1">
      <c r="A310" s="8" t="s">
        <v>1041</v>
      </c>
      <c r="B310" s="8" t="s">
        <v>131</v>
      </c>
      <c r="C310" s="8" t="s">
        <v>123</v>
      </c>
      <c r="D310" s="8">
        <v>750</v>
      </c>
      <c r="E310" s="8">
        <v>2</v>
      </c>
      <c r="F310" s="8">
        <f>790*3600</f>
        <v>2844000</v>
      </c>
      <c r="G310" s="9">
        <v>1.5666500344126923E-14</v>
      </c>
      <c r="H310" s="10">
        <f t="shared" si="18"/>
        <v>0.42216360325682728</v>
      </c>
      <c r="I310" s="8" t="s">
        <v>41</v>
      </c>
      <c r="J310" s="8" t="s">
        <v>74</v>
      </c>
      <c r="K310" s="8"/>
      <c r="L310" s="8">
        <v>1</v>
      </c>
      <c r="M310" s="8">
        <v>1</v>
      </c>
      <c r="N310" s="8">
        <v>0</v>
      </c>
      <c r="O310" s="8">
        <v>0</v>
      </c>
      <c r="P310" s="8">
        <v>69.48</v>
      </c>
      <c r="Q310" s="8"/>
      <c r="R310" s="8">
        <v>13.49</v>
      </c>
      <c r="S310" s="8"/>
      <c r="T310" s="8"/>
      <c r="U310" s="8"/>
      <c r="V310" s="8"/>
      <c r="W310" s="8">
        <v>0.27</v>
      </c>
      <c r="X310" s="8">
        <v>4.66</v>
      </c>
      <c r="Y310" s="8">
        <v>3.58</v>
      </c>
      <c r="Z310" s="8">
        <v>0.13</v>
      </c>
      <c r="AA310" s="8">
        <v>0</v>
      </c>
      <c r="AB310" s="8">
        <v>91.27</v>
      </c>
      <c r="AC310" s="8"/>
      <c r="AD310" s="8"/>
      <c r="AE310" s="6" t="s">
        <v>1116</v>
      </c>
    </row>
    <row r="311" spans="1:31" s="6" customFormat="1">
      <c r="A311" s="8" t="s">
        <v>1041</v>
      </c>
      <c r="B311" s="8" t="s">
        <v>132</v>
      </c>
      <c r="C311" s="8" t="s">
        <v>123</v>
      </c>
      <c r="D311" s="8">
        <v>750</v>
      </c>
      <c r="E311" s="8">
        <v>2</v>
      </c>
      <c r="F311" s="8">
        <f>790*3600</f>
        <v>2844000</v>
      </c>
      <c r="G311" s="9">
        <v>1.5666500344126923E-14</v>
      </c>
      <c r="H311" s="10">
        <f t="shared" si="18"/>
        <v>0.42216360325682728</v>
      </c>
      <c r="I311" s="8" t="s">
        <v>41</v>
      </c>
      <c r="J311" s="8" t="s">
        <v>74</v>
      </c>
      <c r="K311" s="8"/>
      <c r="L311" s="8">
        <v>1</v>
      </c>
      <c r="M311" s="8">
        <v>1</v>
      </c>
      <c r="N311" s="8">
        <v>0</v>
      </c>
      <c r="O311" s="8">
        <v>0</v>
      </c>
      <c r="P311" s="8">
        <v>68.31</v>
      </c>
      <c r="Q311" s="8"/>
      <c r="R311" s="8">
        <v>14.22</v>
      </c>
      <c r="S311" s="8"/>
      <c r="T311" s="8"/>
      <c r="U311" s="8"/>
      <c r="V311" s="8"/>
      <c r="W311" s="8">
        <v>0.43</v>
      </c>
      <c r="X311" s="8">
        <v>4.49</v>
      </c>
      <c r="Y311" s="8">
        <v>3.61</v>
      </c>
      <c r="Z311" s="8">
        <v>0.28000000000000003</v>
      </c>
      <c r="AA311" s="8">
        <v>0.01</v>
      </c>
      <c r="AB311" s="8">
        <v>91.27</v>
      </c>
      <c r="AC311" s="8"/>
      <c r="AD311" s="8"/>
      <c r="AE311" s="6" t="s">
        <v>1116</v>
      </c>
    </row>
    <row r="312" spans="1:31" s="6" customFormat="1">
      <c r="A312" s="8" t="s">
        <v>1041</v>
      </c>
      <c r="B312" s="8" t="s">
        <v>133</v>
      </c>
      <c r="C312" s="8" t="s">
        <v>123</v>
      </c>
      <c r="D312" s="8">
        <v>750</v>
      </c>
      <c r="E312" s="8">
        <v>2</v>
      </c>
      <c r="F312" s="8">
        <f>790*3600</f>
        <v>2844000</v>
      </c>
      <c r="G312" s="9">
        <v>1.5666500344126923E-14</v>
      </c>
      <c r="H312" s="10">
        <f t="shared" si="18"/>
        <v>0.42216360325682728</v>
      </c>
      <c r="I312" s="8" t="s">
        <v>41</v>
      </c>
      <c r="J312" s="8" t="s">
        <v>124</v>
      </c>
      <c r="K312" s="8"/>
      <c r="L312" s="8">
        <v>1</v>
      </c>
      <c r="M312" s="8">
        <v>1</v>
      </c>
      <c r="N312" s="8">
        <v>0</v>
      </c>
      <c r="O312" s="8">
        <v>0</v>
      </c>
      <c r="P312" s="8">
        <v>67.52</v>
      </c>
      <c r="Q312" s="8"/>
      <c r="R312" s="8">
        <v>14.37</v>
      </c>
      <c r="S312" s="8"/>
      <c r="T312" s="8"/>
      <c r="U312" s="8"/>
      <c r="V312" s="8"/>
      <c r="W312" s="8">
        <v>0.5</v>
      </c>
      <c r="X312" s="8">
        <v>4.4400000000000004</v>
      </c>
      <c r="Y312" s="8">
        <v>3.61</v>
      </c>
      <c r="Z312" s="8">
        <v>0.43</v>
      </c>
      <c r="AA312" s="8">
        <v>0.01</v>
      </c>
      <c r="AB312" s="8">
        <v>91.44</v>
      </c>
      <c r="AC312" s="8"/>
      <c r="AD312" s="8"/>
      <c r="AE312" s="6" t="s">
        <v>1116</v>
      </c>
    </row>
    <row r="313" spans="1:31" s="6" customFormat="1">
      <c r="A313" s="8" t="s">
        <v>1041</v>
      </c>
      <c r="B313" s="8" t="s">
        <v>134</v>
      </c>
      <c r="C313" s="8" t="s">
        <v>123</v>
      </c>
      <c r="D313" s="8">
        <v>750</v>
      </c>
      <c r="E313" s="8">
        <v>2</v>
      </c>
      <c r="F313" s="8">
        <f>790*3600</f>
        <v>2844000</v>
      </c>
      <c r="G313" s="9">
        <v>1.5666500344126923E-14</v>
      </c>
      <c r="H313" s="10">
        <f t="shared" si="18"/>
        <v>0.42216360325682728</v>
      </c>
      <c r="I313" s="8" t="s">
        <v>41</v>
      </c>
      <c r="J313" s="8" t="s">
        <v>124</v>
      </c>
      <c r="L313" s="8">
        <v>1</v>
      </c>
      <c r="M313" s="8">
        <v>1</v>
      </c>
      <c r="N313" s="8">
        <v>0</v>
      </c>
      <c r="O313" s="8">
        <v>0</v>
      </c>
      <c r="P313" s="8">
        <v>67.650000000000006</v>
      </c>
      <c r="R313" s="8">
        <v>14.71</v>
      </c>
      <c r="W313" s="8">
        <v>0.62</v>
      </c>
      <c r="X313" s="8">
        <v>4.2300000000000004</v>
      </c>
      <c r="Y313" s="8">
        <v>3.67</v>
      </c>
      <c r="Z313" s="8">
        <v>0.61</v>
      </c>
      <c r="AA313" s="8">
        <v>0.01</v>
      </c>
      <c r="AB313" s="8">
        <v>91.29</v>
      </c>
      <c r="AE313" s="6" t="s">
        <v>1116</v>
      </c>
    </row>
    <row r="314" spans="1:31" s="6" customFormat="1">
      <c r="A314" s="8" t="s">
        <v>1041</v>
      </c>
      <c r="B314" s="8" t="s">
        <v>135</v>
      </c>
      <c r="C314" s="8" t="s">
        <v>123</v>
      </c>
      <c r="D314" s="8">
        <v>750</v>
      </c>
      <c r="E314" s="8">
        <v>2</v>
      </c>
      <c r="F314" s="8">
        <f>2518*3600</f>
        <v>9064800</v>
      </c>
      <c r="G314" s="9">
        <v>1.5666500344126923E-14</v>
      </c>
      <c r="H314" s="10">
        <f t="shared" si="18"/>
        <v>0.75369408202384536</v>
      </c>
      <c r="I314" s="8" t="s">
        <v>41</v>
      </c>
      <c r="J314" s="8" t="s">
        <v>124</v>
      </c>
      <c r="L314" s="8">
        <v>1</v>
      </c>
      <c r="M314" s="8">
        <v>1</v>
      </c>
      <c r="N314" s="8">
        <v>0</v>
      </c>
      <c r="O314" s="8">
        <v>0</v>
      </c>
      <c r="P314" s="8">
        <v>67.430000000000007</v>
      </c>
      <c r="R314" s="8">
        <v>14.98</v>
      </c>
      <c r="W314" s="8">
        <v>0.34</v>
      </c>
      <c r="X314" s="8">
        <v>4.7300000000000004</v>
      </c>
      <c r="Y314" s="8">
        <v>4.0199999999999996</v>
      </c>
      <c r="Z314" s="8">
        <v>0.33</v>
      </c>
      <c r="AA314" s="8">
        <v>0.02</v>
      </c>
      <c r="AB314" s="8">
        <v>91.92</v>
      </c>
      <c r="AE314" s="6" t="s">
        <v>1116</v>
      </c>
    </row>
    <row r="315" spans="1:31" s="6" customFormat="1">
      <c r="A315" s="8" t="s">
        <v>1041</v>
      </c>
      <c r="B315" s="8" t="s">
        <v>122</v>
      </c>
      <c r="C315" s="8" t="s">
        <v>123</v>
      </c>
      <c r="D315" s="8">
        <v>750</v>
      </c>
      <c r="E315" s="8">
        <v>2</v>
      </c>
      <c r="F315" s="8">
        <f>720*3600</f>
        <v>2592000</v>
      </c>
      <c r="G315" s="9">
        <v>1.5666500344126923E-14</v>
      </c>
      <c r="H315" s="10">
        <f t="shared" si="18"/>
        <v>0.40302639562181031</v>
      </c>
      <c r="I315" s="8" t="s">
        <v>41</v>
      </c>
      <c r="J315" s="8" t="s">
        <v>124</v>
      </c>
      <c r="K315" s="8"/>
      <c r="L315" s="8">
        <v>1</v>
      </c>
      <c r="M315" s="8">
        <v>1</v>
      </c>
      <c r="N315" s="8">
        <v>0</v>
      </c>
      <c r="O315" s="8">
        <v>0</v>
      </c>
      <c r="P315" s="8">
        <v>70.69</v>
      </c>
      <c r="Q315" s="8"/>
      <c r="R315" s="8">
        <v>13.18</v>
      </c>
      <c r="S315" s="8"/>
      <c r="T315" s="8"/>
      <c r="U315" s="8"/>
      <c r="V315" s="8"/>
      <c r="W315" s="8">
        <v>0.1</v>
      </c>
      <c r="X315" s="8">
        <v>4.5</v>
      </c>
      <c r="Y315" s="8">
        <v>3.59</v>
      </c>
      <c r="Z315" s="8">
        <v>0.06</v>
      </c>
      <c r="AA315" s="8">
        <v>0.01</v>
      </c>
      <c r="AB315" s="8">
        <v>92.12</v>
      </c>
      <c r="AC315" s="8"/>
      <c r="AD315" s="8"/>
      <c r="AE315" s="6" t="s">
        <v>1116</v>
      </c>
    </row>
    <row r="316" spans="1:31" s="6" customFormat="1">
      <c r="A316" s="8" t="s">
        <v>1041</v>
      </c>
      <c r="B316" s="8" t="s">
        <v>125</v>
      </c>
      <c r="C316" s="8" t="s">
        <v>123</v>
      </c>
      <c r="D316" s="8">
        <v>750</v>
      </c>
      <c r="E316" s="8">
        <v>2</v>
      </c>
      <c r="F316" s="8">
        <f>720*3600</f>
        <v>2592000</v>
      </c>
      <c r="G316" s="9">
        <v>1.5666500344126923E-14</v>
      </c>
      <c r="H316" s="10">
        <f t="shared" si="18"/>
        <v>0.40302639562181031</v>
      </c>
      <c r="I316" s="8" t="s">
        <v>41</v>
      </c>
      <c r="J316" s="8" t="s">
        <v>124</v>
      </c>
      <c r="K316" s="8"/>
      <c r="L316" s="8">
        <v>1</v>
      </c>
      <c r="M316" s="8">
        <v>1</v>
      </c>
      <c r="N316" s="8">
        <v>0</v>
      </c>
      <c r="O316" s="8">
        <v>0</v>
      </c>
      <c r="P316" s="8">
        <v>70.16</v>
      </c>
      <c r="Q316" s="8"/>
      <c r="R316" s="8">
        <v>13.81</v>
      </c>
      <c r="S316" s="8"/>
      <c r="T316" s="8"/>
      <c r="U316" s="8"/>
      <c r="V316" s="8"/>
      <c r="W316" s="8">
        <v>0.18</v>
      </c>
      <c r="X316" s="8">
        <v>4.51</v>
      </c>
      <c r="Y316" s="8">
        <v>3.79</v>
      </c>
      <c r="Z316" s="8">
        <v>0.13</v>
      </c>
      <c r="AA316" s="8">
        <v>0.01</v>
      </c>
      <c r="AB316" s="8">
        <v>92.57</v>
      </c>
      <c r="AC316" s="8"/>
      <c r="AD316" s="8"/>
      <c r="AE316" s="6" t="s">
        <v>1116</v>
      </c>
    </row>
    <row r="317" spans="1:31" s="6" customFormat="1">
      <c r="A317" s="8" t="s">
        <v>1041</v>
      </c>
      <c r="B317" s="8" t="s">
        <v>126</v>
      </c>
      <c r="C317" s="8" t="s">
        <v>123</v>
      </c>
      <c r="D317" s="8">
        <v>750</v>
      </c>
      <c r="E317" s="8">
        <v>2</v>
      </c>
      <c r="F317" s="8">
        <f>719*3600</f>
        <v>2588400</v>
      </c>
      <c r="G317" s="9">
        <v>1.5666500344126923E-14</v>
      </c>
      <c r="H317" s="10">
        <f t="shared" si="18"/>
        <v>0.40274641893249963</v>
      </c>
      <c r="I317" s="8" t="s">
        <v>41</v>
      </c>
      <c r="J317" s="8" t="s">
        <v>124</v>
      </c>
      <c r="K317" s="8"/>
      <c r="L317" s="8">
        <v>1</v>
      </c>
      <c r="M317" s="8">
        <v>1</v>
      </c>
      <c r="N317" s="8">
        <v>0</v>
      </c>
      <c r="O317" s="8">
        <v>0</v>
      </c>
      <c r="P317" s="8">
        <v>69.83</v>
      </c>
      <c r="Q317" s="8"/>
      <c r="R317" s="8">
        <v>14.03</v>
      </c>
      <c r="S317" s="8"/>
      <c r="T317" s="8"/>
      <c r="U317" s="8"/>
      <c r="V317" s="8"/>
      <c r="W317" s="8">
        <v>0.28999999999999998</v>
      </c>
      <c r="X317" s="8">
        <v>4.28</v>
      </c>
      <c r="Y317" s="8">
        <v>3.75</v>
      </c>
      <c r="Z317" s="8">
        <v>0.25</v>
      </c>
      <c r="AA317" s="8">
        <v>0.01</v>
      </c>
      <c r="AB317" s="8">
        <v>92.43</v>
      </c>
      <c r="AC317" s="8"/>
      <c r="AD317" s="8"/>
      <c r="AE317" s="6" t="s">
        <v>1116</v>
      </c>
    </row>
    <row r="318" spans="1:31" s="6" customFormat="1">
      <c r="A318" s="8" t="s">
        <v>1041</v>
      </c>
      <c r="B318" s="8" t="s">
        <v>127</v>
      </c>
      <c r="C318" s="8" t="s">
        <v>123</v>
      </c>
      <c r="D318" s="8">
        <v>750</v>
      </c>
      <c r="E318" s="8">
        <v>2</v>
      </c>
      <c r="F318" s="8">
        <f>719*3600</f>
        <v>2588400</v>
      </c>
      <c r="G318" s="9">
        <v>1.5666500344126923E-14</v>
      </c>
      <c r="H318" s="10">
        <f t="shared" si="18"/>
        <v>0.40274641893249963</v>
      </c>
      <c r="I318" s="8" t="s">
        <v>41</v>
      </c>
      <c r="J318" s="8" t="s">
        <v>124</v>
      </c>
      <c r="K318" s="8"/>
      <c r="L318" s="8">
        <v>1</v>
      </c>
      <c r="M318" s="8">
        <v>1</v>
      </c>
      <c r="N318" s="8">
        <v>0</v>
      </c>
      <c r="O318" s="8">
        <v>0</v>
      </c>
      <c r="P318" s="8">
        <v>69.05</v>
      </c>
      <c r="Q318" s="8"/>
      <c r="R318" s="8">
        <v>14.26</v>
      </c>
      <c r="S318" s="8"/>
      <c r="T318" s="8"/>
      <c r="U318" s="8"/>
      <c r="V318" s="8"/>
      <c r="W318" s="8">
        <v>0.39</v>
      </c>
      <c r="X318" s="8">
        <v>4.2</v>
      </c>
      <c r="Y318" s="8">
        <v>3.71</v>
      </c>
      <c r="Z318" s="8">
        <v>0.4</v>
      </c>
      <c r="AA318" s="8">
        <v>0</v>
      </c>
      <c r="AB318" s="8">
        <v>92.01</v>
      </c>
      <c r="AC318" s="8"/>
      <c r="AD318" s="8"/>
      <c r="AE318" s="6" t="s">
        <v>1116</v>
      </c>
    </row>
    <row r="319" spans="1:31" s="6" customFormat="1">
      <c r="A319" s="8" t="s">
        <v>1041</v>
      </c>
      <c r="B319" s="8" t="s">
        <v>128</v>
      </c>
      <c r="C319" s="8" t="s">
        <v>123</v>
      </c>
      <c r="D319" s="8">
        <v>750</v>
      </c>
      <c r="E319" s="8">
        <v>2</v>
      </c>
      <c r="F319" s="8">
        <f>738*3600</f>
        <v>2656800</v>
      </c>
      <c r="G319" s="9">
        <v>1.5666500344126923E-14</v>
      </c>
      <c r="H319" s="10">
        <f t="shared" si="18"/>
        <v>0.40803312666633534</v>
      </c>
      <c r="I319" s="8" t="s">
        <v>41</v>
      </c>
      <c r="J319" s="8" t="s">
        <v>124</v>
      </c>
      <c r="K319" s="8"/>
      <c r="L319" s="8">
        <v>1</v>
      </c>
      <c r="M319" s="8">
        <v>1</v>
      </c>
      <c r="N319" s="8">
        <v>0</v>
      </c>
      <c r="O319" s="8">
        <v>0</v>
      </c>
      <c r="P319" s="8">
        <v>67.61</v>
      </c>
      <c r="Q319" s="8"/>
      <c r="R319" s="8">
        <v>14.83</v>
      </c>
      <c r="S319" s="8"/>
      <c r="T319" s="8"/>
      <c r="U319" s="8"/>
      <c r="V319" s="8"/>
      <c r="W319" s="8">
        <v>0.54</v>
      </c>
      <c r="X319" s="8">
        <v>4.1900000000000004</v>
      </c>
      <c r="Y319" s="8">
        <v>3.63</v>
      </c>
      <c r="Z319" s="8">
        <v>0.56999999999999995</v>
      </c>
      <c r="AA319" s="8">
        <v>0.02</v>
      </c>
      <c r="AB319" s="8">
        <v>91.47</v>
      </c>
      <c r="AC319" s="8"/>
      <c r="AD319" s="8"/>
      <c r="AE319" s="6" t="s">
        <v>1116</v>
      </c>
    </row>
    <row r="320" spans="1:31" s="6" customFormat="1">
      <c r="A320" s="8" t="s">
        <v>1041</v>
      </c>
      <c r="B320" s="8" t="s">
        <v>129</v>
      </c>
      <c r="C320" s="8" t="s">
        <v>123</v>
      </c>
      <c r="D320" s="8">
        <v>750</v>
      </c>
      <c r="E320" s="8">
        <v>2</v>
      </c>
      <c r="F320" s="8">
        <f>1050*3600</f>
        <v>3780000</v>
      </c>
      <c r="G320" s="9">
        <v>1.5666500344126923E-14</v>
      </c>
      <c r="H320" s="10">
        <f t="shared" si="18"/>
        <v>0.48670061146787053</v>
      </c>
      <c r="I320" s="8" t="s">
        <v>41</v>
      </c>
      <c r="J320" s="8" t="s">
        <v>124</v>
      </c>
      <c r="K320" s="8"/>
      <c r="L320" s="8">
        <v>1</v>
      </c>
      <c r="M320" s="8">
        <v>1</v>
      </c>
      <c r="N320" s="8">
        <v>0</v>
      </c>
      <c r="O320" s="8">
        <v>0</v>
      </c>
      <c r="P320" s="8">
        <v>66.91</v>
      </c>
      <c r="Q320" s="8"/>
      <c r="R320" s="8">
        <v>14.9</v>
      </c>
      <c r="S320" s="8"/>
      <c r="T320" s="8"/>
      <c r="U320" s="8"/>
      <c r="V320" s="8"/>
      <c r="W320" s="8">
        <v>0.59</v>
      </c>
      <c r="X320" s="8">
        <v>4.1500000000000004</v>
      </c>
      <c r="Y320" s="8">
        <v>3.57</v>
      </c>
      <c r="Z320" s="8">
        <v>0.54</v>
      </c>
      <c r="AA320" s="8">
        <v>0.01</v>
      </c>
      <c r="AB320" s="8">
        <v>90.76</v>
      </c>
      <c r="AC320" s="8"/>
      <c r="AD320" s="8"/>
      <c r="AE320" s="6" t="s">
        <v>1116</v>
      </c>
    </row>
    <row r="321" spans="1:31" s="6" customFormat="1">
      <c r="A321" s="8" t="s">
        <v>1083</v>
      </c>
      <c r="B321" s="6" t="s">
        <v>693</v>
      </c>
      <c r="C321" s="8" t="s">
        <v>645</v>
      </c>
      <c r="D321" s="6">
        <v>925</v>
      </c>
      <c r="E321" s="6">
        <v>25</v>
      </c>
      <c r="F321" s="6">
        <f>192*3600</f>
        <v>691200</v>
      </c>
      <c r="G321" s="9">
        <v>1.9549928676947054E-13</v>
      </c>
      <c r="H321" s="10">
        <f t="shared" si="18"/>
        <v>0.7351982236514395</v>
      </c>
      <c r="I321" s="6">
        <v>14.16</v>
      </c>
      <c r="J321" s="6" t="s">
        <v>694</v>
      </c>
      <c r="L321" s="6">
        <v>1</v>
      </c>
      <c r="M321" s="6">
        <v>0</v>
      </c>
      <c r="N321" s="6">
        <v>0</v>
      </c>
      <c r="O321" s="6">
        <v>0</v>
      </c>
      <c r="P321" s="6">
        <v>57.91</v>
      </c>
      <c r="Q321" s="6">
        <v>0.41</v>
      </c>
      <c r="R321" s="6">
        <v>16.52</v>
      </c>
      <c r="T321" s="6">
        <v>0.88</v>
      </c>
      <c r="U321" s="6">
        <v>0.03</v>
      </c>
      <c r="V321" s="6">
        <v>0.64</v>
      </c>
      <c r="W321" s="6">
        <v>1.52</v>
      </c>
      <c r="X321" s="6">
        <v>6.3</v>
      </c>
      <c r="Y321" s="6">
        <v>3.76</v>
      </c>
      <c r="Z321" s="6">
        <v>0.46</v>
      </c>
      <c r="AA321" s="6">
        <v>0.03</v>
      </c>
      <c r="AB321" s="6">
        <v>87.92</v>
      </c>
      <c r="AC321" s="6">
        <v>13.893144975057517</v>
      </c>
      <c r="AD321" s="6" t="s">
        <v>1130</v>
      </c>
      <c r="AE321" s="6" t="s">
        <v>1136</v>
      </c>
    </row>
  </sheetData>
  <phoneticPr fontId="16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B00CF-60AB-9546-BF52-7DC3F55EF85C}">
  <dimension ref="A1:Y79"/>
  <sheetViews>
    <sheetView topLeftCell="A12" workbookViewId="0">
      <selection activeCell="L15" sqref="L15"/>
    </sheetView>
  </sheetViews>
  <sheetFormatPr baseColWidth="10" defaultRowHeight="16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46" t="s">
        <v>7</v>
      </c>
      <c r="I1" t="s">
        <v>8</v>
      </c>
      <c r="J1" t="s">
        <v>1186</v>
      </c>
      <c r="K1" t="s">
        <v>9</v>
      </c>
      <c r="L1" t="s">
        <v>10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</row>
    <row r="2" spans="1:25">
      <c r="A2" s="47" t="s">
        <v>1187</v>
      </c>
      <c r="B2" t="s">
        <v>1188</v>
      </c>
      <c r="C2" s="47" t="s">
        <v>1189</v>
      </c>
      <c r="D2">
        <v>1055</v>
      </c>
      <c r="E2" s="47">
        <v>1E-4</v>
      </c>
      <c r="F2" s="47"/>
      <c r="G2" s="48">
        <v>8.2879506986735868E-13</v>
      </c>
      <c r="H2" s="46">
        <f>2*SQRT(G2*F2)*1000</f>
        <v>0</v>
      </c>
      <c r="I2" s="47" t="s">
        <v>616</v>
      </c>
      <c r="J2" s="47" t="s">
        <v>1190</v>
      </c>
      <c r="K2" t="s">
        <v>1191</v>
      </c>
      <c r="L2">
        <v>60</v>
      </c>
      <c r="M2">
        <v>51.01</v>
      </c>
      <c r="N2">
        <v>3.62</v>
      </c>
      <c r="O2">
        <v>10.51</v>
      </c>
      <c r="P2" s="47"/>
      <c r="Q2">
        <v>16.95</v>
      </c>
      <c r="R2" s="47"/>
      <c r="S2">
        <v>2.86</v>
      </c>
      <c r="T2">
        <v>8.65</v>
      </c>
      <c r="U2">
        <v>1.95</v>
      </c>
      <c r="V2">
        <v>0.77</v>
      </c>
      <c r="W2">
        <v>3.06</v>
      </c>
      <c r="X2">
        <v>0.25</v>
      </c>
      <c r="Y2">
        <v>99.38</v>
      </c>
    </row>
    <row r="3" spans="1:25">
      <c r="A3" s="47" t="s">
        <v>1187</v>
      </c>
      <c r="B3" t="s">
        <v>1192</v>
      </c>
      <c r="C3" s="47" t="s">
        <v>1189</v>
      </c>
      <c r="D3">
        <v>1055</v>
      </c>
      <c r="E3" s="47">
        <v>1E-4</v>
      </c>
      <c r="F3" s="47"/>
      <c r="G3" s="48">
        <v>8.2879506986735868E-13</v>
      </c>
      <c r="H3" s="46">
        <f>2*SQRT(G3*F3)*1000</f>
        <v>0</v>
      </c>
      <c r="I3" s="47" t="s">
        <v>616</v>
      </c>
      <c r="J3" t="s">
        <v>1190</v>
      </c>
      <c r="K3" t="s">
        <v>1193</v>
      </c>
      <c r="L3">
        <v>25</v>
      </c>
      <c r="M3">
        <v>69.19</v>
      </c>
      <c r="N3">
        <v>1.39</v>
      </c>
      <c r="O3">
        <v>13.2</v>
      </c>
      <c r="Q3">
        <v>6.17</v>
      </c>
      <c r="S3">
        <v>1.53</v>
      </c>
      <c r="T3">
        <v>2.79</v>
      </c>
      <c r="U3">
        <v>1.08</v>
      </c>
      <c r="V3">
        <v>1.71</v>
      </c>
      <c r="W3">
        <v>1.44</v>
      </c>
      <c r="X3">
        <v>0.14000000000000001</v>
      </c>
      <c r="Y3">
        <v>98.49</v>
      </c>
    </row>
    <row r="4" spans="1:25">
      <c r="A4" s="47" t="s">
        <v>1187</v>
      </c>
      <c r="B4" t="s">
        <v>1194</v>
      </c>
      <c r="C4" s="47" t="s">
        <v>1189</v>
      </c>
      <c r="D4">
        <v>1055</v>
      </c>
      <c r="E4" s="47">
        <v>1E-4</v>
      </c>
      <c r="F4" s="47"/>
      <c r="G4" s="48">
        <v>8.2879506986735868E-13</v>
      </c>
      <c r="H4" s="46">
        <f>2*SQRT(G4*F4)*1000</f>
        <v>0</v>
      </c>
      <c r="I4" s="47" t="s">
        <v>616</v>
      </c>
      <c r="J4" t="s">
        <v>1190</v>
      </c>
      <c r="K4" t="s">
        <v>1195</v>
      </c>
      <c r="L4">
        <v>15</v>
      </c>
      <c r="M4">
        <v>72.31</v>
      </c>
      <c r="N4">
        <v>2.02</v>
      </c>
      <c r="O4">
        <v>11.72</v>
      </c>
      <c r="Q4">
        <v>4.62</v>
      </c>
      <c r="S4">
        <v>0.9</v>
      </c>
      <c r="T4">
        <v>3.28</v>
      </c>
      <c r="U4">
        <v>0.75</v>
      </c>
      <c r="V4">
        <v>1.24</v>
      </c>
      <c r="W4">
        <v>0.7</v>
      </c>
      <c r="X4">
        <v>0.37</v>
      </c>
      <c r="Y4">
        <v>97.54</v>
      </c>
    </row>
    <row r="5" spans="1:25">
      <c r="A5" s="47" t="s">
        <v>1187</v>
      </c>
      <c r="B5" t="s">
        <v>1196</v>
      </c>
      <c r="C5" s="47" t="s">
        <v>1189</v>
      </c>
      <c r="D5">
        <v>1055</v>
      </c>
      <c r="E5" s="47">
        <v>1E-4</v>
      </c>
      <c r="F5" s="47"/>
      <c r="G5" s="48">
        <v>8.2879506986735868E-13</v>
      </c>
      <c r="H5" s="46">
        <f>2*SQRT(G5*F5)*1000</f>
        <v>0</v>
      </c>
      <c r="I5" s="47" t="s">
        <v>616</v>
      </c>
      <c r="J5" t="s">
        <v>1190</v>
      </c>
      <c r="K5" t="s">
        <v>1197</v>
      </c>
      <c r="L5">
        <v>25</v>
      </c>
      <c r="M5">
        <v>71.73</v>
      </c>
      <c r="N5">
        <v>0.95</v>
      </c>
      <c r="O5">
        <v>12.96</v>
      </c>
      <c r="Q5">
        <v>3.21</v>
      </c>
      <c r="S5">
        <v>1.1200000000000001</v>
      </c>
      <c r="T5">
        <v>2.27</v>
      </c>
      <c r="U5">
        <v>1.2</v>
      </c>
      <c r="V5">
        <v>1.35</v>
      </c>
      <c r="W5">
        <v>1.63</v>
      </c>
      <c r="X5">
        <v>0.41</v>
      </c>
      <c r="Y5">
        <v>96.42</v>
      </c>
    </row>
    <row r="6" spans="1:25">
      <c r="A6" s="47" t="s">
        <v>1187</v>
      </c>
      <c r="B6" t="s">
        <v>1198</v>
      </c>
      <c r="C6" s="47" t="s">
        <v>1189</v>
      </c>
      <c r="D6">
        <v>1032</v>
      </c>
      <c r="E6" s="47">
        <v>1E-4</v>
      </c>
      <c r="F6" s="47"/>
      <c r="G6" s="48">
        <v>6.55483509173449E-13</v>
      </c>
      <c r="H6" s="46">
        <f>2*SQRT(G6*F6)*1000</f>
        <v>0</v>
      </c>
      <c r="I6" s="47" t="s">
        <v>616</v>
      </c>
      <c r="J6" t="s">
        <v>1199</v>
      </c>
      <c r="K6" t="s">
        <v>1191</v>
      </c>
      <c r="L6">
        <v>35</v>
      </c>
      <c r="M6">
        <v>67.2</v>
      </c>
      <c r="N6">
        <v>1.43</v>
      </c>
      <c r="O6">
        <v>11.46</v>
      </c>
      <c r="Q6">
        <v>9.2100000000000009</v>
      </c>
      <c r="S6">
        <v>0.77</v>
      </c>
      <c r="T6">
        <v>3.98</v>
      </c>
      <c r="U6">
        <v>1.24</v>
      </c>
      <c r="V6">
        <v>1.99</v>
      </c>
      <c r="W6">
        <v>0.7</v>
      </c>
      <c r="X6">
        <v>0.21</v>
      </c>
      <c r="Y6">
        <v>97.98</v>
      </c>
    </row>
    <row r="7" spans="1:25">
      <c r="A7" s="47" t="s">
        <v>1187</v>
      </c>
      <c r="B7" t="s">
        <v>1200</v>
      </c>
      <c r="C7" s="47" t="s">
        <v>1189</v>
      </c>
      <c r="D7">
        <v>1032</v>
      </c>
      <c r="E7" s="47">
        <v>1E-4</v>
      </c>
      <c r="F7" s="47"/>
      <c r="G7" s="48">
        <v>6.55483509173449E-13</v>
      </c>
      <c r="H7" s="46">
        <f>2*SQRT(G7*F7)*1000</f>
        <v>0</v>
      </c>
      <c r="I7" s="47" t="s">
        <v>616</v>
      </c>
      <c r="J7" t="s">
        <v>1199</v>
      </c>
      <c r="K7" t="s">
        <v>1201</v>
      </c>
      <c r="L7">
        <v>5</v>
      </c>
      <c r="M7">
        <v>71.86</v>
      </c>
      <c r="N7">
        <v>0.99</v>
      </c>
      <c r="O7">
        <v>12.85</v>
      </c>
      <c r="Q7">
        <v>4.32</v>
      </c>
      <c r="S7">
        <v>0.78</v>
      </c>
      <c r="T7">
        <v>1.43</v>
      </c>
      <c r="U7">
        <v>0.76</v>
      </c>
      <c r="V7">
        <v>2.54</v>
      </c>
      <c r="W7">
        <v>1.22</v>
      </c>
      <c r="X7">
        <v>0.13</v>
      </c>
      <c r="Y7">
        <v>96.75</v>
      </c>
    </row>
    <row r="8" spans="1:25">
      <c r="A8" s="47" t="s">
        <v>1187</v>
      </c>
      <c r="B8" t="s">
        <v>1202</v>
      </c>
      <c r="C8" s="47" t="s">
        <v>1189</v>
      </c>
      <c r="D8">
        <v>1032</v>
      </c>
      <c r="E8" s="47">
        <v>1E-4</v>
      </c>
      <c r="F8" s="47"/>
      <c r="G8" s="48">
        <v>6.55483509173449E-13</v>
      </c>
      <c r="H8" s="46">
        <f>2*SQRT(G8*F8)*1000</f>
        <v>0</v>
      </c>
      <c r="I8" s="47" t="s">
        <v>616</v>
      </c>
      <c r="J8" t="s">
        <v>1199</v>
      </c>
      <c r="K8" t="s">
        <v>1201</v>
      </c>
      <c r="L8">
        <v>14</v>
      </c>
      <c r="M8">
        <v>75.959999999999994</v>
      </c>
      <c r="N8">
        <v>1.57</v>
      </c>
      <c r="O8">
        <v>10.85</v>
      </c>
      <c r="Q8">
        <v>0.56999999999999995</v>
      </c>
      <c r="S8">
        <v>0.31</v>
      </c>
      <c r="T8">
        <v>2.74</v>
      </c>
      <c r="U8">
        <v>1.27</v>
      </c>
      <c r="V8">
        <v>0.81</v>
      </c>
      <c r="W8">
        <v>1.17</v>
      </c>
      <c r="X8">
        <v>0.98</v>
      </c>
      <c r="Y8">
        <v>95.25</v>
      </c>
    </row>
    <row r="9" spans="1:25">
      <c r="A9" s="47" t="s">
        <v>1187</v>
      </c>
      <c r="B9" t="s">
        <v>1203</v>
      </c>
      <c r="C9" s="47" t="s">
        <v>1189</v>
      </c>
      <c r="D9">
        <v>1032</v>
      </c>
      <c r="E9" s="47">
        <v>1E-4</v>
      </c>
      <c r="F9" s="47"/>
      <c r="G9" s="48">
        <v>6.55483509173449E-13</v>
      </c>
      <c r="H9" s="46">
        <f>2*SQRT(G9*F9)*1000</f>
        <v>0</v>
      </c>
      <c r="I9" s="47" t="s">
        <v>616</v>
      </c>
      <c r="J9" t="s">
        <v>1199</v>
      </c>
      <c r="K9" t="s">
        <v>1204</v>
      </c>
      <c r="L9">
        <v>30</v>
      </c>
      <c r="M9">
        <v>71.83</v>
      </c>
      <c r="N9">
        <v>0.78</v>
      </c>
      <c r="O9">
        <v>12.14</v>
      </c>
      <c r="Q9">
        <v>2.6</v>
      </c>
      <c r="S9">
        <v>1.35</v>
      </c>
      <c r="T9">
        <v>2.34</v>
      </c>
      <c r="U9">
        <v>1.05</v>
      </c>
      <c r="V9">
        <v>1.82</v>
      </c>
      <c r="W9">
        <v>2.17</v>
      </c>
      <c r="X9">
        <v>0.54</v>
      </c>
      <c r="Y9">
        <v>96.09</v>
      </c>
    </row>
    <row r="10" spans="1:25">
      <c r="A10" s="47" t="s">
        <v>1187</v>
      </c>
      <c r="B10" t="s">
        <v>1205</v>
      </c>
      <c r="C10" s="47" t="s">
        <v>1189</v>
      </c>
      <c r="D10">
        <v>1054</v>
      </c>
      <c r="E10" s="47">
        <v>1E-4</v>
      </c>
      <c r="F10" s="47"/>
      <c r="G10" s="48">
        <v>8.2052306135486596E-13</v>
      </c>
      <c r="H10" s="46">
        <f>2*SQRT(G10*F10)*1000</f>
        <v>0</v>
      </c>
      <c r="I10" s="47" t="s">
        <v>616</v>
      </c>
      <c r="J10" t="s">
        <v>1206</v>
      </c>
      <c r="K10" t="s">
        <v>1207</v>
      </c>
      <c r="L10">
        <v>95</v>
      </c>
      <c r="M10">
        <v>47.66</v>
      </c>
      <c r="N10">
        <v>4.62</v>
      </c>
      <c r="O10">
        <v>11.18</v>
      </c>
      <c r="Q10">
        <v>14.65</v>
      </c>
      <c r="S10">
        <v>4.6900000000000004</v>
      </c>
      <c r="T10">
        <v>10.17</v>
      </c>
      <c r="U10">
        <v>2.12</v>
      </c>
      <c r="V10">
        <v>0.52</v>
      </c>
      <c r="W10">
        <v>4.63</v>
      </c>
      <c r="X10">
        <v>0.1</v>
      </c>
      <c r="Y10">
        <v>100.24</v>
      </c>
    </row>
    <row r="11" spans="1:25">
      <c r="A11" s="47" t="s">
        <v>1187</v>
      </c>
      <c r="B11" t="s">
        <v>1208</v>
      </c>
      <c r="C11" s="47" t="s">
        <v>1189</v>
      </c>
      <c r="D11">
        <v>1054</v>
      </c>
      <c r="E11" s="47">
        <v>1E-4</v>
      </c>
      <c r="F11" s="47"/>
      <c r="G11" s="48">
        <v>8.2052306135486596E-13</v>
      </c>
      <c r="H11" s="46">
        <f>2*SQRT(G11*F11)*1000</f>
        <v>0</v>
      </c>
      <c r="I11" s="47" t="s">
        <v>616</v>
      </c>
      <c r="J11" t="s">
        <v>1206</v>
      </c>
      <c r="K11" t="s">
        <v>1209</v>
      </c>
      <c r="L11">
        <v>35</v>
      </c>
      <c r="M11">
        <v>60.28</v>
      </c>
      <c r="N11">
        <v>1.86</v>
      </c>
      <c r="O11">
        <v>13.46</v>
      </c>
      <c r="Q11">
        <v>8.5299999999999994</v>
      </c>
      <c r="S11">
        <v>3.51</v>
      </c>
      <c r="T11">
        <v>5.01</v>
      </c>
      <c r="U11">
        <v>2.33</v>
      </c>
      <c r="V11">
        <v>0.63</v>
      </c>
      <c r="W11">
        <v>3.88</v>
      </c>
      <c r="X11">
        <v>0.64</v>
      </c>
      <c r="Y11">
        <v>99.49</v>
      </c>
    </row>
    <row r="12" spans="1:25">
      <c r="A12" s="47" t="s">
        <v>1187</v>
      </c>
      <c r="B12" t="s">
        <v>1210</v>
      </c>
      <c r="C12" s="47" t="s">
        <v>1189</v>
      </c>
      <c r="D12">
        <v>1054</v>
      </c>
      <c r="E12" s="47">
        <v>1E-4</v>
      </c>
      <c r="F12" s="47"/>
      <c r="G12" s="48">
        <v>8.2052306135486596E-13</v>
      </c>
      <c r="H12" s="46">
        <f>2*SQRT(G12*F12)*1000</f>
        <v>0</v>
      </c>
      <c r="I12" s="47" t="s">
        <v>616</v>
      </c>
      <c r="J12" t="s">
        <v>1206</v>
      </c>
      <c r="K12" t="s">
        <v>1195</v>
      </c>
      <c r="L12">
        <v>25</v>
      </c>
      <c r="M12">
        <v>66.52</v>
      </c>
      <c r="N12">
        <v>2.92</v>
      </c>
      <c r="O12">
        <v>11.91</v>
      </c>
      <c r="Q12">
        <v>7.11</v>
      </c>
      <c r="S12">
        <v>1.8</v>
      </c>
      <c r="T12">
        <v>5.1100000000000003</v>
      </c>
      <c r="U12">
        <v>2.14</v>
      </c>
      <c r="V12">
        <v>1.01</v>
      </c>
      <c r="W12">
        <v>1.19</v>
      </c>
      <c r="X12">
        <v>0.15</v>
      </c>
      <c r="Y12">
        <v>99.71</v>
      </c>
    </row>
    <row r="13" spans="1:25">
      <c r="A13" s="47" t="s">
        <v>1187</v>
      </c>
      <c r="B13" t="s">
        <v>1211</v>
      </c>
      <c r="C13" s="47" t="s">
        <v>1189</v>
      </c>
      <c r="D13">
        <v>1054</v>
      </c>
      <c r="E13" s="47">
        <v>1E-4</v>
      </c>
      <c r="F13" s="47"/>
      <c r="G13" s="48">
        <v>8.2052306135486596E-13</v>
      </c>
      <c r="H13" s="46">
        <f>2*SQRT(G13*F13)*1000</f>
        <v>0</v>
      </c>
      <c r="I13" s="47" t="s">
        <v>616</v>
      </c>
      <c r="J13" t="s">
        <v>1206</v>
      </c>
      <c r="K13" t="s">
        <v>1212</v>
      </c>
      <c r="L13">
        <v>10</v>
      </c>
      <c r="M13">
        <v>69.98</v>
      </c>
      <c r="N13">
        <v>1.07</v>
      </c>
      <c r="O13">
        <v>11.89</v>
      </c>
      <c r="Q13">
        <v>4.2699999999999996</v>
      </c>
      <c r="S13">
        <v>2.77</v>
      </c>
      <c r="T13">
        <v>2.9</v>
      </c>
      <c r="U13">
        <v>0.84</v>
      </c>
      <c r="V13">
        <v>1.18</v>
      </c>
      <c r="W13">
        <v>2.27</v>
      </c>
      <c r="X13">
        <v>0.94</v>
      </c>
      <c r="Y13">
        <v>97.17</v>
      </c>
    </row>
    <row r="14" spans="1:25">
      <c r="A14" s="47" t="s">
        <v>1187</v>
      </c>
      <c r="B14" t="s">
        <v>1213</v>
      </c>
      <c r="C14" s="47" t="s">
        <v>1189</v>
      </c>
      <c r="D14">
        <v>1075</v>
      </c>
      <c r="E14" s="47">
        <v>1E-4</v>
      </c>
      <c r="F14" s="47"/>
      <c r="G14" s="48">
        <v>1.00975806494244E-12</v>
      </c>
      <c r="H14" s="46">
        <f>2*SQRT(G14*F14)*1000</f>
        <v>0</v>
      </c>
      <c r="I14" s="47" t="s">
        <v>616</v>
      </c>
      <c r="J14" t="s">
        <v>1214</v>
      </c>
      <c r="K14" t="s">
        <v>1215</v>
      </c>
      <c r="L14">
        <v>80</v>
      </c>
      <c r="M14">
        <v>46.65</v>
      </c>
      <c r="N14">
        <v>4.8099999999999996</v>
      </c>
      <c r="O14">
        <v>10.85</v>
      </c>
      <c r="Q14">
        <v>15.42</v>
      </c>
      <c r="S14">
        <v>4.95</v>
      </c>
      <c r="T14">
        <v>10.050000000000001</v>
      </c>
      <c r="U14">
        <v>2.12</v>
      </c>
      <c r="V14">
        <v>0.51</v>
      </c>
      <c r="W14">
        <v>4.3600000000000003</v>
      </c>
      <c r="X14">
        <v>7.0000000000000007E-2</v>
      </c>
      <c r="Y14">
        <v>99.71</v>
      </c>
    </row>
    <row r="15" spans="1:25">
      <c r="A15" s="47" t="s">
        <v>1187</v>
      </c>
      <c r="B15" t="s">
        <v>1216</v>
      </c>
      <c r="C15" s="47" t="s">
        <v>1189</v>
      </c>
      <c r="D15">
        <v>1075</v>
      </c>
      <c r="E15" s="47">
        <v>1E-4</v>
      </c>
      <c r="F15" s="47"/>
      <c r="G15" s="48">
        <v>1.00975806494244E-12</v>
      </c>
      <c r="H15" s="46">
        <f>2*SQRT(G15*F15)*1000</f>
        <v>0</v>
      </c>
      <c r="I15" s="47" t="s">
        <v>616</v>
      </c>
      <c r="J15" t="s">
        <v>1214</v>
      </c>
      <c r="K15" t="s">
        <v>1217</v>
      </c>
      <c r="L15">
        <v>15</v>
      </c>
      <c r="M15">
        <v>66.62</v>
      </c>
      <c r="N15">
        <v>1.08</v>
      </c>
      <c r="O15">
        <v>12.57</v>
      </c>
      <c r="Q15">
        <v>4.3499999999999996</v>
      </c>
      <c r="S15">
        <v>2.25</v>
      </c>
      <c r="T15">
        <v>2.79</v>
      </c>
      <c r="U15">
        <v>0.84</v>
      </c>
      <c r="V15">
        <v>1.43</v>
      </c>
      <c r="W15">
        <v>1.85</v>
      </c>
      <c r="X15">
        <v>0.59</v>
      </c>
      <c r="Y15">
        <v>93.78</v>
      </c>
    </row>
    <row r="16" spans="1:25">
      <c r="A16" s="47" t="s">
        <v>1187</v>
      </c>
      <c r="B16" t="s">
        <v>1218</v>
      </c>
      <c r="C16" s="47" t="s">
        <v>1189</v>
      </c>
      <c r="D16">
        <v>1075</v>
      </c>
      <c r="E16" s="47">
        <v>1E-4</v>
      </c>
      <c r="F16" s="47"/>
      <c r="G16" s="48">
        <v>1.00975806494244E-12</v>
      </c>
      <c r="H16" s="46">
        <f>2*SQRT(G16*F16)*1000</f>
        <v>0</v>
      </c>
      <c r="I16" s="47" t="s">
        <v>616</v>
      </c>
      <c r="J16" t="s">
        <v>1214</v>
      </c>
      <c r="K16" t="s">
        <v>1219</v>
      </c>
      <c r="L16">
        <v>36</v>
      </c>
      <c r="M16">
        <v>60</v>
      </c>
      <c r="N16">
        <v>2.69</v>
      </c>
      <c r="O16">
        <v>11.73</v>
      </c>
      <c r="Q16">
        <v>8.1300000000000008</v>
      </c>
      <c r="S16">
        <v>2.2799999999999998</v>
      </c>
      <c r="T16">
        <v>5.71</v>
      </c>
      <c r="U16">
        <v>2.06</v>
      </c>
      <c r="V16">
        <v>0.88</v>
      </c>
      <c r="W16">
        <v>1.44</v>
      </c>
      <c r="X16">
        <v>0.26</v>
      </c>
      <c r="Y16">
        <v>94.93</v>
      </c>
    </row>
    <row r="17" spans="1:25">
      <c r="A17" s="47" t="s">
        <v>1187</v>
      </c>
      <c r="B17" t="s">
        <v>1220</v>
      </c>
      <c r="C17" s="47" t="s">
        <v>1189</v>
      </c>
      <c r="D17">
        <v>1075</v>
      </c>
      <c r="E17" s="47">
        <v>1E-4</v>
      </c>
      <c r="F17" s="47"/>
      <c r="G17" s="48">
        <v>1.00975806494244E-12</v>
      </c>
      <c r="H17" s="46">
        <f>2*SQRT(G17*F17)*1000</f>
        <v>0</v>
      </c>
      <c r="I17" s="47" t="s">
        <v>616</v>
      </c>
      <c r="J17" t="s">
        <v>1214</v>
      </c>
      <c r="K17" t="s">
        <v>1221</v>
      </c>
      <c r="L17">
        <v>6</v>
      </c>
      <c r="M17">
        <v>67.41</v>
      </c>
      <c r="N17">
        <v>1.02</v>
      </c>
      <c r="O17">
        <v>12.51</v>
      </c>
      <c r="Q17">
        <v>3.9</v>
      </c>
      <c r="S17">
        <v>2.5099999999999998</v>
      </c>
      <c r="T17">
        <v>2.85</v>
      </c>
      <c r="U17">
        <v>2.1</v>
      </c>
      <c r="V17">
        <v>1.23</v>
      </c>
      <c r="W17">
        <v>1.78</v>
      </c>
      <c r="X17">
        <v>0.36</v>
      </c>
      <c r="Y17">
        <v>95.32</v>
      </c>
    </row>
    <row r="18" spans="1:25">
      <c r="A18" s="47" t="s">
        <v>1187</v>
      </c>
      <c r="B18" t="s">
        <v>1222</v>
      </c>
      <c r="C18" s="47" t="s">
        <v>1189</v>
      </c>
      <c r="D18">
        <v>1056</v>
      </c>
      <c r="E18" s="47">
        <v>1E-4</v>
      </c>
      <c r="F18" s="47"/>
      <c r="G18" s="48">
        <v>8.3713783606247447E-13</v>
      </c>
      <c r="H18" s="46">
        <f>2*SQRT(G18*F18)*1000</f>
        <v>0</v>
      </c>
      <c r="I18" s="47" t="s">
        <v>616</v>
      </c>
      <c r="J18" t="s">
        <v>1223</v>
      </c>
      <c r="K18" t="s">
        <v>1191</v>
      </c>
      <c r="L18">
        <v>65</v>
      </c>
      <c r="M18">
        <v>48.98</v>
      </c>
      <c r="N18">
        <v>4.38</v>
      </c>
      <c r="O18">
        <v>11.08</v>
      </c>
      <c r="Q18">
        <v>15.43</v>
      </c>
      <c r="S18">
        <v>4.32</v>
      </c>
      <c r="T18">
        <v>9.23</v>
      </c>
      <c r="U18">
        <v>2.09</v>
      </c>
      <c r="V18">
        <v>0.64</v>
      </c>
      <c r="W18">
        <v>3.8</v>
      </c>
      <c r="X18">
        <v>0.36</v>
      </c>
      <c r="Y18">
        <v>99.94</v>
      </c>
    </row>
    <row r="19" spans="1:25">
      <c r="A19" s="47" t="s">
        <v>1187</v>
      </c>
      <c r="B19" t="s">
        <v>1224</v>
      </c>
      <c r="C19" s="47" t="s">
        <v>1189</v>
      </c>
      <c r="D19">
        <v>1056</v>
      </c>
      <c r="E19" s="47">
        <v>1E-4</v>
      </c>
      <c r="F19" s="47"/>
      <c r="G19" s="48">
        <v>8.3713783606247447E-13</v>
      </c>
      <c r="H19" s="46">
        <f>2*SQRT(G19*F19)*1000</f>
        <v>0</v>
      </c>
      <c r="I19" s="47" t="s">
        <v>616</v>
      </c>
      <c r="J19" t="s">
        <v>1223</v>
      </c>
      <c r="K19" t="s">
        <v>1221</v>
      </c>
      <c r="L19">
        <v>29</v>
      </c>
      <c r="M19">
        <v>61.22</v>
      </c>
      <c r="N19">
        <v>1.96</v>
      </c>
      <c r="O19">
        <v>13.36</v>
      </c>
      <c r="Q19">
        <v>9.33</v>
      </c>
      <c r="S19">
        <v>2.61</v>
      </c>
      <c r="T19">
        <v>4.45</v>
      </c>
      <c r="U19">
        <v>1.52</v>
      </c>
      <c r="V19">
        <v>1.26</v>
      </c>
      <c r="W19">
        <v>3.09</v>
      </c>
      <c r="X19">
        <v>0.31</v>
      </c>
      <c r="Y19">
        <v>98.8</v>
      </c>
    </row>
    <row r="20" spans="1:25">
      <c r="A20" s="47" t="s">
        <v>1187</v>
      </c>
      <c r="B20" t="s">
        <v>1225</v>
      </c>
      <c r="C20" s="47" t="s">
        <v>1189</v>
      </c>
      <c r="D20">
        <v>1056</v>
      </c>
      <c r="E20" s="47">
        <v>1E-4</v>
      </c>
      <c r="F20" s="47"/>
      <c r="G20" s="48">
        <v>8.3713783606247447E-13</v>
      </c>
      <c r="H20" s="46">
        <f>2*SQRT(G20*F20)*1000</f>
        <v>0</v>
      </c>
      <c r="I20" s="47" t="s">
        <v>616</v>
      </c>
      <c r="J20" t="s">
        <v>1223</v>
      </c>
      <c r="K20" t="s">
        <v>1226</v>
      </c>
      <c r="L20">
        <v>30</v>
      </c>
      <c r="M20">
        <v>68.27</v>
      </c>
      <c r="N20">
        <v>1.7</v>
      </c>
      <c r="O20">
        <v>11.62</v>
      </c>
      <c r="Q20">
        <v>5.47</v>
      </c>
      <c r="S20">
        <v>0.99</v>
      </c>
      <c r="T20">
        <v>3.14</v>
      </c>
      <c r="U20">
        <v>1.73</v>
      </c>
      <c r="V20">
        <v>1.5</v>
      </c>
      <c r="W20">
        <v>0.52</v>
      </c>
      <c r="X20">
        <v>0.08</v>
      </c>
      <c r="Y20">
        <v>94.95</v>
      </c>
    </row>
    <row r="21" spans="1:25">
      <c r="A21" s="47" t="s">
        <v>1187</v>
      </c>
      <c r="B21" t="s">
        <v>1227</v>
      </c>
      <c r="C21" s="47" t="s">
        <v>1189</v>
      </c>
      <c r="D21">
        <v>1056</v>
      </c>
      <c r="E21" s="47">
        <v>1E-4</v>
      </c>
      <c r="F21" s="47"/>
      <c r="G21" s="48">
        <v>8.3713783606247447E-13</v>
      </c>
      <c r="H21" s="46">
        <f>2*SQRT(G21*F21)*1000</f>
        <v>0</v>
      </c>
      <c r="I21" s="47" t="s">
        <v>616</v>
      </c>
      <c r="J21" t="s">
        <v>1223</v>
      </c>
      <c r="K21" t="s">
        <v>1228</v>
      </c>
      <c r="L21">
        <v>9</v>
      </c>
      <c r="M21">
        <v>67.95</v>
      </c>
      <c r="N21">
        <v>1.06</v>
      </c>
      <c r="O21">
        <v>12.05</v>
      </c>
      <c r="Q21">
        <v>3.66</v>
      </c>
      <c r="S21">
        <v>1.37</v>
      </c>
      <c r="T21">
        <v>2.57</v>
      </c>
      <c r="U21">
        <v>1</v>
      </c>
      <c r="V21">
        <v>1.36</v>
      </c>
      <c r="W21">
        <v>1.93</v>
      </c>
      <c r="X21">
        <v>1.41</v>
      </c>
      <c r="Y21">
        <v>92.95</v>
      </c>
    </row>
    <row r="22" spans="1:25">
      <c r="A22" s="47" t="s">
        <v>1187</v>
      </c>
      <c r="B22" t="s">
        <v>1229</v>
      </c>
      <c r="C22" s="47" t="s">
        <v>1189</v>
      </c>
      <c r="D22">
        <v>1056</v>
      </c>
      <c r="E22" s="47">
        <v>1E-4</v>
      </c>
      <c r="F22" s="47"/>
      <c r="G22" s="48">
        <v>8.3713783606247447E-13</v>
      </c>
      <c r="H22" s="46">
        <f>2*SQRT(G22*F22)*1000</f>
        <v>0</v>
      </c>
      <c r="I22" s="47" t="s">
        <v>616</v>
      </c>
      <c r="J22" t="s">
        <v>1230</v>
      </c>
      <c r="K22" t="s">
        <v>1201</v>
      </c>
      <c r="L22">
        <v>10</v>
      </c>
      <c r="M22">
        <v>65.09</v>
      </c>
      <c r="N22">
        <v>1.24</v>
      </c>
      <c r="O22">
        <v>11.75</v>
      </c>
      <c r="Q22">
        <v>4.93</v>
      </c>
      <c r="S22">
        <v>0.91</v>
      </c>
      <c r="T22">
        <v>3.06</v>
      </c>
      <c r="U22">
        <v>0.71</v>
      </c>
      <c r="V22">
        <v>1.89</v>
      </c>
      <c r="W22">
        <v>0.51</v>
      </c>
      <c r="X22">
        <v>0.08</v>
      </c>
      <c r="Y22">
        <v>90.09</v>
      </c>
    </row>
    <row r="23" spans="1:25">
      <c r="A23" s="47" t="s">
        <v>1187</v>
      </c>
      <c r="B23" t="s">
        <v>1231</v>
      </c>
      <c r="C23" s="47" t="s">
        <v>1189</v>
      </c>
      <c r="D23">
        <v>1056</v>
      </c>
      <c r="E23" s="47">
        <v>1E-4</v>
      </c>
      <c r="F23" s="47"/>
      <c r="G23" s="48">
        <v>8.3713783606247447E-13</v>
      </c>
      <c r="H23" s="46">
        <f>2*SQRT(G23*F23)*1000</f>
        <v>0</v>
      </c>
      <c r="I23" s="47" t="s">
        <v>616</v>
      </c>
      <c r="J23" t="s">
        <v>1230</v>
      </c>
      <c r="K23" t="s">
        <v>1232</v>
      </c>
      <c r="L23">
        <v>10</v>
      </c>
      <c r="M23">
        <v>71.59</v>
      </c>
      <c r="N23">
        <v>0.76</v>
      </c>
      <c r="O23">
        <v>12.75</v>
      </c>
      <c r="Q23">
        <v>4.09</v>
      </c>
      <c r="S23">
        <v>1.69</v>
      </c>
      <c r="T23">
        <v>2.17</v>
      </c>
      <c r="U23">
        <v>0.88</v>
      </c>
      <c r="V23">
        <v>1.93</v>
      </c>
      <c r="W23">
        <v>1.31</v>
      </c>
      <c r="X23">
        <v>0.56999999999999995</v>
      </c>
      <c r="Y23">
        <v>97.17</v>
      </c>
    </row>
    <row r="24" spans="1:25">
      <c r="A24" s="47" t="s">
        <v>1187</v>
      </c>
      <c r="B24" t="s">
        <v>1233</v>
      </c>
      <c r="C24" s="47" t="s">
        <v>1189</v>
      </c>
      <c r="D24">
        <v>1056</v>
      </c>
      <c r="E24" s="47">
        <v>1E-4</v>
      </c>
      <c r="F24" s="47"/>
      <c r="G24" s="48">
        <v>8.3713783606247447E-13</v>
      </c>
      <c r="H24" s="46">
        <f>2*SQRT(G24*F24)*1000</f>
        <v>0</v>
      </c>
      <c r="I24" s="47" t="s">
        <v>616</v>
      </c>
      <c r="J24" t="s">
        <v>1230</v>
      </c>
      <c r="K24" t="s">
        <v>1234</v>
      </c>
      <c r="L24">
        <v>7</v>
      </c>
      <c r="M24">
        <v>74.34</v>
      </c>
      <c r="N24">
        <v>1.1200000000000001</v>
      </c>
      <c r="O24">
        <v>11.62</v>
      </c>
      <c r="Q24">
        <v>2.6</v>
      </c>
      <c r="S24">
        <v>0.84</v>
      </c>
      <c r="T24">
        <v>2.0099999999999998</v>
      </c>
      <c r="U24">
        <v>0.56000000000000005</v>
      </c>
      <c r="V24">
        <v>1.1499999999999999</v>
      </c>
      <c r="W24">
        <v>0.63</v>
      </c>
      <c r="X24">
        <v>0.47</v>
      </c>
      <c r="Y24">
        <v>94.87</v>
      </c>
    </row>
    <row r="25" spans="1:25">
      <c r="A25" s="47" t="s">
        <v>1187</v>
      </c>
      <c r="B25" t="s">
        <v>1235</v>
      </c>
      <c r="C25" s="47" t="s">
        <v>1189</v>
      </c>
      <c r="D25">
        <v>1056</v>
      </c>
      <c r="E25" s="47">
        <v>1E-4</v>
      </c>
      <c r="F25" s="47"/>
      <c r="G25" s="48">
        <v>8.3713783606247447E-13</v>
      </c>
      <c r="H25" s="46">
        <f>2*SQRT(G25*F25)*1000</f>
        <v>0</v>
      </c>
      <c r="I25" s="47" t="s">
        <v>616</v>
      </c>
      <c r="J25" t="s">
        <v>1230</v>
      </c>
      <c r="K25" t="s">
        <v>1232</v>
      </c>
      <c r="L25">
        <v>10</v>
      </c>
      <c r="M25">
        <v>72.180000000000007</v>
      </c>
      <c r="N25">
        <v>0.93</v>
      </c>
      <c r="O25">
        <v>12.47</v>
      </c>
      <c r="Q25">
        <v>3.16</v>
      </c>
      <c r="S25">
        <v>1.42</v>
      </c>
      <c r="T25">
        <v>2.5499999999999998</v>
      </c>
      <c r="U25">
        <v>0.94</v>
      </c>
      <c r="V25">
        <v>1.41</v>
      </c>
      <c r="W25">
        <v>2.35</v>
      </c>
      <c r="X25">
        <v>0.8</v>
      </c>
      <c r="Y25">
        <v>97.4</v>
      </c>
    </row>
    <row r="26" spans="1:25">
      <c r="A26" s="47" t="s">
        <v>1187</v>
      </c>
      <c r="B26" t="s">
        <v>1236</v>
      </c>
      <c r="C26" s="47" t="s">
        <v>1189</v>
      </c>
      <c r="D26">
        <v>1055</v>
      </c>
      <c r="E26" s="47">
        <v>1E-4</v>
      </c>
      <c r="F26" s="47"/>
      <c r="G26" s="48">
        <v>8.2879506986735868E-13</v>
      </c>
      <c r="H26" s="46">
        <f>2*SQRT(G26*F26)*1000</f>
        <v>0</v>
      </c>
      <c r="I26" s="47" t="s">
        <v>616</v>
      </c>
      <c r="J26" t="s">
        <v>1237</v>
      </c>
      <c r="K26" t="s">
        <v>1201</v>
      </c>
      <c r="L26">
        <v>5</v>
      </c>
      <c r="M26">
        <v>74.75</v>
      </c>
      <c r="N26">
        <v>1.2</v>
      </c>
      <c r="O26">
        <v>11.61</v>
      </c>
      <c r="Q26">
        <v>2.99</v>
      </c>
      <c r="S26">
        <v>1.3</v>
      </c>
      <c r="T26">
        <v>2.54</v>
      </c>
      <c r="U26">
        <v>1.28</v>
      </c>
      <c r="V26">
        <v>1.64</v>
      </c>
      <c r="W26">
        <v>0.61</v>
      </c>
      <c r="X26">
        <v>0.37</v>
      </c>
      <c r="Y26">
        <v>97.91</v>
      </c>
    </row>
    <row r="27" spans="1:25">
      <c r="A27" s="47" t="s">
        <v>1238</v>
      </c>
      <c r="B27" s="49" t="s">
        <v>1239</v>
      </c>
      <c r="C27" s="47" t="s">
        <v>1240</v>
      </c>
      <c r="D27">
        <v>1200</v>
      </c>
      <c r="E27" s="47">
        <v>1E-4</v>
      </c>
      <c r="F27" s="47"/>
      <c r="G27" s="48">
        <v>3.0726772825868176E-12</v>
      </c>
      <c r="H27" s="46">
        <f>2*SQRT(G27*F27)*1000</f>
        <v>0</v>
      </c>
      <c r="I27" s="47" t="s">
        <v>616</v>
      </c>
      <c r="M27">
        <v>69.989999999999995</v>
      </c>
      <c r="N27">
        <v>0.09</v>
      </c>
      <c r="O27">
        <v>12.65</v>
      </c>
      <c r="Q27">
        <v>1.05</v>
      </c>
      <c r="R27">
        <v>0.09</v>
      </c>
      <c r="S27">
        <v>2.79</v>
      </c>
      <c r="T27">
        <v>5.03</v>
      </c>
      <c r="U27">
        <v>3.2</v>
      </c>
      <c r="V27">
        <v>4.3899999999999997</v>
      </c>
      <c r="W27">
        <v>0.39</v>
      </c>
      <c r="X27">
        <v>0.03</v>
      </c>
      <c r="Y27">
        <v>99.57</v>
      </c>
    </row>
    <row r="28" spans="1:25">
      <c r="A28" s="47" t="s">
        <v>1238</v>
      </c>
      <c r="B28" s="49" t="s">
        <v>1241</v>
      </c>
      <c r="C28" s="47" t="s">
        <v>1240</v>
      </c>
      <c r="D28">
        <v>1200</v>
      </c>
      <c r="E28" s="47">
        <v>1E-4</v>
      </c>
      <c r="F28" s="47"/>
      <c r="G28" s="48">
        <v>3.0726772825868176E-12</v>
      </c>
      <c r="H28" s="46">
        <f>2*SQRT(G28*F28)*1000</f>
        <v>0</v>
      </c>
      <c r="I28" s="47" t="s">
        <v>616</v>
      </c>
      <c r="M28">
        <v>61.73</v>
      </c>
      <c r="N28">
        <v>0.1</v>
      </c>
      <c r="O28">
        <v>11.97</v>
      </c>
      <c r="Q28">
        <v>1.33</v>
      </c>
      <c r="R28">
        <v>0.09</v>
      </c>
      <c r="S28">
        <v>6.06</v>
      </c>
      <c r="T28">
        <v>10.07</v>
      </c>
      <c r="U28">
        <v>2.94</v>
      </c>
      <c r="V28">
        <v>2.77</v>
      </c>
      <c r="W28">
        <v>2.59</v>
      </c>
      <c r="X28">
        <v>0.03</v>
      </c>
      <c r="Y28">
        <v>99.53</v>
      </c>
    </row>
    <row r="29" spans="1:25">
      <c r="A29" s="47" t="s">
        <v>1238</v>
      </c>
      <c r="B29" s="49" t="s">
        <v>1242</v>
      </c>
      <c r="C29" s="47" t="s">
        <v>1240</v>
      </c>
      <c r="D29">
        <v>1200</v>
      </c>
      <c r="E29" s="47">
        <v>1E-4</v>
      </c>
      <c r="F29" s="47"/>
      <c r="G29" s="48">
        <v>3.0726772825868176E-12</v>
      </c>
      <c r="H29" s="46">
        <f>2*SQRT(G29*F29)*1000</f>
        <v>0</v>
      </c>
      <c r="I29" s="47" t="s">
        <v>616</v>
      </c>
      <c r="M29">
        <v>64.08</v>
      </c>
      <c r="N29">
        <v>0.1</v>
      </c>
      <c r="O29">
        <v>13.41</v>
      </c>
      <c r="Q29">
        <v>1.29</v>
      </c>
      <c r="R29">
        <v>0.09</v>
      </c>
      <c r="S29">
        <v>4.5</v>
      </c>
      <c r="T29">
        <v>7.39</v>
      </c>
      <c r="U29">
        <v>2.23</v>
      </c>
      <c r="V29">
        <v>5.4</v>
      </c>
      <c r="W29">
        <v>1.45</v>
      </c>
      <c r="X29">
        <v>7.0000000000000007E-2</v>
      </c>
      <c r="Y29">
        <v>99.77</v>
      </c>
    </row>
    <row r="30" spans="1:25">
      <c r="A30" s="47" t="s">
        <v>1238</v>
      </c>
      <c r="B30" s="49" t="s">
        <v>1243</v>
      </c>
      <c r="C30" s="47" t="s">
        <v>1240</v>
      </c>
      <c r="D30">
        <v>1200</v>
      </c>
      <c r="E30" s="47">
        <v>1E-4</v>
      </c>
      <c r="F30" s="47"/>
      <c r="G30" s="48">
        <v>3.0726772825868176E-12</v>
      </c>
      <c r="H30" s="46">
        <f>2*SQRT(G30*F30)*1000</f>
        <v>0</v>
      </c>
      <c r="I30" s="47" t="s">
        <v>616</v>
      </c>
      <c r="M30">
        <v>63.39</v>
      </c>
      <c r="N30">
        <v>0.24</v>
      </c>
      <c r="O30">
        <v>11.91</v>
      </c>
      <c r="Q30">
        <v>2.2400000000000002</v>
      </c>
      <c r="R30">
        <v>0.09</v>
      </c>
      <c r="S30">
        <v>5.17</v>
      </c>
      <c r="T30">
        <v>9.1999999999999993</v>
      </c>
      <c r="U30">
        <v>1.87</v>
      </c>
      <c r="V30">
        <v>3.96</v>
      </c>
      <c r="W30">
        <v>2.08</v>
      </c>
      <c r="X30">
        <v>0.05</v>
      </c>
      <c r="Y30">
        <v>100.03</v>
      </c>
    </row>
    <row r="31" spans="1:25">
      <c r="A31" s="47" t="s">
        <v>1238</v>
      </c>
      <c r="B31" s="49" t="s">
        <v>1244</v>
      </c>
      <c r="C31" s="47" t="s">
        <v>1240</v>
      </c>
      <c r="D31">
        <v>1200</v>
      </c>
      <c r="E31" s="47">
        <v>1E-4</v>
      </c>
      <c r="F31" s="47"/>
      <c r="G31" s="48">
        <v>3.0726772825868176E-12</v>
      </c>
      <c r="H31" s="46">
        <f>2*SQRT(G31*F31)*1000</f>
        <v>0</v>
      </c>
      <c r="I31" s="47" t="s">
        <v>616</v>
      </c>
      <c r="M31">
        <v>59.38</v>
      </c>
      <c r="N31">
        <v>0.3</v>
      </c>
      <c r="O31">
        <v>12.69</v>
      </c>
      <c r="Q31">
        <v>3.27</v>
      </c>
      <c r="R31">
        <v>0.1</v>
      </c>
      <c r="S31">
        <v>5.35</v>
      </c>
      <c r="T31">
        <v>11.13</v>
      </c>
      <c r="U31">
        <v>2.06</v>
      </c>
      <c r="V31">
        <v>2.99</v>
      </c>
      <c r="W31">
        <v>2.61</v>
      </c>
      <c r="X31">
        <v>0.04</v>
      </c>
      <c r="Y31">
        <v>99.78</v>
      </c>
    </row>
    <row r="32" spans="1:25">
      <c r="A32" s="47" t="s">
        <v>1238</v>
      </c>
      <c r="B32" s="49" t="s">
        <v>1245</v>
      </c>
      <c r="C32" s="47" t="s">
        <v>1240</v>
      </c>
      <c r="D32">
        <v>1200</v>
      </c>
      <c r="E32" s="47">
        <v>1E-4</v>
      </c>
      <c r="F32" s="47"/>
      <c r="G32" s="48">
        <v>3.0726772825868176E-12</v>
      </c>
      <c r="H32" s="46">
        <f>2*SQRT(G32*F32)*1000</f>
        <v>0</v>
      </c>
      <c r="I32" s="47" t="s">
        <v>616</v>
      </c>
      <c r="M32">
        <v>54.6</v>
      </c>
      <c r="N32">
        <v>0.41</v>
      </c>
      <c r="O32">
        <v>12.58</v>
      </c>
      <c r="Q32">
        <v>4.2300000000000004</v>
      </c>
      <c r="R32">
        <v>0.1</v>
      </c>
      <c r="S32">
        <v>6.22</v>
      </c>
      <c r="T32">
        <v>13.62</v>
      </c>
      <c r="U32">
        <v>1.84</v>
      </c>
      <c r="V32">
        <v>2.2599999999999998</v>
      </c>
      <c r="W32">
        <v>3.85</v>
      </c>
      <c r="X32">
        <v>0.15</v>
      </c>
      <c r="Y32">
        <v>99.59</v>
      </c>
    </row>
    <row r="33" spans="1:25">
      <c r="A33" s="47" t="s">
        <v>1238</v>
      </c>
      <c r="B33" s="49" t="s">
        <v>1246</v>
      </c>
      <c r="C33" s="47" t="s">
        <v>1240</v>
      </c>
      <c r="D33">
        <v>1200</v>
      </c>
      <c r="E33" s="47">
        <v>1E-4</v>
      </c>
      <c r="F33" s="47"/>
      <c r="G33" s="48">
        <v>3.0726772825868176E-12</v>
      </c>
      <c r="H33" s="46">
        <f>2*SQRT(G33*F33)*1000</f>
        <v>0</v>
      </c>
      <c r="I33" s="47" t="s">
        <v>616</v>
      </c>
      <c r="M33">
        <v>53.01</v>
      </c>
      <c r="N33">
        <v>0.51</v>
      </c>
      <c r="O33">
        <v>13.1</v>
      </c>
      <c r="Q33">
        <v>4.41</v>
      </c>
      <c r="R33">
        <v>0.1</v>
      </c>
      <c r="S33">
        <v>6.61</v>
      </c>
      <c r="T33">
        <v>14.19</v>
      </c>
      <c r="U33">
        <v>1.86</v>
      </c>
      <c r="V33">
        <v>2.41</v>
      </c>
      <c r="W33">
        <v>4.0599999999999996</v>
      </c>
      <c r="X33">
        <v>0.02</v>
      </c>
      <c r="Y33">
        <v>100.15</v>
      </c>
    </row>
    <row r="34" spans="1:25">
      <c r="A34" s="47" t="s">
        <v>1238</v>
      </c>
      <c r="B34" s="49" t="s">
        <v>1247</v>
      </c>
      <c r="C34" s="47" t="s">
        <v>1240</v>
      </c>
      <c r="D34">
        <v>1200</v>
      </c>
      <c r="E34" s="47">
        <v>1E-4</v>
      </c>
      <c r="F34" s="47"/>
      <c r="G34" s="48">
        <v>3.0726772825868176E-12</v>
      </c>
      <c r="H34" s="46">
        <f>2*SQRT(G34*F34)*1000</f>
        <v>0</v>
      </c>
      <c r="I34" s="47" t="s">
        <v>616</v>
      </c>
      <c r="M34">
        <v>50.82</v>
      </c>
      <c r="N34">
        <v>0.69</v>
      </c>
      <c r="O34">
        <v>13.73</v>
      </c>
      <c r="Q34">
        <v>4.78</v>
      </c>
      <c r="R34">
        <v>0.1</v>
      </c>
      <c r="S34">
        <v>6.51</v>
      </c>
      <c r="T34">
        <v>14.34</v>
      </c>
      <c r="U34">
        <v>2.33</v>
      </c>
      <c r="V34">
        <v>2.74</v>
      </c>
      <c r="W34">
        <v>4.4800000000000004</v>
      </c>
      <c r="X34">
        <v>0.03</v>
      </c>
      <c r="Y34">
        <v>100.4</v>
      </c>
    </row>
    <row r="35" spans="1:25">
      <c r="A35" s="47" t="s">
        <v>1238</v>
      </c>
      <c r="B35" s="49" t="s">
        <v>1248</v>
      </c>
      <c r="C35" s="47" t="s">
        <v>1240</v>
      </c>
      <c r="D35">
        <v>1200</v>
      </c>
      <c r="E35" s="47">
        <v>1E-4</v>
      </c>
      <c r="F35" s="47"/>
      <c r="G35" s="48">
        <v>3.0726772825868176E-12</v>
      </c>
      <c r="H35" s="46">
        <f>2*SQRT(G35*F35)*1000</f>
        <v>0</v>
      </c>
      <c r="I35" s="47" t="s">
        <v>616</v>
      </c>
      <c r="M35">
        <v>49.68</v>
      </c>
      <c r="N35">
        <v>0.67</v>
      </c>
      <c r="O35">
        <v>13.53</v>
      </c>
      <c r="Q35">
        <v>5.16</v>
      </c>
      <c r="R35">
        <v>0.1</v>
      </c>
      <c r="S35">
        <v>6.52</v>
      </c>
      <c r="T35">
        <v>14.48</v>
      </c>
      <c r="U35">
        <v>2.2400000000000002</v>
      </c>
      <c r="V35">
        <v>3.08</v>
      </c>
      <c r="W35">
        <v>4.59</v>
      </c>
      <c r="X35">
        <v>0.15</v>
      </c>
      <c r="Y35">
        <v>99.92</v>
      </c>
    </row>
    <row r="36" spans="1:25">
      <c r="A36" s="47" t="s">
        <v>1238</v>
      </c>
      <c r="B36" s="49" t="s">
        <v>1249</v>
      </c>
      <c r="C36" s="47" t="s">
        <v>1240</v>
      </c>
      <c r="D36">
        <v>1200</v>
      </c>
      <c r="E36" s="47">
        <v>1E-4</v>
      </c>
      <c r="F36" s="47"/>
      <c r="G36" s="48">
        <v>3.0726772825868176E-12</v>
      </c>
      <c r="H36" s="46">
        <f>2*SQRT(G36*F36)*1000</f>
        <v>0</v>
      </c>
      <c r="I36" s="47" t="s">
        <v>616</v>
      </c>
      <c r="M36">
        <v>44.36</v>
      </c>
      <c r="N36">
        <v>0.42</v>
      </c>
      <c r="O36">
        <v>13.11</v>
      </c>
      <c r="Q36">
        <v>5.01</v>
      </c>
      <c r="R36">
        <v>0.12</v>
      </c>
      <c r="S36">
        <v>8.58</v>
      </c>
      <c r="T36">
        <v>17.78</v>
      </c>
      <c r="U36">
        <v>2.83</v>
      </c>
      <c r="V36">
        <v>1.1100000000000001</v>
      </c>
      <c r="W36">
        <v>6.66</v>
      </c>
      <c r="X36">
        <v>0.2</v>
      </c>
      <c r="Y36">
        <v>99.92</v>
      </c>
    </row>
    <row r="37" spans="1:25">
      <c r="A37" s="47" t="s">
        <v>1238</v>
      </c>
      <c r="B37" s="49" t="s">
        <v>1250</v>
      </c>
      <c r="C37" s="47" t="s">
        <v>1240</v>
      </c>
      <c r="D37">
        <v>1200</v>
      </c>
      <c r="E37" s="47">
        <v>1E-4</v>
      </c>
      <c r="F37" s="47"/>
      <c r="G37" s="48">
        <v>3.0726772825868176E-12</v>
      </c>
      <c r="H37" s="46">
        <f>2*SQRT(G37*F37)*1000</f>
        <v>0</v>
      </c>
      <c r="I37" s="47" t="s">
        <v>616</v>
      </c>
      <c r="M37">
        <v>44.3</v>
      </c>
      <c r="N37">
        <v>0.81</v>
      </c>
      <c r="O37">
        <v>15.05</v>
      </c>
      <c r="Q37">
        <v>7.17</v>
      </c>
      <c r="R37">
        <v>0.1</v>
      </c>
      <c r="S37">
        <v>7.02</v>
      </c>
      <c r="T37">
        <v>16.71</v>
      </c>
      <c r="U37">
        <v>2.5</v>
      </c>
      <c r="V37">
        <v>1.8</v>
      </c>
      <c r="W37">
        <v>5.73</v>
      </c>
      <c r="X37">
        <v>0.1</v>
      </c>
      <c r="Y37">
        <v>99.78</v>
      </c>
    </row>
    <row r="38" spans="1:25">
      <c r="A38" s="47" t="s">
        <v>1238</v>
      </c>
      <c r="B38" t="s">
        <v>1251</v>
      </c>
      <c r="C38" s="47" t="s">
        <v>1240</v>
      </c>
      <c r="D38">
        <v>1250</v>
      </c>
      <c r="E38" s="47">
        <v>1E-4</v>
      </c>
      <c r="F38" s="47"/>
      <c r="G38" s="48">
        <v>4.5564394944268856E-12</v>
      </c>
      <c r="H38" s="46">
        <f>2*SQRT(G38*F38)*1000</f>
        <v>0</v>
      </c>
      <c r="I38" s="47" t="s">
        <v>616</v>
      </c>
      <c r="M38">
        <v>44.33</v>
      </c>
      <c r="N38">
        <v>1.02</v>
      </c>
      <c r="O38">
        <v>17.510000000000002</v>
      </c>
      <c r="Q38">
        <v>7.5</v>
      </c>
      <c r="R38">
        <v>0.11</v>
      </c>
      <c r="S38">
        <v>1.83</v>
      </c>
      <c r="T38">
        <v>15.21</v>
      </c>
      <c r="U38">
        <v>2.0499999999999998</v>
      </c>
      <c r="V38">
        <v>6.94</v>
      </c>
      <c r="W38">
        <v>3.43</v>
      </c>
      <c r="X38">
        <v>7.0000000000000007E-2</v>
      </c>
      <c r="Y38">
        <v>99.9</v>
      </c>
    </row>
    <row r="39" spans="1:25">
      <c r="A39" s="47" t="s">
        <v>1238</v>
      </c>
      <c r="B39" t="s">
        <v>1252</v>
      </c>
      <c r="C39" s="47" t="s">
        <v>1240</v>
      </c>
      <c r="D39">
        <v>1250</v>
      </c>
      <c r="E39" s="47">
        <v>1E-4</v>
      </c>
      <c r="F39" s="47"/>
      <c r="G39" s="48">
        <v>4.5564394944268856E-12</v>
      </c>
      <c r="H39" s="46">
        <f>2*SQRT(G39*F39)*1000</f>
        <v>0</v>
      </c>
      <c r="I39" s="47" t="s">
        <v>616</v>
      </c>
      <c r="M39">
        <v>35.06</v>
      </c>
      <c r="N39">
        <v>2.09</v>
      </c>
      <c r="O39">
        <v>10.35</v>
      </c>
      <c r="Q39">
        <v>7.23</v>
      </c>
      <c r="R39">
        <v>0.1</v>
      </c>
      <c r="S39">
        <v>6.22</v>
      </c>
      <c r="T39">
        <v>24.19</v>
      </c>
      <c r="U39">
        <v>2.2400000000000002</v>
      </c>
      <c r="V39">
        <v>2.8</v>
      </c>
      <c r="W39">
        <v>8.9700000000000006</v>
      </c>
      <c r="X39">
        <v>0.44</v>
      </c>
      <c r="Y39">
        <v>99.24</v>
      </c>
    </row>
    <row r="40" spans="1:25">
      <c r="A40" s="47" t="s">
        <v>1238</v>
      </c>
      <c r="B40" t="s">
        <v>1253</v>
      </c>
      <c r="C40" s="47" t="s">
        <v>1240</v>
      </c>
      <c r="D40">
        <v>1250</v>
      </c>
      <c r="E40" s="47">
        <v>1E-4</v>
      </c>
      <c r="F40" s="47"/>
      <c r="G40" s="48">
        <v>4.5564394944268856E-12</v>
      </c>
      <c r="H40" s="46">
        <f>2*SQRT(G40*F40)*1000</f>
        <v>0</v>
      </c>
      <c r="I40" s="47" t="s">
        <v>616</v>
      </c>
      <c r="M40">
        <v>65.45</v>
      </c>
      <c r="N40">
        <v>0.4</v>
      </c>
      <c r="O40">
        <v>14.68</v>
      </c>
      <c r="Q40">
        <v>2.79</v>
      </c>
      <c r="R40">
        <v>0.08</v>
      </c>
      <c r="S40">
        <v>0.13</v>
      </c>
      <c r="T40">
        <v>7.43</v>
      </c>
      <c r="U40">
        <v>1.53</v>
      </c>
      <c r="V40">
        <v>5.93</v>
      </c>
      <c r="W40">
        <v>0.49</v>
      </c>
      <c r="X40">
        <v>0.09</v>
      </c>
      <c r="Y40">
        <v>98.9</v>
      </c>
    </row>
    <row r="41" spans="1:25">
      <c r="A41" s="47" t="s">
        <v>1238</v>
      </c>
      <c r="B41" t="s">
        <v>1254</v>
      </c>
      <c r="C41" s="47" t="s">
        <v>1240</v>
      </c>
      <c r="D41">
        <v>1250</v>
      </c>
      <c r="E41" s="47">
        <v>1E-4</v>
      </c>
      <c r="F41" s="47"/>
      <c r="G41" s="48">
        <v>4.5564394944268856E-12</v>
      </c>
      <c r="H41" s="46">
        <f>2*SQRT(G41*F41)*1000</f>
        <v>0</v>
      </c>
      <c r="I41" s="47" t="s">
        <v>616</v>
      </c>
      <c r="M41">
        <v>55.52</v>
      </c>
      <c r="N41">
        <v>1.1200000000000001</v>
      </c>
      <c r="O41">
        <v>19.04</v>
      </c>
      <c r="Q41">
        <v>2.85</v>
      </c>
      <c r="R41">
        <v>0.08</v>
      </c>
      <c r="S41">
        <v>0.09</v>
      </c>
      <c r="T41">
        <v>8.83</v>
      </c>
      <c r="U41">
        <v>3.99</v>
      </c>
      <c r="V41">
        <v>6.86</v>
      </c>
      <c r="W41">
        <v>1.1299999999999999</v>
      </c>
      <c r="X41">
        <v>0.05</v>
      </c>
      <c r="Y41">
        <v>99.52</v>
      </c>
    </row>
    <row r="42" spans="1:25">
      <c r="A42" s="47" t="s">
        <v>1238</v>
      </c>
      <c r="B42" t="s">
        <v>1255</v>
      </c>
      <c r="C42" s="47" t="s">
        <v>1240</v>
      </c>
      <c r="D42">
        <v>1250</v>
      </c>
      <c r="E42" s="47">
        <v>1E-4</v>
      </c>
      <c r="F42" s="47"/>
      <c r="G42" s="48">
        <v>4.5564394944268856E-12</v>
      </c>
      <c r="H42" s="46">
        <f>2*SQRT(G42*F42)*1000</f>
        <v>0</v>
      </c>
      <c r="I42" s="47" t="s">
        <v>616</v>
      </c>
      <c r="M42">
        <v>37.58</v>
      </c>
      <c r="N42">
        <v>1.52</v>
      </c>
      <c r="O42">
        <v>11.74</v>
      </c>
      <c r="Q42">
        <v>9.01</v>
      </c>
      <c r="R42">
        <v>0.09</v>
      </c>
      <c r="S42">
        <v>6.56</v>
      </c>
      <c r="T42">
        <v>20.57</v>
      </c>
      <c r="U42">
        <v>1.87</v>
      </c>
      <c r="V42">
        <v>1.21</v>
      </c>
      <c r="W42">
        <v>8.44</v>
      </c>
      <c r="X42">
        <v>0.05</v>
      </c>
      <c r="Y42">
        <v>98.62</v>
      </c>
    </row>
    <row r="43" spans="1:25">
      <c r="A43" s="47" t="s">
        <v>1238</v>
      </c>
      <c r="B43" t="s">
        <v>1256</v>
      </c>
      <c r="C43" s="47" t="s">
        <v>1240</v>
      </c>
      <c r="D43">
        <v>1250</v>
      </c>
      <c r="E43" s="47">
        <v>1E-4</v>
      </c>
      <c r="F43" s="47"/>
      <c r="G43" s="48">
        <v>4.5564394944268856E-12</v>
      </c>
      <c r="H43" s="46">
        <f>2*SQRT(G43*F43)*1000</f>
        <v>0</v>
      </c>
      <c r="I43" s="47" t="s">
        <v>616</v>
      </c>
      <c r="M43">
        <v>35.840000000000003</v>
      </c>
      <c r="N43">
        <v>2.14</v>
      </c>
      <c r="O43">
        <v>10.77</v>
      </c>
      <c r="Q43">
        <v>9.14</v>
      </c>
      <c r="R43">
        <v>0.09</v>
      </c>
      <c r="S43">
        <v>7.24</v>
      </c>
      <c r="T43">
        <v>22.49</v>
      </c>
      <c r="U43">
        <v>1.59</v>
      </c>
      <c r="V43">
        <v>0.94</v>
      </c>
      <c r="W43">
        <v>9.16</v>
      </c>
      <c r="X43">
        <v>0.09</v>
      </c>
      <c r="Y43">
        <v>99.4</v>
      </c>
    </row>
    <row r="44" spans="1:25">
      <c r="A44" s="47" t="s">
        <v>1238</v>
      </c>
      <c r="B44" t="s">
        <v>1257</v>
      </c>
      <c r="C44" s="47" t="s">
        <v>1240</v>
      </c>
      <c r="D44">
        <v>1250</v>
      </c>
      <c r="E44" s="47">
        <v>1E-4</v>
      </c>
      <c r="F44" s="47"/>
      <c r="G44" s="48">
        <v>4.5564394944268856E-12</v>
      </c>
      <c r="H44" s="46">
        <f>2*SQRT(G44*F44)*1000</f>
        <v>0</v>
      </c>
      <c r="I44" s="47" t="s">
        <v>616</v>
      </c>
      <c r="M44">
        <v>68.09</v>
      </c>
      <c r="N44">
        <v>0.16</v>
      </c>
      <c r="O44">
        <v>15.49</v>
      </c>
      <c r="Q44">
        <v>1.53</v>
      </c>
      <c r="R44">
        <v>0.09</v>
      </c>
      <c r="S44">
        <v>0.09</v>
      </c>
      <c r="T44">
        <v>5.28</v>
      </c>
      <c r="U44">
        <v>2.86</v>
      </c>
      <c r="V44">
        <v>6.73</v>
      </c>
      <c r="W44">
        <v>0.13</v>
      </c>
      <c r="X44">
        <v>0.01</v>
      </c>
      <c r="Y44">
        <v>100.45</v>
      </c>
    </row>
    <row r="45" spans="1:25">
      <c r="A45" s="47" t="s">
        <v>1238</v>
      </c>
      <c r="B45" t="s">
        <v>1258</v>
      </c>
      <c r="C45" s="47" t="s">
        <v>1240</v>
      </c>
      <c r="D45">
        <v>1250</v>
      </c>
      <c r="E45" s="47">
        <v>1E-4</v>
      </c>
      <c r="F45" s="47"/>
      <c r="G45" s="48">
        <v>4.5564394944268856E-12</v>
      </c>
      <c r="H45" s="46">
        <f>2*SQRT(G45*F45)*1000</f>
        <v>0</v>
      </c>
      <c r="I45" s="47" t="s">
        <v>616</v>
      </c>
      <c r="M45">
        <v>42.62</v>
      </c>
      <c r="N45">
        <v>0.89</v>
      </c>
      <c r="O45">
        <v>14.07</v>
      </c>
      <c r="Q45">
        <v>7.66</v>
      </c>
      <c r="R45">
        <v>0.09</v>
      </c>
      <c r="S45">
        <v>5.49</v>
      </c>
      <c r="T45">
        <v>20.09</v>
      </c>
      <c r="U45">
        <v>1.77</v>
      </c>
      <c r="V45">
        <v>0.74</v>
      </c>
      <c r="W45">
        <v>7.05</v>
      </c>
      <c r="X45">
        <v>0.03</v>
      </c>
      <c r="Y45">
        <v>100.46</v>
      </c>
    </row>
    <row r="46" spans="1:25">
      <c r="A46" s="47" t="s">
        <v>1238</v>
      </c>
      <c r="B46" t="s">
        <v>1259</v>
      </c>
      <c r="C46" s="47" t="s">
        <v>1240</v>
      </c>
      <c r="D46">
        <v>1300</v>
      </c>
      <c r="E46" s="47">
        <v>1E-4</v>
      </c>
      <c r="F46" s="47"/>
      <c r="G46" s="48">
        <v>6.5895756464467825E-12</v>
      </c>
      <c r="H46" s="46">
        <f>2*SQRT(G46*F46)*1000</f>
        <v>0</v>
      </c>
      <c r="I46" s="47" t="s">
        <v>616</v>
      </c>
      <c r="M46">
        <v>74.209999999999994</v>
      </c>
      <c r="N46">
        <v>0.1</v>
      </c>
      <c r="O46">
        <v>12.73</v>
      </c>
      <c r="Q46">
        <v>1.1499999999999999</v>
      </c>
      <c r="R46">
        <v>0.08</v>
      </c>
      <c r="S46">
        <v>0.08</v>
      </c>
      <c r="T46">
        <v>5.25</v>
      </c>
      <c r="U46">
        <v>2.88</v>
      </c>
      <c r="V46">
        <v>4.03</v>
      </c>
      <c r="W46">
        <v>0.09</v>
      </c>
      <c r="X46">
        <v>0.01</v>
      </c>
      <c r="Y46">
        <v>100.32</v>
      </c>
    </row>
    <row r="47" spans="1:25">
      <c r="A47" s="47" t="s">
        <v>1238</v>
      </c>
      <c r="B47" t="s">
        <v>1260</v>
      </c>
      <c r="C47" s="47" t="s">
        <v>1240</v>
      </c>
      <c r="D47">
        <v>1300</v>
      </c>
      <c r="E47" s="47">
        <v>1E-4</v>
      </c>
      <c r="F47" s="47"/>
      <c r="G47" s="48">
        <v>6.5895756464467825E-12</v>
      </c>
      <c r="H47" s="46">
        <f>2*SQRT(G47*F47)*1000</f>
        <v>0</v>
      </c>
      <c r="I47" s="47" t="s">
        <v>616</v>
      </c>
      <c r="M47">
        <v>71.69</v>
      </c>
      <c r="N47">
        <v>0.11</v>
      </c>
      <c r="O47">
        <v>13.99</v>
      </c>
      <c r="Q47">
        <v>1.1200000000000001</v>
      </c>
      <c r="R47">
        <v>0.08</v>
      </c>
      <c r="S47">
        <v>0.08</v>
      </c>
      <c r="T47">
        <v>6.65</v>
      </c>
      <c r="U47">
        <v>3.19</v>
      </c>
      <c r="V47">
        <v>3.11</v>
      </c>
      <c r="W47">
        <v>0.32</v>
      </c>
      <c r="X47">
        <v>7.0000000000000007E-2</v>
      </c>
      <c r="Y47">
        <v>100.36</v>
      </c>
    </row>
    <row r="48" spans="1:25">
      <c r="A48" s="47" t="s">
        <v>1238</v>
      </c>
      <c r="B48" t="s">
        <v>1261</v>
      </c>
      <c r="C48" s="47" t="s">
        <v>1240</v>
      </c>
      <c r="D48">
        <v>1300</v>
      </c>
      <c r="E48" s="47">
        <v>1E-4</v>
      </c>
      <c r="F48" s="47"/>
      <c r="G48" s="48">
        <v>6.5895756464467825E-12</v>
      </c>
      <c r="H48" s="46">
        <f>2*SQRT(G48*F48)*1000</f>
        <v>0</v>
      </c>
      <c r="I48" s="47" t="s">
        <v>616</v>
      </c>
      <c r="M48">
        <v>70.64</v>
      </c>
      <c r="N48">
        <v>0.18</v>
      </c>
      <c r="O48">
        <v>14.84</v>
      </c>
      <c r="Q48">
        <v>1.06</v>
      </c>
      <c r="R48">
        <v>0.08</v>
      </c>
      <c r="S48">
        <v>0.08</v>
      </c>
      <c r="T48">
        <v>5.31</v>
      </c>
      <c r="U48">
        <v>6.77</v>
      </c>
      <c r="V48">
        <v>5.55</v>
      </c>
      <c r="W48">
        <v>0.3</v>
      </c>
      <c r="X48">
        <v>0.14000000000000001</v>
      </c>
      <c r="Y48">
        <v>100.15</v>
      </c>
    </row>
    <row r="49" spans="1:25">
      <c r="A49" s="47" t="s">
        <v>1238</v>
      </c>
      <c r="B49" t="s">
        <v>1262</v>
      </c>
      <c r="C49" s="47" t="s">
        <v>1240</v>
      </c>
      <c r="D49">
        <v>1300</v>
      </c>
      <c r="E49" s="47">
        <v>1E-4</v>
      </c>
      <c r="F49" s="47"/>
      <c r="G49" s="48">
        <v>6.5895756464467825E-12</v>
      </c>
      <c r="H49" s="46">
        <f>2*SQRT(G49*F49)*1000</f>
        <v>0</v>
      </c>
      <c r="I49" s="47" t="s">
        <v>616</v>
      </c>
      <c r="M49">
        <v>71.91</v>
      </c>
      <c r="N49">
        <v>0.2</v>
      </c>
      <c r="O49">
        <v>12.68</v>
      </c>
      <c r="Q49">
        <v>1.86</v>
      </c>
      <c r="R49">
        <v>0.08</v>
      </c>
      <c r="S49">
        <v>0.08</v>
      </c>
      <c r="T49">
        <v>6.8</v>
      </c>
      <c r="U49">
        <v>1.83</v>
      </c>
      <c r="V49">
        <v>4.13</v>
      </c>
      <c r="W49">
        <v>0.33</v>
      </c>
      <c r="X49">
        <v>7.0000000000000007E-2</v>
      </c>
      <c r="Y49">
        <v>99.72</v>
      </c>
    </row>
    <row r="50" spans="1:25">
      <c r="A50" s="47" t="s">
        <v>1238</v>
      </c>
      <c r="B50" t="s">
        <v>1263</v>
      </c>
      <c r="C50" s="47" t="s">
        <v>1240</v>
      </c>
      <c r="D50">
        <v>1300</v>
      </c>
      <c r="E50" s="47">
        <v>1E-4</v>
      </c>
      <c r="F50" s="47"/>
      <c r="G50" s="48">
        <v>6.5895756464467825E-12</v>
      </c>
      <c r="H50" s="46">
        <f>2*SQRT(G50*F50)*1000</f>
        <v>0</v>
      </c>
      <c r="I50" s="47" t="s">
        <v>616</v>
      </c>
      <c r="M50">
        <v>65.540000000000006</v>
      </c>
      <c r="N50">
        <v>0.42</v>
      </c>
      <c r="O50">
        <v>13.67</v>
      </c>
      <c r="Q50">
        <v>3.41</v>
      </c>
      <c r="R50">
        <v>0.08</v>
      </c>
      <c r="S50">
        <v>0.57999999999999996</v>
      </c>
      <c r="T50">
        <v>10.26</v>
      </c>
      <c r="U50">
        <v>2.0699999999999998</v>
      </c>
      <c r="V50">
        <v>3.02</v>
      </c>
      <c r="W50">
        <v>1.43</v>
      </c>
      <c r="X50">
        <v>0.09</v>
      </c>
      <c r="Y50">
        <v>100.06</v>
      </c>
    </row>
    <row r="51" spans="1:25">
      <c r="A51" s="47" t="s">
        <v>1238</v>
      </c>
      <c r="B51" t="s">
        <v>1264</v>
      </c>
      <c r="C51" s="47" t="s">
        <v>1240</v>
      </c>
      <c r="D51">
        <v>1300</v>
      </c>
      <c r="E51" s="47">
        <v>1E-4</v>
      </c>
      <c r="F51" s="47"/>
      <c r="G51" s="48">
        <v>6.5895756464467825E-12</v>
      </c>
      <c r="H51" s="46">
        <f>2*SQRT(G51*F51)*1000</f>
        <v>0</v>
      </c>
      <c r="I51" s="47" t="s">
        <v>616</v>
      </c>
      <c r="M51">
        <v>61.04</v>
      </c>
      <c r="N51">
        <v>0.45</v>
      </c>
      <c r="O51">
        <v>13.93</v>
      </c>
      <c r="Q51">
        <v>4.05</v>
      </c>
      <c r="R51">
        <v>0.08</v>
      </c>
      <c r="S51">
        <v>1.04</v>
      </c>
      <c r="T51">
        <v>12.53</v>
      </c>
      <c r="U51">
        <v>1.92</v>
      </c>
      <c r="V51">
        <v>2.3199999999999998</v>
      </c>
      <c r="W51">
        <v>2.54</v>
      </c>
      <c r="X51">
        <v>0.08</v>
      </c>
      <c r="Y51">
        <v>99.82</v>
      </c>
    </row>
    <row r="52" spans="1:25">
      <c r="A52" s="47" t="s">
        <v>1238</v>
      </c>
      <c r="B52" t="s">
        <v>1265</v>
      </c>
      <c r="C52" s="47" t="s">
        <v>1240</v>
      </c>
      <c r="D52">
        <v>1300</v>
      </c>
      <c r="E52" s="47">
        <v>1E-4</v>
      </c>
      <c r="F52" s="47"/>
      <c r="G52" s="48">
        <v>6.5895756464467825E-12</v>
      </c>
      <c r="H52" s="46">
        <f>2*SQRT(G52*F52)*1000</f>
        <v>0</v>
      </c>
      <c r="I52" s="47" t="s">
        <v>616</v>
      </c>
      <c r="M52">
        <v>58.37</v>
      </c>
      <c r="N52">
        <v>0.68</v>
      </c>
      <c r="O52">
        <v>14.81</v>
      </c>
      <c r="Q52">
        <v>4.6900000000000004</v>
      </c>
      <c r="R52">
        <v>0.08</v>
      </c>
      <c r="S52">
        <v>0.69</v>
      </c>
      <c r="T52">
        <v>13.37</v>
      </c>
      <c r="U52">
        <v>1.98</v>
      </c>
      <c r="V52">
        <v>2.61</v>
      </c>
      <c r="W52">
        <v>2.59</v>
      </c>
      <c r="X52">
        <v>7.0000000000000007E-2</v>
      </c>
      <c r="Y52">
        <v>99.78</v>
      </c>
    </row>
    <row r="53" spans="1:25">
      <c r="A53" s="47" t="s">
        <v>1238</v>
      </c>
      <c r="B53" t="s">
        <v>1266</v>
      </c>
      <c r="C53" s="47" t="s">
        <v>1240</v>
      </c>
      <c r="D53">
        <v>1300</v>
      </c>
      <c r="E53" s="47">
        <v>1E-4</v>
      </c>
      <c r="F53" s="47"/>
      <c r="G53" s="48">
        <v>6.5895756464467825E-12</v>
      </c>
      <c r="H53" s="46">
        <f>2*SQRT(G53*F53)*1000</f>
        <v>0</v>
      </c>
      <c r="I53" s="47" t="s">
        <v>616</v>
      </c>
      <c r="M53">
        <v>55.25</v>
      </c>
      <c r="N53">
        <v>0.69</v>
      </c>
      <c r="O53">
        <v>15.06</v>
      </c>
      <c r="Q53">
        <v>5.3</v>
      </c>
      <c r="R53">
        <v>0.09</v>
      </c>
      <c r="S53">
        <v>0.94</v>
      </c>
      <c r="T53">
        <v>14.44</v>
      </c>
      <c r="U53">
        <v>2.23</v>
      </c>
      <c r="V53">
        <v>2.71</v>
      </c>
      <c r="W53">
        <v>3.37</v>
      </c>
      <c r="X53">
        <v>7.0000000000000007E-2</v>
      </c>
      <c r="Y53">
        <v>99.98</v>
      </c>
    </row>
    <row r="54" spans="1:25">
      <c r="A54" s="47" t="s">
        <v>1238</v>
      </c>
      <c r="B54" t="s">
        <v>1267</v>
      </c>
      <c r="C54" s="47" t="s">
        <v>1240</v>
      </c>
      <c r="D54">
        <v>1300</v>
      </c>
      <c r="E54" s="47">
        <v>1E-4</v>
      </c>
      <c r="F54" s="47"/>
      <c r="G54" s="48">
        <v>6.5895756464467825E-12</v>
      </c>
      <c r="H54" s="46">
        <f>2*SQRT(G54*F54)*1000</f>
        <v>0</v>
      </c>
      <c r="I54" s="47" t="s">
        <v>616</v>
      </c>
      <c r="M54">
        <v>52.1</v>
      </c>
      <c r="N54">
        <v>0.83</v>
      </c>
      <c r="O54">
        <v>14.68</v>
      </c>
      <c r="Q54">
        <v>5.93</v>
      </c>
      <c r="R54">
        <v>0.09</v>
      </c>
      <c r="S54">
        <v>1.61</v>
      </c>
      <c r="T54">
        <v>15.83</v>
      </c>
      <c r="U54">
        <v>2.2000000000000002</v>
      </c>
      <c r="V54">
        <v>2.64</v>
      </c>
      <c r="W54">
        <v>4.3499999999999996</v>
      </c>
      <c r="X54">
        <v>0.08</v>
      </c>
      <c r="Y54">
        <v>100.15</v>
      </c>
    </row>
    <row r="55" spans="1:25">
      <c r="A55" s="47" t="s">
        <v>1238</v>
      </c>
      <c r="B55" t="s">
        <v>1268</v>
      </c>
      <c r="C55" s="47" t="s">
        <v>1240</v>
      </c>
      <c r="D55">
        <v>1300</v>
      </c>
      <c r="E55" s="47">
        <v>1E-4</v>
      </c>
      <c r="F55" s="47"/>
      <c r="G55" s="48">
        <v>6.5895756464467825E-12</v>
      </c>
      <c r="H55" s="46">
        <f>2*SQRT(G55*F55)*1000</f>
        <v>0</v>
      </c>
      <c r="I55" s="47" t="s">
        <v>616</v>
      </c>
      <c r="M55">
        <v>48.24</v>
      </c>
      <c r="N55">
        <v>0.59</v>
      </c>
      <c r="O55">
        <v>14.88</v>
      </c>
      <c r="Q55">
        <v>5.78</v>
      </c>
      <c r="R55">
        <v>0.1</v>
      </c>
      <c r="S55">
        <v>2.76</v>
      </c>
      <c r="T55">
        <v>17.920000000000002</v>
      </c>
      <c r="U55">
        <v>3</v>
      </c>
      <c r="V55">
        <v>1.28</v>
      </c>
      <c r="W55">
        <v>5.72</v>
      </c>
      <c r="X55">
        <v>0.17</v>
      </c>
      <c r="Y55">
        <v>100.22</v>
      </c>
    </row>
    <row r="56" spans="1:25">
      <c r="A56" s="47" t="s">
        <v>1238</v>
      </c>
      <c r="B56" t="s">
        <v>1269</v>
      </c>
      <c r="C56" s="47" t="s">
        <v>1240</v>
      </c>
      <c r="D56">
        <v>1300</v>
      </c>
      <c r="E56" s="47">
        <v>1E-4</v>
      </c>
      <c r="F56" s="47"/>
      <c r="G56" s="48">
        <v>6.5895756464467825E-12</v>
      </c>
      <c r="H56" s="46">
        <f>2*SQRT(G56*F56)*1000</f>
        <v>0</v>
      </c>
      <c r="I56" s="47" t="s">
        <v>616</v>
      </c>
      <c r="M56">
        <v>47.46</v>
      </c>
      <c r="N56">
        <v>0.89</v>
      </c>
      <c r="O56">
        <v>16.100000000000001</v>
      </c>
      <c r="Q56">
        <v>6.42</v>
      </c>
      <c r="R56">
        <v>0.09</v>
      </c>
      <c r="S56">
        <v>1.89</v>
      </c>
      <c r="T56">
        <v>17.77</v>
      </c>
      <c r="U56">
        <v>2.58</v>
      </c>
      <c r="V56">
        <v>1.68</v>
      </c>
      <c r="W56">
        <v>5.58</v>
      </c>
      <c r="X56">
        <v>0.08</v>
      </c>
      <c r="Y56">
        <v>100.36</v>
      </c>
    </row>
    <row r="57" spans="1:25">
      <c r="A57" s="47" t="s">
        <v>1238</v>
      </c>
      <c r="B57" t="s">
        <v>1270</v>
      </c>
      <c r="C57" s="47" t="s">
        <v>1240</v>
      </c>
      <c r="D57">
        <v>1300</v>
      </c>
      <c r="E57" s="47">
        <v>1E-4</v>
      </c>
      <c r="F57" s="47"/>
      <c r="G57" s="48">
        <v>6.5895756464467825E-12</v>
      </c>
      <c r="H57" s="46">
        <f>2*SQRT(G57*F57)*1000</f>
        <v>0</v>
      </c>
      <c r="I57" s="47" t="s">
        <v>616</v>
      </c>
      <c r="M57">
        <v>37.35</v>
      </c>
      <c r="N57">
        <v>3.52</v>
      </c>
      <c r="O57">
        <v>12.04</v>
      </c>
      <c r="Q57">
        <v>6.97</v>
      </c>
      <c r="R57">
        <v>0.09</v>
      </c>
      <c r="S57">
        <v>4.99</v>
      </c>
      <c r="T57">
        <v>21.62</v>
      </c>
      <c r="U57">
        <v>1.37</v>
      </c>
      <c r="V57">
        <v>0.46</v>
      </c>
      <c r="W57">
        <v>10.050000000000001</v>
      </c>
      <c r="X57">
        <v>0.31</v>
      </c>
      <c r="Y57">
        <v>98.46</v>
      </c>
    </row>
    <row r="58" spans="1:25">
      <c r="A58" s="47" t="s">
        <v>1238</v>
      </c>
      <c r="B58" t="s">
        <v>1271</v>
      </c>
      <c r="C58" s="47" t="s">
        <v>1240</v>
      </c>
      <c r="D58">
        <v>1300</v>
      </c>
      <c r="E58" s="47">
        <v>1E-4</v>
      </c>
      <c r="F58" s="47"/>
      <c r="G58" s="48">
        <v>6.5895756464467825E-12</v>
      </c>
      <c r="H58" s="46">
        <f>2*SQRT(G58*F58)*1000</f>
        <v>0</v>
      </c>
      <c r="I58" s="47" t="s">
        <v>616</v>
      </c>
      <c r="M58">
        <v>36.03</v>
      </c>
      <c r="N58">
        <v>5.78</v>
      </c>
      <c r="O58">
        <v>11.63</v>
      </c>
      <c r="Q58">
        <v>6.45</v>
      </c>
      <c r="R58">
        <v>0.09</v>
      </c>
      <c r="S58">
        <v>4.33</v>
      </c>
      <c r="T58">
        <v>21.57</v>
      </c>
      <c r="U58">
        <v>1.55</v>
      </c>
      <c r="V58">
        <v>0.59</v>
      </c>
      <c r="W58">
        <v>10.45</v>
      </c>
      <c r="X58">
        <v>0.47</v>
      </c>
      <c r="Y58">
        <v>98.48</v>
      </c>
    </row>
    <row r="59" spans="1:25">
      <c r="A59" s="47" t="s">
        <v>1238</v>
      </c>
      <c r="B59" t="s">
        <v>1272</v>
      </c>
      <c r="C59" s="47" t="s">
        <v>1240</v>
      </c>
      <c r="D59">
        <v>1300</v>
      </c>
      <c r="E59" s="47">
        <v>1E-4</v>
      </c>
      <c r="F59" s="47"/>
      <c r="G59" s="48">
        <v>6.5895756464467825E-12</v>
      </c>
      <c r="H59" s="46">
        <f>2*SQRT(G59*F59)*1000</f>
        <v>0</v>
      </c>
      <c r="I59" s="47" t="s">
        <v>616</v>
      </c>
      <c r="M59">
        <v>34.21</v>
      </c>
      <c r="N59">
        <v>7.99</v>
      </c>
      <c r="O59">
        <v>11.13</v>
      </c>
      <c r="Q59">
        <v>6.16</v>
      </c>
      <c r="R59">
        <v>0.1</v>
      </c>
      <c r="S59">
        <v>4.53</v>
      </c>
      <c r="T59">
        <v>21.88</v>
      </c>
      <c r="U59">
        <v>1.53</v>
      </c>
      <c r="V59">
        <v>0.48</v>
      </c>
      <c r="W59">
        <v>11.1</v>
      </c>
      <c r="X59">
        <v>0.35</v>
      </c>
      <c r="Y59">
        <v>99.08</v>
      </c>
    </row>
    <row r="60" spans="1:25">
      <c r="A60" s="47" t="s">
        <v>1238</v>
      </c>
      <c r="B60" t="s">
        <v>1273</v>
      </c>
      <c r="C60" s="47" t="s">
        <v>1240</v>
      </c>
      <c r="D60">
        <v>1300</v>
      </c>
      <c r="E60" s="47">
        <v>1E-4</v>
      </c>
      <c r="F60" s="47"/>
      <c r="G60" s="48">
        <v>6.5895756464467825E-12</v>
      </c>
      <c r="H60" s="46">
        <f>2*SQRT(G60*F60)*1000</f>
        <v>0</v>
      </c>
      <c r="I60" s="47" t="s">
        <v>616</v>
      </c>
      <c r="M60">
        <v>33.42</v>
      </c>
      <c r="N60">
        <v>9.84</v>
      </c>
      <c r="O60">
        <v>10.86</v>
      </c>
      <c r="Q60">
        <v>5.65</v>
      </c>
      <c r="R60">
        <v>0.11</v>
      </c>
      <c r="S60">
        <v>4.08</v>
      </c>
      <c r="T60">
        <v>22.31</v>
      </c>
      <c r="U60">
        <v>1.35</v>
      </c>
      <c r="V60">
        <v>0.56000000000000005</v>
      </c>
      <c r="W60">
        <v>11.59</v>
      </c>
      <c r="X60">
        <v>0.81</v>
      </c>
      <c r="Y60">
        <v>99.74</v>
      </c>
    </row>
    <row r="61" spans="1:25">
      <c r="A61" s="47" t="s">
        <v>1238</v>
      </c>
      <c r="B61" t="s">
        <v>1274</v>
      </c>
      <c r="C61" s="47" t="s">
        <v>1240</v>
      </c>
      <c r="D61">
        <v>1300</v>
      </c>
      <c r="E61" s="47">
        <v>1E-4</v>
      </c>
      <c r="F61" s="47"/>
      <c r="G61" s="48">
        <v>6.5895756464467825E-12</v>
      </c>
      <c r="H61" s="46">
        <f>2*SQRT(G61*F61)*1000</f>
        <v>0</v>
      </c>
      <c r="I61" s="47" t="s">
        <v>616</v>
      </c>
      <c r="M61">
        <v>31.38</v>
      </c>
      <c r="N61">
        <v>12.63</v>
      </c>
      <c r="O61">
        <v>10.18</v>
      </c>
      <c r="Q61">
        <v>5.63</v>
      </c>
      <c r="R61">
        <v>0.09</v>
      </c>
      <c r="S61">
        <v>4.09</v>
      </c>
      <c r="T61">
        <v>22.54</v>
      </c>
      <c r="U61">
        <v>1.21</v>
      </c>
      <c r="V61">
        <v>0.44</v>
      </c>
      <c r="W61">
        <v>12.41</v>
      </c>
      <c r="X61">
        <v>0.28999999999999998</v>
      </c>
      <c r="Y61">
        <v>100.6</v>
      </c>
    </row>
    <row r="62" spans="1:25">
      <c r="A62" s="47" t="s">
        <v>1238</v>
      </c>
      <c r="B62" t="s">
        <v>1275</v>
      </c>
      <c r="C62" s="47" t="s">
        <v>1240</v>
      </c>
      <c r="D62">
        <v>1300</v>
      </c>
      <c r="E62" s="47">
        <v>1E-4</v>
      </c>
      <c r="F62" s="47"/>
      <c r="G62" s="48">
        <v>6.5895756464467825E-12</v>
      </c>
      <c r="H62" s="46">
        <f>2*SQRT(G62*F62)*1000</f>
        <v>0</v>
      </c>
      <c r="I62" s="47" t="s">
        <v>616</v>
      </c>
      <c r="M62">
        <v>29.5</v>
      </c>
      <c r="N62">
        <v>14.78</v>
      </c>
      <c r="O62">
        <v>9.5500000000000007</v>
      </c>
      <c r="Q62">
        <v>5.36</v>
      </c>
      <c r="R62">
        <v>0.11</v>
      </c>
      <c r="S62">
        <v>3.93</v>
      </c>
      <c r="T62">
        <v>21.81</v>
      </c>
      <c r="U62">
        <v>1.1299999999999999</v>
      </c>
      <c r="V62">
        <v>0.44</v>
      </c>
      <c r="W62">
        <v>12.09</v>
      </c>
      <c r="X62">
        <v>0.22</v>
      </c>
      <c r="Y62">
        <v>98.71</v>
      </c>
    </row>
    <row r="63" spans="1:25">
      <c r="A63" s="47" t="s">
        <v>1238</v>
      </c>
      <c r="B63" t="s">
        <v>1276</v>
      </c>
      <c r="C63" s="47" t="s">
        <v>1240</v>
      </c>
      <c r="D63">
        <v>1300</v>
      </c>
      <c r="E63" s="47">
        <v>1E-4</v>
      </c>
      <c r="F63" s="47"/>
      <c r="G63" s="48">
        <v>6.5895756464467825E-12</v>
      </c>
      <c r="H63" s="46">
        <f>2*SQRT(G63*F63)*1000</f>
        <v>0</v>
      </c>
      <c r="I63" s="47" t="s">
        <v>616</v>
      </c>
      <c r="M63">
        <v>35.1</v>
      </c>
      <c r="N63">
        <v>1.46</v>
      </c>
      <c r="O63">
        <v>11.08</v>
      </c>
      <c r="Q63">
        <v>8.1</v>
      </c>
      <c r="R63">
        <v>0.1</v>
      </c>
      <c r="S63">
        <v>6.33</v>
      </c>
      <c r="T63">
        <v>23.37</v>
      </c>
      <c r="U63">
        <v>1.9</v>
      </c>
      <c r="V63">
        <v>0.98</v>
      </c>
      <c r="W63">
        <v>11.51</v>
      </c>
      <c r="X63">
        <v>0.65</v>
      </c>
      <c r="Y63">
        <v>99.92</v>
      </c>
    </row>
    <row r="64" spans="1:25">
      <c r="A64" s="47" t="s">
        <v>1238</v>
      </c>
      <c r="B64" t="s">
        <v>1277</v>
      </c>
      <c r="C64" s="47" t="s">
        <v>1240</v>
      </c>
      <c r="D64">
        <v>1300</v>
      </c>
      <c r="E64" s="47">
        <v>1E-4</v>
      </c>
      <c r="F64" s="47"/>
      <c r="G64" s="48">
        <v>6.5895756464467825E-12</v>
      </c>
      <c r="H64" s="46">
        <f>2*SQRT(G64*F64)*1000</f>
        <v>0</v>
      </c>
      <c r="I64" s="47" t="s">
        <v>616</v>
      </c>
      <c r="M64">
        <v>32.93</v>
      </c>
      <c r="N64">
        <v>2.04</v>
      </c>
      <c r="O64">
        <v>9.68</v>
      </c>
      <c r="Q64">
        <v>8.51</v>
      </c>
      <c r="R64">
        <v>0.09</v>
      </c>
      <c r="S64">
        <v>6.6</v>
      </c>
      <c r="T64">
        <v>25.21</v>
      </c>
      <c r="U64">
        <v>1.63</v>
      </c>
      <c r="V64">
        <v>0.78</v>
      </c>
      <c r="W64">
        <v>12.36</v>
      </c>
      <c r="X64">
        <v>0.28000000000000003</v>
      </c>
      <c r="Y64">
        <v>99.83</v>
      </c>
    </row>
    <row r="65" spans="1:25">
      <c r="A65" s="47" t="s">
        <v>1238</v>
      </c>
      <c r="B65" t="s">
        <v>1258</v>
      </c>
      <c r="C65" s="47" t="s">
        <v>1240</v>
      </c>
      <c r="D65">
        <v>1300</v>
      </c>
      <c r="E65" s="47">
        <v>1E-4</v>
      </c>
      <c r="F65" s="47"/>
      <c r="G65" s="48">
        <v>6.5895756464467825E-12</v>
      </c>
      <c r="H65" s="46">
        <f>2*SQRT(G65*F65)*1000</f>
        <v>0</v>
      </c>
      <c r="I65" s="47" t="s">
        <v>616</v>
      </c>
      <c r="M65">
        <v>40.130000000000003</v>
      </c>
      <c r="N65">
        <v>0.84</v>
      </c>
      <c r="O65">
        <v>13.12</v>
      </c>
      <c r="Q65">
        <v>7.2</v>
      </c>
      <c r="R65">
        <v>0.09</v>
      </c>
      <c r="S65">
        <v>4.8099999999999996</v>
      </c>
      <c r="T65">
        <v>22.38</v>
      </c>
      <c r="U65">
        <v>1.67</v>
      </c>
      <c r="V65">
        <v>0.66</v>
      </c>
      <c r="W65">
        <v>9.4499999999999993</v>
      </c>
      <c r="X65">
        <v>0.11</v>
      </c>
      <c r="Y65">
        <v>100.35</v>
      </c>
    </row>
    <row r="66" spans="1:25">
      <c r="A66" s="47" t="s">
        <v>1238</v>
      </c>
      <c r="B66" t="s">
        <v>1251</v>
      </c>
      <c r="C66" s="47" t="s">
        <v>1240</v>
      </c>
      <c r="D66">
        <v>1300</v>
      </c>
      <c r="E66" s="47">
        <v>1E-4</v>
      </c>
      <c r="F66" s="47"/>
      <c r="G66" s="48">
        <v>6.5895756464467825E-12</v>
      </c>
      <c r="H66" s="46">
        <f>2*SQRT(G66*F66)*1000</f>
        <v>0</v>
      </c>
      <c r="I66" s="47" t="s">
        <v>616</v>
      </c>
      <c r="M66">
        <v>42.42</v>
      </c>
      <c r="N66">
        <v>1.01</v>
      </c>
      <c r="O66">
        <v>16.489999999999998</v>
      </c>
      <c r="Q66">
        <v>7.16</v>
      </c>
      <c r="R66">
        <v>0.09</v>
      </c>
      <c r="S66">
        <v>2.04</v>
      </c>
      <c r="T66">
        <v>17.89</v>
      </c>
      <c r="U66">
        <v>2.1800000000000002</v>
      </c>
      <c r="V66">
        <v>5.7</v>
      </c>
      <c r="W66">
        <v>5.79</v>
      </c>
      <c r="X66">
        <v>7.0000000000000007E-2</v>
      </c>
      <c r="Y66">
        <v>100.77</v>
      </c>
    </row>
    <row r="67" spans="1:25">
      <c r="A67" s="47" t="s">
        <v>1238</v>
      </c>
      <c r="B67" t="s">
        <v>1252</v>
      </c>
      <c r="C67" s="47" t="s">
        <v>1240</v>
      </c>
      <c r="D67">
        <v>1300</v>
      </c>
      <c r="E67" s="47">
        <v>1E-4</v>
      </c>
      <c r="F67" s="47"/>
      <c r="G67" s="48">
        <v>6.5895756464467825E-12</v>
      </c>
      <c r="H67" s="46">
        <f>2*SQRT(G67*F67)*1000</f>
        <v>0</v>
      </c>
      <c r="I67" s="47" t="s">
        <v>616</v>
      </c>
      <c r="M67">
        <v>32.47</v>
      </c>
      <c r="N67">
        <v>1.89</v>
      </c>
      <c r="O67">
        <v>9.5</v>
      </c>
      <c r="Q67">
        <v>6.47</v>
      </c>
      <c r="R67">
        <v>0.1</v>
      </c>
      <c r="S67">
        <v>5.76</v>
      </c>
      <c r="T67">
        <v>26.89</v>
      </c>
      <c r="U67">
        <v>2.15</v>
      </c>
      <c r="V67">
        <v>2.17</v>
      </c>
      <c r="W67">
        <v>12.48</v>
      </c>
      <c r="X67">
        <v>7.0000000000000007E-2</v>
      </c>
      <c r="Y67">
        <v>99.85</v>
      </c>
    </row>
    <row r="68" spans="1:25">
      <c r="A68" s="47" t="s">
        <v>1238</v>
      </c>
      <c r="B68" t="s">
        <v>1278</v>
      </c>
      <c r="C68" s="47" t="s">
        <v>1240</v>
      </c>
      <c r="D68">
        <v>1300</v>
      </c>
      <c r="E68" s="47">
        <v>1E-4</v>
      </c>
      <c r="F68" s="47"/>
      <c r="G68" s="48">
        <v>6.5895756464467825E-12</v>
      </c>
      <c r="H68" s="46">
        <f>2*SQRT(G68*F68)*1000</f>
        <v>0</v>
      </c>
      <c r="I68" s="47" t="s">
        <v>616</v>
      </c>
      <c r="M68">
        <v>35.19</v>
      </c>
      <c r="N68">
        <v>1.68</v>
      </c>
      <c r="O68">
        <v>11.08</v>
      </c>
      <c r="Q68">
        <v>7.75</v>
      </c>
      <c r="R68">
        <v>0.09</v>
      </c>
      <c r="S68">
        <v>6.5</v>
      </c>
      <c r="T68">
        <v>23.11</v>
      </c>
      <c r="U68">
        <v>1.86</v>
      </c>
      <c r="V68">
        <v>1.27</v>
      </c>
      <c r="W68">
        <v>11.38</v>
      </c>
      <c r="X68">
        <v>0.34</v>
      </c>
      <c r="Y68">
        <v>99.9</v>
      </c>
    </row>
    <row r="69" spans="1:25">
      <c r="A69" s="47" t="s">
        <v>1238</v>
      </c>
      <c r="B69" t="s">
        <v>1253</v>
      </c>
      <c r="C69" s="47" t="s">
        <v>1240</v>
      </c>
      <c r="D69">
        <v>1300</v>
      </c>
      <c r="E69" s="47">
        <v>1E-4</v>
      </c>
      <c r="F69" s="47"/>
      <c r="G69" s="48">
        <v>6.5895756464467825E-12</v>
      </c>
      <c r="H69" s="46">
        <f>2*SQRT(G69*F69)*1000</f>
        <v>0</v>
      </c>
      <c r="I69" s="47" t="s">
        <v>616</v>
      </c>
      <c r="M69">
        <v>64.36</v>
      </c>
      <c r="N69">
        <v>0.5</v>
      </c>
      <c r="O69">
        <v>15.43</v>
      </c>
      <c r="Q69">
        <v>2.99</v>
      </c>
      <c r="R69">
        <v>0.09</v>
      </c>
      <c r="S69">
        <v>0.4</v>
      </c>
      <c r="T69">
        <v>8.1199999999999992</v>
      </c>
      <c r="U69">
        <v>1.89</v>
      </c>
      <c r="V69">
        <v>5.39</v>
      </c>
      <c r="W69">
        <v>1.33</v>
      </c>
      <c r="X69">
        <v>0.08</v>
      </c>
      <c r="Y69">
        <v>100.5</v>
      </c>
    </row>
    <row r="70" spans="1:25">
      <c r="A70" s="47" t="s">
        <v>1238</v>
      </c>
      <c r="B70" t="s">
        <v>1279</v>
      </c>
      <c r="C70" s="47" t="s">
        <v>1240</v>
      </c>
      <c r="D70">
        <v>1300</v>
      </c>
      <c r="E70" s="47">
        <v>1E-4</v>
      </c>
      <c r="F70" s="47"/>
      <c r="G70" s="48">
        <v>6.5895756464467825E-12</v>
      </c>
      <c r="H70" s="46">
        <f>2*SQRT(G70*F70)*1000</f>
        <v>0</v>
      </c>
      <c r="I70" s="47" t="s">
        <v>616</v>
      </c>
      <c r="M70">
        <v>67.83</v>
      </c>
      <c r="N70">
        <v>0.7</v>
      </c>
      <c r="O70">
        <v>17.2</v>
      </c>
      <c r="Q70">
        <v>1</v>
      </c>
      <c r="R70">
        <v>0.08</v>
      </c>
      <c r="S70">
        <v>0.25</v>
      </c>
      <c r="T70">
        <v>5.96</v>
      </c>
      <c r="U70">
        <v>4.3499999999999996</v>
      </c>
      <c r="V70">
        <v>0.15</v>
      </c>
      <c r="W70">
        <v>1.2</v>
      </c>
      <c r="X70">
        <v>0.08</v>
      </c>
      <c r="Y70">
        <v>98.71</v>
      </c>
    </row>
    <row r="71" spans="1:25">
      <c r="A71" s="47" t="s">
        <v>1238</v>
      </c>
      <c r="B71" t="s">
        <v>1280</v>
      </c>
      <c r="C71" s="47" t="s">
        <v>1240</v>
      </c>
      <c r="D71">
        <v>1300</v>
      </c>
      <c r="E71" s="47">
        <v>1E-4</v>
      </c>
      <c r="F71" s="47"/>
      <c r="G71" s="48">
        <v>6.5895756464467825E-12</v>
      </c>
      <c r="H71" s="46">
        <f>2*SQRT(G71*F71)*1000</f>
        <v>0</v>
      </c>
      <c r="I71" s="47" t="s">
        <v>616</v>
      </c>
      <c r="M71">
        <v>52.28</v>
      </c>
      <c r="N71">
        <v>0.99</v>
      </c>
      <c r="O71">
        <v>21.63</v>
      </c>
      <c r="Q71">
        <v>1.3</v>
      </c>
      <c r="R71">
        <v>0.09</v>
      </c>
      <c r="S71">
        <v>0.09</v>
      </c>
      <c r="T71">
        <v>15.13</v>
      </c>
      <c r="U71">
        <v>5</v>
      </c>
      <c r="V71">
        <v>1.05</v>
      </c>
      <c r="W71">
        <v>3.72</v>
      </c>
      <c r="X71">
        <v>0.48</v>
      </c>
      <c r="Y71">
        <v>101.26</v>
      </c>
    </row>
    <row r="72" spans="1:25">
      <c r="A72" s="47" t="s">
        <v>1238</v>
      </c>
      <c r="B72" t="s">
        <v>1254</v>
      </c>
      <c r="C72" s="47" t="s">
        <v>1240</v>
      </c>
      <c r="D72">
        <v>1300</v>
      </c>
      <c r="E72" s="47">
        <v>1E-4</v>
      </c>
      <c r="F72" s="47"/>
      <c r="G72" s="48">
        <v>6.5895756464467825E-12</v>
      </c>
      <c r="H72" s="46">
        <f>2*SQRT(G72*F72)*1000</f>
        <v>0</v>
      </c>
      <c r="I72" s="47" t="s">
        <v>616</v>
      </c>
      <c r="M72">
        <v>54.68</v>
      </c>
      <c r="N72">
        <v>0.82</v>
      </c>
      <c r="O72">
        <v>18.829999999999998</v>
      </c>
      <c r="Q72">
        <v>2.94</v>
      </c>
      <c r="R72">
        <v>0.09</v>
      </c>
      <c r="S72">
        <v>0.09</v>
      </c>
      <c r="T72">
        <v>9.98</v>
      </c>
      <c r="U72">
        <v>3.98</v>
      </c>
      <c r="V72">
        <v>6.07</v>
      </c>
      <c r="W72">
        <v>2.27</v>
      </c>
      <c r="X72">
        <v>0.06</v>
      </c>
      <c r="Y72">
        <v>99.75</v>
      </c>
    </row>
    <row r="73" spans="1:25" s="47" customFormat="1">
      <c r="A73" s="47" t="s">
        <v>1281</v>
      </c>
      <c r="B73" s="47" t="s">
        <v>1282</v>
      </c>
      <c r="C73" s="47" t="s">
        <v>1283</v>
      </c>
      <c r="D73" s="47">
        <v>995</v>
      </c>
      <c r="E73" s="47">
        <v>10</v>
      </c>
      <c r="F73" s="47">
        <f>26.5*3600</f>
        <v>95400</v>
      </c>
      <c r="G73" s="50">
        <v>4.4147332001536297E-13</v>
      </c>
      <c r="H73" s="51">
        <f>2*SQRT(G73*F73)*1000</f>
        <v>0.41044636545821978</v>
      </c>
      <c r="I73" s="47" t="s">
        <v>92</v>
      </c>
      <c r="K73" s="47" t="s">
        <v>1284</v>
      </c>
      <c r="M73" s="52">
        <v>23.036485191944447</v>
      </c>
      <c r="N73" s="53">
        <v>2.4429958711987125</v>
      </c>
      <c r="O73" s="53">
        <v>7.8752768307385406</v>
      </c>
      <c r="P73" s="53">
        <v>2.399795581894365E-2</v>
      </c>
      <c r="Q73" s="53">
        <v>30.171282137250586</v>
      </c>
      <c r="R73" s="53">
        <v>0.85940609799040624</v>
      </c>
      <c r="S73" s="53">
        <v>4.6694344686788725</v>
      </c>
      <c r="T73" s="53">
        <v>9.0314399683190167</v>
      </c>
      <c r="U73" s="53">
        <v>0.69521535156727432</v>
      </c>
      <c r="W73" s="53">
        <v>18.702876443890386</v>
      </c>
      <c r="Y73" s="47">
        <v>97.603487729196033</v>
      </c>
    </row>
    <row r="74" spans="1:25" s="47" customFormat="1">
      <c r="A74" s="47" t="s">
        <v>1285</v>
      </c>
      <c r="B74" s="47" t="s">
        <v>1286</v>
      </c>
      <c r="C74" s="47" t="s">
        <v>31</v>
      </c>
      <c r="D74" s="47">
        <v>1050</v>
      </c>
      <c r="E74" s="47">
        <v>1E-3</v>
      </c>
      <c r="F74" s="47">
        <f>125*3600</f>
        <v>450000</v>
      </c>
      <c r="G74" s="50">
        <v>7.8813293078769567E-13</v>
      </c>
      <c r="H74" s="51">
        <f>2*SQRT(G74*F74)*1000</f>
        <v>1.1910664445856294</v>
      </c>
      <c r="I74" s="47">
        <v>0</v>
      </c>
      <c r="J74" s="47" t="s">
        <v>1287</v>
      </c>
      <c r="K74" s="47" t="s">
        <v>1288</v>
      </c>
      <c r="L74" s="47">
        <v>50</v>
      </c>
      <c r="M74" s="47">
        <v>54.41</v>
      </c>
      <c r="N74" s="47">
        <v>2.54</v>
      </c>
      <c r="O74" s="47">
        <v>12.18</v>
      </c>
      <c r="Q74" s="47">
        <v>14.16</v>
      </c>
      <c r="R74" s="47">
        <v>0.25</v>
      </c>
      <c r="S74" s="47">
        <v>2.2200000000000002</v>
      </c>
      <c r="T74" s="47">
        <v>6.11</v>
      </c>
      <c r="U74" s="47">
        <v>3</v>
      </c>
      <c r="V74" s="47">
        <v>2.92</v>
      </c>
      <c r="W74" s="47">
        <v>1.86</v>
      </c>
      <c r="X74" s="47">
        <v>0.06</v>
      </c>
      <c r="Y74" s="47">
        <f>SUM(M74:W74)</f>
        <v>99.649999999999991</v>
      </c>
    </row>
    <row r="75" spans="1:25" s="47" customFormat="1">
      <c r="A75" s="47" t="s">
        <v>1285</v>
      </c>
      <c r="B75" s="47" t="s">
        <v>1289</v>
      </c>
      <c r="C75" s="47" t="s">
        <v>31</v>
      </c>
      <c r="D75" s="47">
        <v>1065</v>
      </c>
      <c r="E75" s="47">
        <v>1E-3</v>
      </c>
      <c r="F75" s="47">
        <f>46*3600</f>
        <v>165600</v>
      </c>
      <c r="G75" s="50">
        <v>9.1548814574302515E-13</v>
      </c>
      <c r="H75" s="51">
        <f>2*SQRT(G75*F75)*1000</f>
        <v>0.77872931609140017</v>
      </c>
      <c r="I75" s="47">
        <v>0</v>
      </c>
      <c r="J75" s="47" t="s">
        <v>1290</v>
      </c>
      <c r="K75" s="47" t="s">
        <v>1291</v>
      </c>
      <c r="L75" s="47">
        <v>47</v>
      </c>
      <c r="M75" s="47">
        <v>56.69</v>
      </c>
      <c r="N75" s="47">
        <v>2.1800000000000002</v>
      </c>
      <c r="O75" s="47">
        <v>12.53</v>
      </c>
      <c r="P75" s="47">
        <v>0.03</v>
      </c>
      <c r="Q75" s="47">
        <v>11.02</v>
      </c>
      <c r="R75" s="47">
        <v>0.22</v>
      </c>
      <c r="S75" s="47">
        <v>2.34</v>
      </c>
      <c r="T75" s="47">
        <v>5.59</v>
      </c>
      <c r="U75" s="47">
        <v>3.06</v>
      </c>
      <c r="V75" s="47">
        <v>2.83</v>
      </c>
      <c r="W75" s="47">
        <v>1.65</v>
      </c>
      <c r="X75" s="47">
        <v>0.32</v>
      </c>
      <c r="Y75" s="47">
        <f>SUM(M75:W75)</f>
        <v>98.14</v>
      </c>
    </row>
    <row r="76" spans="1:25" s="47" customFormat="1">
      <c r="A76" s="47" t="s">
        <v>1285</v>
      </c>
      <c r="B76" s="47" t="s">
        <v>1292</v>
      </c>
      <c r="C76" s="47" t="s">
        <v>31</v>
      </c>
      <c r="D76" s="47">
        <v>1060</v>
      </c>
      <c r="E76" s="47">
        <v>1E-3</v>
      </c>
      <c r="F76" s="47">
        <f>89*3600</f>
        <v>320400</v>
      </c>
      <c r="G76" s="50">
        <v>8.7122627296389965E-13</v>
      </c>
      <c r="H76" s="51">
        <f>2*SQRT(G76*F76)*1000</f>
        <v>1.0566757267158804</v>
      </c>
      <c r="I76" s="47">
        <v>0</v>
      </c>
      <c r="J76" s="47" t="s">
        <v>1290</v>
      </c>
      <c r="K76" s="47" t="s">
        <v>1291</v>
      </c>
      <c r="L76" s="47">
        <v>30</v>
      </c>
      <c r="M76" s="47">
        <v>66.94</v>
      </c>
      <c r="N76" s="47">
        <v>1.24</v>
      </c>
      <c r="O76" s="47">
        <v>13.97</v>
      </c>
      <c r="Q76" s="47">
        <v>5.71</v>
      </c>
      <c r="R76" s="47">
        <v>0.1</v>
      </c>
      <c r="S76" s="47">
        <v>1.03</v>
      </c>
      <c r="T76" s="47">
        <v>2.65</v>
      </c>
      <c r="U76" s="47">
        <v>3.48</v>
      </c>
      <c r="V76" s="47">
        <v>4.13</v>
      </c>
      <c r="W76" s="47">
        <v>0.56999999999999995</v>
      </c>
      <c r="X76" s="47">
        <v>0.04</v>
      </c>
      <c r="Y76" s="47">
        <f>SUM(M76:W76)</f>
        <v>99.819999999999979</v>
      </c>
    </row>
    <row r="77" spans="1:25">
      <c r="A77" t="s">
        <v>1294</v>
      </c>
      <c r="B77" t="s">
        <v>1295</v>
      </c>
      <c r="C77" t="s">
        <v>31</v>
      </c>
      <c r="D77">
        <v>1000</v>
      </c>
      <c r="E77">
        <v>1E-3</v>
      </c>
      <c r="F77">
        <f>87*3600</f>
        <v>313200</v>
      </c>
      <c r="G77" s="48">
        <v>4.6632042652511761E-13</v>
      </c>
      <c r="H77" s="46">
        <f>2*SQRT(G77*F77)*1000</f>
        <v>0.76433384744538646</v>
      </c>
      <c r="I77" t="s">
        <v>1293</v>
      </c>
      <c r="K77" t="s">
        <v>1301</v>
      </c>
      <c r="L77">
        <v>15</v>
      </c>
      <c r="M77">
        <v>39.61</v>
      </c>
      <c r="N77">
        <v>3.51</v>
      </c>
      <c r="O77">
        <v>5.91</v>
      </c>
      <c r="Q77">
        <v>32.75</v>
      </c>
      <c r="R77">
        <v>0.66</v>
      </c>
      <c r="S77">
        <v>0.89</v>
      </c>
      <c r="T77">
        <v>11.32</v>
      </c>
      <c r="U77">
        <v>0.51500000000000001</v>
      </c>
      <c r="V77">
        <v>0.24199999999999999</v>
      </c>
      <c r="W77">
        <v>4.2</v>
      </c>
      <c r="X77">
        <v>0.28000000000000003</v>
      </c>
      <c r="Y77">
        <v>99.61</v>
      </c>
    </row>
    <row r="78" spans="1:25">
      <c r="A78" t="s">
        <v>1296</v>
      </c>
      <c r="B78" t="s">
        <v>1297</v>
      </c>
      <c r="C78" t="s">
        <v>31</v>
      </c>
      <c r="D78">
        <v>1072</v>
      </c>
      <c r="E78">
        <v>1E-4</v>
      </c>
      <c r="F78">
        <f>186*3600</f>
        <v>669600</v>
      </c>
      <c r="G78" s="48">
        <v>9.8065082784066155E-13</v>
      </c>
      <c r="H78" s="46">
        <f>2*SQRT(G78*F78)*1000</f>
        <v>1.6206712119638667</v>
      </c>
      <c r="I78" t="s">
        <v>616</v>
      </c>
      <c r="J78" t="s">
        <v>1298</v>
      </c>
      <c r="K78" t="s">
        <v>1299</v>
      </c>
      <c r="M78">
        <v>62.01</v>
      </c>
      <c r="N78">
        <v>2.33</v>
      </c>
      <c r="O78">
        <v>11.31</v>
      </c>
      <c r="Q78">
        <v>9.17</v>
      </c>
      <c r="S78">
        <v>2.4500000000000002</v>
      </c>
      <c r="T78">
        <v>6.18</v>
      </c>
      <c r="U78">
        <v>2.96</v>
      </c>
      <c r="V78">
        <v>1.24</v>
      </c>
      <c r="W78">
        <v>1.23</v>
      </c>
      <c r="X78">
        <v>0.36</v>
      </c>
      <c r="Y78">
        <v>98.87</v>
      </c>
    </row>
    <row r="79" spans="1:25">
      <c r="A79" t="s">
        <v>1296</v>
      </c>
      <c r="B79" t="s">
        <v>1300</v>
      </c>
      <c r="C79" t="s">
        <v>31</v>
      </c>
      <c r="D79">
        <v>1072</v>
      </c>
      <c r="E79">
        <v>1E-4</v>
      </c>
      <c r="F79">
        <f>186*3600</f>
        <v>669600</v>
      </c>
      <c r="G79" s="48">
        <v>9.8065082784066155E-13</v>
      </c>
      <c r="H79" s="46">
        <f>2*SQRT(G79*F79)*1000</f>
        <v>1.6206712119638667</v>
      </c>
      <c r="I79" t="s">
        <v>616</v>
      </c>
      <c r="J79" t="s">
        <v>1298</v>
      </c>
      <c r="K79" t="s">
        <v>1302</v>
      </c>
      <c r="M79">
        <v>61.16</v>
      </c>
      <c r="N79">
        <v>2.4500000000000002</v>
      </c>
      <c r="O79">
        <v>11.38</v>
      </c>
      <c r="Q79">
        <v>9.23</v>
      </c>
      <c r="S79">
        <v>2.63</v>
      </c>
      <c r="T79">
        <v>6.43</v>
      </c>
      <c r="U79">
        <v>3.01</v>
      </c>
      <c r="V79">
        <v>1.2</v>
      </c>
      <c r="W79">
        <v>1.34</v>
      </c>
      <c r="X79">
        <v>0.15</v>
      </c>
      <c r="Y79">
        <v>98.85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CalibrationDataSet</vt:lpstr>
      <vt:lpstr>ExcludedData</vt:lpstr>
      <vt:lpstr>nonApatiteData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Klein</dc:creator>
  <cp:lastModifiedBy>Benjamin Klein</cp:lastModifiedBy>
  <dcterms:created xsi:type="dcterms:W3CDTF">2025-10-06T06:19:58Z</dcterms:created>
  <dcterms:modified xsi:type="dcterms:W3CDTF">2026-01-13T14:46:30Z</dcterms:modified>
</cp:coreProperties>
</file>