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filterPrivacy="1" codeName="ThisWorkbook"/>
  <xr:revisionPtr revIDLastSave="0" documentId="13_ncr:1_{695F3A84-8A1A-4FD2-9A20-59D7EC990EF9}" xr6:coauthVersionLast="45" xr6:coauthVersionMax="45" xr10:uidLastSave="{00000000-0000-0000-0000-000000000000}"/>
  <bookViews>
    <workbookView xWindow="-93" yWindow="-93" windowWidth="25786" windowHeight="13986" firstSheet="7" activeTab="11" xr2:uid="{00000000-000D-0000-FFFF-FFFF00000000}"/>
  </bookViews>
  <sheets>
    <sheet name="Behaviour" sheetId="1" r:id="rId1"/>
    <sheet name="Nonpar. test(2 samples)" sheetId="18" r:id="rId2"/>
    <sheet name="Tests for two proportions" sheetId="19" r:id="rId3"/>
    <sheet name="BehaviouRepeated measures ANOVA" sheetId="7" r:id="rId4"/>
    <sheet name="Gains (SD)" sheetId="21" r:id="rId5"/>
    <sheet name="repANOVA Tau" sheetId="20" r:id="rId6"/>
    <sheet name="RepANOVA Left-RightSlope" sheetId="15" r:id="rId7"/>
    <sheet name="RepANOVA phaseVOR" sheetId="14" r:id="rId8"/>
    <sheet name="RepANOV gainVOR" sheetId="13" r:id="rId9"/>
    <sheet name="RepANOVA  OVAR" sheetId="11" r:id="rId10"/>
    <sheet name="RepANOVA Slope" sheetId="10" r:id="rId11"/>
    <sheet name="RepANOVA NS" sheetId="9" r:id="rId1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K37" i="21" l="1"/>
  <c r="L37" i="21"/>
  <c r="N37" i="21"/>
  <c r="P37" i="21"/>
  <c r="R37" i="21"/>
  <c r="S37" i="21"/>
  <c r="T37" i="21"/>
  <c r="U37" i="21"/>
  <c r="V37" i="21"/>
  <c r="W37" i="21"/>
  <c r="X37" i="21"/>
  <c r="Y37" i="21"/>
  <c r="Z37" i="21"/>
  <c r="AA37" i="21"/>
  <c r="AB37" i="21"/>
  <c r="AD37" i="21"/>
  <c r="AE37" i="21"/>
  <c r="AF37" i="21"/>
  <c r="AG37" i="21"/>
  <c r="AH37" i="21"/>
  <c r="AI37" i="21"/>
  <c r="AJ37" i="21"/>
  <c r="AK37" i="21"/>
  <c r="AL37" i="21"/>
  <c r="AM37" i="21"/>
  <c r="AN37" i="21"/>
  <c r="AO37" i="21"/>
  <c r="AS37" i="21"/>
  <c r="AT37" i="21"/>
  <c r="AU37" i="21"/>
  <c r="AV37" i="21"/>
  <c r="AW37" i="21"/>
  <c r="D119" i="21" l="1"/>
  <c r="E119" i="21"/>
  <c r="F119" i="21"/>
  <c r="C119" i="21"/>
  <c r="D111" i="21"/>
  <c r="E111" i="21"/>
  <c r="F111" i="21"/>
  <c r="C111" i="21"/>
  <c r="B119" i="21"/>
  <c r="D118" i="21"/>
  <c r="C118" i="21"/>
  <c r="B118" i="21"/>
  <c r="B111" i="21"/>
  <c r="F110" i="21"/>
  <c r="E110" i="21"/>
  <c r="C110" i="21"/>
  <c r="B110" i="21"/>
  <c r="D110" i="21"/>
  <c r="K97" i="21"/>
  <c r="L97" i="21"/>
  <c r="N97" i="21"/>
  <c r="P97" i="21"/>
  <c r="R97" i="21"/>
  <c r="S97" i="21"/>
  <c r="T97" i="21"/>
  <c r="U97" i="21"/>
  <c r="V97" i="21"/>
  <c r="W97" i="21"/>
  <c r="X97" i="21"/>
  <c r="Y97" i="21"/>
  <c r="Z97" i="21"/>
  <c r="AA97" i="21"/>
  <c r="AB97" i="21"/>
  <c r="AD97" i="21"/>
  <c r="AE97" i="21"/>
  <c r="AF97" i="21"/>
  <c r="AG97" i="21"/>
  <c r="AH97" i="21"/>
  <c r="AI97" i="21"/>
  <c r="AJ97" i="21"/>
  <c r="AK97" i="21"/>
  <c r="AL97" i="21"/>
  <c r="AM97" i="21"/>
  <c r="AN97" i="21"/>
  <c r="AO97" i="21"/>
  <c r="AS97" i="21"/>
  <c r="J97" i="21"/>
  <c r="K89" i="21"/>
  <c r="L89" i="21"/>
  <c r="N89" i="21"/>
  <c r="P89" i="21"/>
  <c r="R89" i="21"/>
  <c r="S89" i="21"/>
  <c r="T89" i="21"/>
  <c r="U89" i="21"/>
  <c r="V89" i="21"/>
  <c r="W89" i="21"/>
  <c r="X89" i="21"/>
  <c r="Y89" i="21"/>
  <c r="Z89" i="21"/>
  <c r="AA89" i="21"/>
  <c r="AB89" i="21"/>
  <c r="AD89" i="21"/>
  <c r="AE89" i="21"/>
  <c r="AF89" i="21"/>
  <c r="AG89" i="21"/>
  <c r="AH89" i="21"/>
  <c r="AI89" i="21"/>
  <c r="AJ89" i="21"/>
  <c r="AK89" i="21"/>
  <c r="AL89" i="21"/>
  <c r="AM89" i="21"/>
  <c r="AN89" i="21"/>
  <c r="AO89" i="21"/>
  <c r="AS89" i="21"/>
  <c r="J89" i="21"/>
  <c r="K77" i="21"/>
  <c r="L77" i="21"/>
  <c r="N77" i="21"/>
  <c r="P77" i="21"/>
  <c r="R77" i="21"/>
  <c r="S77" i="21"/>
  <c r="T77" i="21"/>
  <c r="U77" i="21"/>
  <c r="V77" i="21"/>
  <c r="W77" i="21"/>
  <c r="X77" i="21"/>
  <c r="Y77" i="21"/>
  <c r="Z77" i="21"/>
  <c r="AA77" i="21"/>
  <c r="AB77" i="21"/>
  <c r="AD77" i="21"/>
  <c r="AE77" i="21"/>
  <c r="AF77" i="21"/>
  <c r="AG77" i="21"/>
  <c r="AH77" i="21"/>
  <c r="AI77" i="21"/>
  <c r="AJ77" i="21"/>
  <c r="AK77" i="21"/>
  <c r="AL77" i="21"/>
  <c r="AM77" i="21"/>
  <c r="AN77" i="21"/>
  <c r="AO77" i="21"/>
  <c r="AS77" i="21"/>
  <c r="AV77" i="21"/>
  <c r="K69" i="21"/>
  <c r="L69" i="21"/>
  <c r="N69" i="21"/>
  <c r="P69" i="21"/>
  <c r="R69" i="21"/>
  <c r="S69" i="21"/>
  <c r="T69" i="21"/>
  <c r="U69" i="21"/>
  <c r="V69" i="21"/>
  <c r="W69" i="21"/>
  <c r="X69" i="21"/>
  <c r="Y69" i="21"/>
  <c r="Z69" i="21"/>
  <c r="AA69" i="21"/>
  <c r="AB69" i="21"/>
  <c r="AD69" i="21"/>
  <c r="AE69" i="21"/>
  <c r="AF69" i="21"/>
  <c r="AG69" i="21"/>
  <c r="AH69" i="21"/>
  <c r="AI69" i="21"/>
  <c r="AJ69" i="21"/>
  <c r="AK69" i="21"/>
  <c r="AL69" i="21"/>
  <c r="AM69" i="21"/>
  <c r="AN69" i="21"/>
  <c r="AO69" i="21"/>
  <c r="AS69" i="21"/>
  <c r="J69" i="21"/>
  <c r="J77" i="21"/>
  <c r="K57" i="21"/>
  <c r="L57" i="21"/>
  <c r="N57" i="21"/>
  <c r="P57" i="21"/>
  <c r="R57" i="21"/>
  <c r="S57" i="21"/>
  <c r="T57" i="21"/>
  <c r="U57" i="21"/>
  <c r="V57" i="21"/>
  <c r="W57" i="21"/>
  <c r="X57" i="21"/>
  <c r="Y57" i="21"/>
  <c r="Z57" i="21"/>
  <c r="AA57" i="21"/>
  <c r="AB57" i="21"/>
  <c r="AD57" i="21"/>
  <c r="AE57" i="21"/>
  <c r="AF57" i="21"/>
  <c r="AG57" i="21"/>
  <c r="AH57" i="21"/>
  <c r="AI57" i="21"/>
  <c r="AJ57" i="21"/>
  <c r="AK57" i="21"/>
  <c r="AL57" i="21"/>
  <c r="AM57" i="21"/>
  <c r="AN57" i="21"/>
  <c r="AO57" i="21"/>
  <c r="AS57" i="21"/>
  <c r="AV57" i="21"/>
  <c r="K49" i="21"/>
  <c r="L49" i="21"/>
  <c r="N49" i="21"/>
  <c r="P49" i="21"/>
  <c r="R49" i="21"/>
  <c r="S49" i="21"/>
  <c r="T49" i="21"/>
  <c r="U49" i="21"/>
  <c r="V49" i="21"/>
  <c r="W49" i="21"/>
  <c r="X49" i="21"/>
  <c r="Y49" i="21"/>
  <c r="Z49" i="21"/>
  <c r="AA49" i="21"/>
  <c r="AB49" i="21"/>
  <c r="AD49" i="21"/>
  <c r="AE49" i="21"/>
  <c r="AF49" i="21"/>
  <c r="AG49" i="21"/>
  <c r="AH49" i="21"/>
  <c r="AI49" i="21"/>
  <c r="AJ49" i="21"/>
  <c r="AK49" i="21"/>
  <c r="AL49" i="21"/>
  <c r="AM49" i="21"/>
  <c r="AN49" i="21"/>
  <c r="AO49" i="21"/>
  <c r="AS49" i="21"/>
  <c r="J57" i="21"/>
  <c r="J49" i="21"/>
  <c r="J37" i="21"/>
  <c r="K29" i="21"/>
  <c r="L29" i="21"/>
  <c r="N29" i="21"/>
  <c r="P29" i="21"/>
  <c r="R29" i="21"/>
  <c r="S29" i="21"/>
  <c r="T29" i="21"/>
  <c r="U29" i="21"/>
  <c r="V29" i="21"/>
  <c r="W29" i="21"/>
  <c r="X29" i="21"/>
  <c r="Y29" i="21"/>
  <c r="Z29" i="21"/>
  <c r="AA29" i="21"/>
  <c r="AB29" i="21"/>
  <c r="AD29" i="21"/>
  <c r="AE29" i="21"/>
  <c r="AF29" i="21"/>
  <c r="AG29" i="21"/>
  <c r="AH29" i="21"/>
  <c r="AI29" i="21"/>
  <c r="AJ29" i="21"/>
  <c r="AK29" i="21"/>
  <c r="AL29" i="21"/>
  <c r="AM29" i="21"/>
  <c r="AN29" i="21"/>
  <c r="AO29" i="21"/>
  <c r="AS29" i="21"/>
  <c r="AT29" i="21"/>
  <c r="AU29" i="21"/>
  <c r="AV29" i="21"/>
  <c r="AW29" i="21"/>
  <c r="J29" i="21"/>
  <c r="K17" i="21"/>
  <c r="L17" i="21"/>
  <c r="N17" i="21"/>
  <c r="P17" i="21"/>
  <c r="R17" i="21"/>
  <c r="S17" i="21"/>
  <c r="T17" i="21"/>
  <c r="U17" i="21"/>
  <c r="V17" i="21"/>
  <c r="W17" i="21"/>
  <c r="X17" i="21"/>
  <c r="Y17" i="21"/>
  <c r="Z17" i="21"/>
  <c r="AA17" i="21"/>
  <c r="AB17" i="21"/>
  <c r="AD17" i="21"/>
  <c r="AE17" i="21"/>
  <c r="AF17" i="21"/>
  <c r="AG17" i="21"/>
  <c r="AH17" i="21"/>
  <c r="AI17" i="21"/>
  <c r="AJ17" i="21"/>
  <c r="AK17" i="21"/>
  <c r="AL17" i="21"/>
  <c r="AM17" i="21"/>
  <c r="AN17" i="21"/>
  <c r="AO17" i="21"/>
  <c r="AS17" i="21"/>
  <c r="K9" i="21"/>
  <c r="L9" i="21"/>
  <c r="N9" i="21"/>
  <c r="P9" i="21"/>
  <c r="R9" i="21"/>
  <c r="S9" i="21"/>
  <c r="T9" i="21"/>
  <c r="U9" i="21"/>
  <c r="V9" i="21"/>
  <c r="W9" i="21"/>
  <c r="X9" i="21"/>
  <c r="Y9" i="21"/>
  <c r="Z9" i="21"/>
  <c r="AA9" i="21"/>
  <c r="AB9" i="21"/>
  <c r="AD9" i="21"/>
  <c r="AE9" i="21"/>
  <c r="AF9" i="21"/>
  <c r="AG9" i="21"/>
  <c r="AH9" i="21"/>
  <c r="AI9" i="21"/>
  <c r="AJ9" i="21"/>
  <c r="AK9" i="21"/>
  <c r="AL9" i="21"/>
  <c r="AM9" i="21"/>
  <c r="AN9" i="21"/>
  <c r="AO9" i="21"/>
  <c r="AS9" i="21"/>
  <c r="J9" i="21"/>
  <c r="J17" i="21"/>
  <c r="AO96" i="21"/>
  <c r="AN96" i="21"/>
  <c r="AM96" i="21"/>
  <c r="AL96" i="21"/>
  <c r="AK96" i="21"/>
  <c r="AJ96" i="21"/>
  <c r="AI96" i="21"/>
  <c r="AH96" i="21"/>
  <c r="AG96" i="21"/>
  <c r="AF96" i="21"/>
  <c r="AE96" i="21"/>
  <c r="AB96" i="21"/>
  <c r="AA96" i="21"/>
  <c r="Z96" i="21"/>
  <c r="Y96" i="21"/>
  <c r="X96" i="21"/>
  <c r="W96" i="21"/>
  <c r="V96" i="21"/>
  <c r="U96" i="21"/>
  <c r="T96" i="21"/>
  <c r="S96" i="21"/>
  <c r="P96" i="21"/>
  <c r="N96" i="21"/>
  <c r="L96" i="21"/>
  <c r="J96" i="21"/>
  <c r="AW95" i="21"/>
  <c r="AV95" i="21"/>
  <c r="AU95" i="21"/>
  <c r="AT95" i="21"/>
  <c r="AR95" i="21"/>
  <c r="AQ95" i="21"/>
  <c r="AP95" i="21"/>
  <c r="AC95" i="21"/>
  <c r="AW94" i="21"/>
  <c r="AU94" i="21"/>
  <c r="AY94" i="21" s="1"/>
  <c r="AT94" i="21"/>
  <c r="AR94" i="21"/>
  <c r="AQ94" i="21"/>
  <c r="AP94" i="21"/>
  <c r="AC94" i="21"/>
  <c r="AW93" i="21"/>
  <c r="AV93" i="21"/>
  <c r="AU93" i="21"/>
  <c r="AT93" i="21"/>
  <c r="AR93" i="21"/>
  <c r="AQ93" i="21"/>
  <c r="AP93" i="21"/>
  <c r="AC93" i="21"/>
  <c r="AW92" i="21"/>
  <c r="AV92" i="21"/>
  <c r="AU92" i="21"/>
  <c r="AT92" i="21"/>
  <c r="AR92" i="21"/>
  <c r="AQ92" i="21"/>
  <c r="AP92" i="21"/>
  <c r="AC92" i="21"/>
  <c r="AW91" i="21"/>
  <c r="AX91" i="21" s="1"/>
  <c r="AV91" i="21"/>
  <c r="AU91" i="21"/>
  <c r="AR91" i="21"/>
  <c r="AQ91" i="21"/>
  <c r="AP91" i="21"/>
  <c r="AC91" i="21"/>
  <c r="AW90" i="21"/>
  <c r="AV90" i="21"/>
  <c r="AU90" i="21"/>
  <c r="AT90" i="21"/>
  <c r="AR90" i="21"/>
  <c r="AQ90" i="21"/>
  <c r="AP90" i="21"/>
  <c r="AC90" i="21"/>
  <c r="AO88" i="21"/>
  <c r="AN88" i="21"/>
  <c r="AM88" i="21"/>
  <c r="AL88" i="21"/>
  <c r="AK88" i="21"/>
  <c r="AJ88" i="21"/>
  <c r="AI88" i="21"/>
  <c r="AH88" i="21"/>
  <c r="AG88" i="21"/>
  <c r="AF88" i="21"/>
  <c r="AE88" i="21"/>
  <c r="AB88" i="21"/>
  <c r="AA88" i="21"/>
  <c r="Z88" i="21"/>
  <c r="Y88" i="21"/>
  <c r="X88" i="21"/>
  <c r="W88" i="21"/>
  <c r="V88" i="21"/>
  <c r="U88" i="21"/>
  <c r="T88" i="21"/>
  <c r="S88" i="21"/>
  <c r="P88" i="21"/>
  <c r="N88" i="21"/>
  <c r="L88" i="21"/>
  <c r="J88" i="21"/>
  <c r="AW87" i="21"/>
  <c r="AV87" i="21"/>
  <c r="AU87" i="21"/>
  <c r="AT87" i="21"/>
  <c r="AR87" i="21"/>
  <c r="AQ87" i="21"/>
  <c r="AP87" i="21"/>
  <c r="AC87" i="21"/>
  <c r="AW86" i="21"/>
  <c r="AV86" i="21"/>
  <c r="AU86" i="21"/>
  <c r="AT86" i="21"/>
  <c r="AR86" i="21"/>
  <c r="AQ86" i="21"/>
  <c r="AP86" i="21"/>
  <c r="AC86" i="21"/>
  <c r="AY85" i="21"/>
  <c r="AW85" i="21"/>
  <c r="AX85" i="21" s="1"/>
  <c r="AT85" i="21"/>
  <c r="AR85" i="21"/>
  <c r="AQ85" i="21"/>
  <c r="AP85" i="21"/>
  <c r="AC85" i="21"/>
  <c r="AW84" i="21"/>
  <c r="AV84" i="21"/>
  <c r="AU84" i="21"/>
  <c r="AT84" i="21"/>
  <c r="AR84" i="21"/>
  <c r="AQ84" i="21"/>
  <c r="AP84" i="21"/>
  <c r="AC84" i="21"/>
  <c r="AW83" i="21"/>
  <c r="AU83" i="21"/>
  <c r="AY83" i="21" s="1"/>
  <c r="AT83" i="21"/>
  <c r="AR83" i="21"/>
  <c r="AQ83" i="21"/>
  <c r="AP83" i="21"/>
  <c r="AC83" i="21"/>
  <c r="AW82" i="21"/>
  <c r="AV82" i="21"/>
  <c r="AT82" i="21"/>
  <c r="AR82" i="21"/>
  <c r="AQ82" i="21"/>
  <c r="AP82" i="21"/>
  <c r="AC82" i="21"/>
  <c r="AV76" i="21"/>
  <c r="AO76" i="21"/>
  <c r="AN76" i="21"/>
  <c r="AM76" i="21"/>
  <c r="AL76" i="21"/>
  <c r="AK76" i="21"/>
  <c r="AJ76" i="21"/>
  <c r="AI76" i="21"/>
  <c r="AH76" i="21"/>
  <c r="AG76" i="21"/>
  <c r="AF76" i="21"/>
  <c r="AE76" i="21"/>
  <c r="AB76" i="21"/>
  <c r="AA76" i="21"/>
  <c r="Z76" i="21"/>
  <c r="Y76" i="21"/>
  <c r="X76" i="21"/>
  <c r="W76" i="21"/>
  <c r="V76" i="21"/>
  <c r="U76" i="21"/>
  <c r="T76" i="21"/>
  <c r="S76" i="21"/>
  <c r="P76" i="21"/>
  <c r="N76" i="21"/>
  <c r="L76" i="21"/>
  <c r="J76" i="21"/>
  <c r="AY75" i="21"/>
  <c r="AW75" i="21"/>
  <c r="AT75" i="21"/>
  <c r="AR75" i="21"/>
  <c r="AQ75" i="21"/>
  <c r="AP75" i="21"/>
  <c r="AC75" i="21"/>
  <c r="AZ74" i="21"/>
  <c r="AY74" i="21"/>
  <c r="AX74" i="21"/>
  <c r="AR74" i="21"/>
  <c r="AQ74" i="21"/>
  <c r="AP74" i="21"/>
  <c r="AC74" i="21"/>
  <c r="AY73" i="21"/>
  <c r="AT73" i="21"/>
  <c r="AX73" i="21" s="1"/>
  <c r="AR73" i="21"/>
  <c r="AQ73" i="21"/>
  <c r="AP73" i="21"/>
  <c r="AC73" i="21"/>
  <c r="AW72" i="21"/>
  <c r="AU72" i="21"/>
  <c r="AY72" i="21" s="1"/>
  <c r="AT72" i="21"/>
  <c r="AR72" i="21"/>
  <c r="AQ72" i="21"/>
  <c r="AP72" i="21"/>
  <c r="AC72" i="21"/>
  <c r="AW71" i="21"/>
  <c r="AU71" i="21"/>
  <c r="AT71" i="21"/>
  <c r="AR71" i="21"/>
  <c r="AQ71" i="21"/>
  <c r="AP71" i="21"/>
  <c r="AC71" i="21"/>
  <c r="AY70" i="21"/>
  <c r="AW70" i="21"/>
  <c r="AX70" i="21" s="1"/>
  <c r="AR70" i="21"/>
  <c r="AQ70" i="21"/>
  <c r="AP70" i="21"/>
  <c r="AC70" i="21"/>
  <c r="AO68" i="21"/>
  <c r="AN68" i="21"/>
  <c r="AM68" i="21"/>
  <c r="AL68" i="21"/>
  <c r="AK68" i="21"/>
  <c r="AJ68" i="21"/>
  <c r="AI68" i="21"/>
  <c r="AH68" i="21"/>
  <c r="AG68" i="21"/>
  <c r="AF68" i="21"/>
  <c r="AE68" i="21"/>
  <c r="AB68" i="21"/>
  <c r="AA68" i="21"/>
  <c r="Z68" i="21"/>
  <c r="Y68" i="21"/>
  <c r="X68" i="21"/>
  <c r="W68" i="21"/>
  <c r="V68" i="21"/>
  <c r="U68" i="21"/>
  <c r="T68" i="21"/>
  <c r="S68" i="21"/>
  <c r="P68" i="21"/>
  <c r="N68" i="21"/>
  <c r="L68" i="21"/>
  <c r="J68" i="21"/>
  <c r="AW67" i="21"/>
  <c r="AV67" i="21"/>
  <c r="AU67" i="21"/>
  <c r="AT67" i="21"/>
  <c r="AR67" i="21"/>
  <c r="AQ67" i="21"/>
  <c r="AP67" i="21"/>
  <c r="AC67" i="21"/>
  <c r="AW66" i="21"/>
  <c r="AV66" i="21"/>
  <c r="AV69" i="21" s="1"/>
  <c r="AU66" i="21"/>
  <c r="AT66" i="21"/>
  <c r="AR66" i="21"/>
  <c r="AQ66" i="21"/>
  <c r="AP66" i="21"/>
  <c r="AC66" i="21"/>
  <c r="AU65" i="21"/>
  <c r="AY65" i="21" s="1"/>
  <c r="AT65" i="21"/>
  <c r="AR65" i="21"/>
  <c r="AQ65" i="21"/>
  <c r="AP65" i="21"/>
  <c r="AC65" i="21"/>
  <c r="AZ64" i="21"/>
  <c r="AY64" i="21"/>
  <c r="AX64" i="21"/>
  <c r="AR64" i="21"/>
  <c r="AQ64" i="21"/>
  <c r="AP64" i="21"/>
  <c r="AC64" i="21"/>
  <c r="AY63" i="21"/>
  <c r="AW63" i="21"/>
  <c r="AW69" i="21" s="1"/>
  <c r="AT63" i="21"/>
  <c r="AR63" i="21"/>
  <c r="AQ63" i="21"/>
  <c r="AP63" i="21"/>
  <c r="AC63" i="21"/>
  <c r="AZ62" i="21"/>
  <c r="AY62" i="21"/>
  <c r="AX62" i="21"/>
  <c r="AR62" i="21"/>
  <c r="AQ62" i="21"/>
  <c r="AP62" i="21"/>
  <c r="AC62" i="21"/>
  <c r="AV56" i="21"/>
  <c r="AO56" i="21"/>
  <c r="AN56" i="21"/>
  <c r="AM56" i="21"/>
  <c r="AL56" i="21"/>
  <c r="AK56" i="21"/>
  <c r="AJ56" i="21"/>
  <c r="AI56" i="21"/>
  <c r="AH56" i="21"/>
  <c r="AG56" i="21"/>
  <c r="AF56" i="21"/>
  <c r="AE56" i="21"/>
  <c r="AB56" i="21"/>
  <c r="AA56" i="21"/>
  <c r="Z56" i="21"/>
  <c r="Y56" i="21"/>
  <c r="X56" i="21"/>
  <c r="W56" i="21"/>
  <c r="V56" i="21"/>
  <c r="U56" i="21"/>
  <c r="T56" i="21"/>
  <c r="S56" i="21"/>
  <c r="P56" i="21"/>
  <c r="N56" i="21"/>
  <c r="L56" i="21"/>
  <c r="J56" i="21"/>
  <c r="AW55" i="21"/>
  <c r="AU55" i="21"/>
  <c r="AU57" i="21" s="1"/>
  <c r="AT55" i="21"/>
  <c r="AR55" i="21"/>
  <c r="AQ55" i="21"/>
  <c r="AP55" i="21"/>
  <c r="AC55" i="21"/>
  <c r="AY54" i="21"/>
  <c r="AT54" i="21"/>
  <c r="AZ54" i="21" s="1"/>
  <c r="AR54" i="21"/>
  <c r="AQ54" i="21"/>
  <c r="AP54" i="21"/>
  <c r="AC54" i="21"/>
  <c r="AY53" i="21"/>
  <c r="AT53" i="21"/>
  <c r="AX53" i="21" s="1"/>
  <c r="AR53" i="21"/>
  <c r="AQ53" i="21"/>
  <c r="AP53" i="21"/>
  <c r="AC53" i="21"/>
  <c r="AY52" i="21"/>
  <c r="AW52" i="21"/>
  <c r="AX52" i="21" s="1"/>
  <c r="AR52" i="21"/>
  <c r="AQ52" i="21"/>
  <c r="AP52" i="21"/>
  <c r="AC52" i="21"/>
  <c r="AY51" i="21"/>
  <c r="AW51" i="21"/>
  <c r="AT51" i="21"/>
  <c r="AR51" i="21"/>
  <c r="AQ51" i="21"/>
  <c r="AP51" i="21"/>
  <c r="AC51" i="21"/>
  <c r="AY50" i="21"/>
  <c r="AT50" i="21"/>
  <c r="AZ50" i="21" s="1"/>
  <c r="AR50" i="21"/>
  <c r="AQ50" i="21"/>
  <c r="AP50" i="21"/>
  <c r="AC50" i="21"/>
  <c r="AO48" i="21"/>
  <c r="AN48" i="21"/>
  <c r="AM48" i="21"/>
  <c r="AL48" i="21"/>
  <c r="AK48" i="21"/>
  <c r="AJ48" i="21"/>
  <c r="AI48" i="21"/>
  <c r="AH48" i="21"/>
  <c r="AG48" i="21"/>
  <c r="AF48" i="21"/>
  <c r="AE48" i="21"/>
  <c r="AB48" i="21"/>
  <c r="AA48" i="21"/>
  <c r="Z48" i="21"/>
  <c r="Y48" i="21"/>
  <c r="X48" i="21"/>
  <c r="W48" i="21"/>
  <c r="V48" i="21"/>
  <c r="U48" i="21"/>
  <c r="T48" i="21"/>
  <c r="S48" i="21"/>
  <c r="P48" i="21"/>
  <c r="N48" i="21"/>
  <c r="L48" i="21"/>
  <c r="J48" i="21"/>
  <c r="AW47" i="21"/>
  <c r="AW49" i="21" s="1"/>
  <c r="AV47" i="21"/>
  <c r="AU47" i="21"/>
  <c r="AR47" i="21"/>
  <c r="AQ47" i="21"/>
  <c r="AP47" i="21"/>
  <c r="AC47" i="21"/>
  <c r="AV46" i="21"/>
  <c r="AU46" i="21"/>
  <c r="AT46" i="21"/>
  <c r="AX46" i="21" s="1"/>
  <c r="AR46" i="21"/>
  <c r="AQ46" i="21"/>
  <c r="AP46" i="21"/>
  <c r="AC46" i="21"/>
  <c r="AU45" i="21"/>
  <c r="AT45" i="21"/>
  <c r="AR45" i="21"/>
  <c r="AQ45" i="21"/>
  <c r="AP45" i="21"/>
  <c r="AC45" i="21"/>
  <c r="AZ44" i="21"/>
  <c r="AY44" i="21"/>
  <c r="AX44" i="21"/>
  <c r="AR44" i="21"/>
  <c r="AQ44" i="21"/>
  <c r="AP44" i="21"/>
  <c r="AC44" i="21"/>
  <c r="AZ43" i="21"/>
  <c r="AY43" i="21"/>
  <c r="AX43" i="21"/>
  <c r="AR43" i="21"/>
  <c r="AQ43" i="21"/>
  <c r="AP43" i="21"/>
  <c r="AC43" i="21"/>
  <c r="AZ42" i="21"/>
  <c r="AY42" i="21"/>
  <c r="AX42" i="21"/>
  <c r="AR42" i="21"/>
  <c r="AQ42" i="21"/>
  <c r="AP42" i="21"/>
  <c r="AC42" i="21"/>
  <c r="AW36" i="21"/>
  <c r="AV36" i="21"/>
  <c r="AU36" i="21"/>
  <c r="AT36" i="21"/>
  <c r="AO36" i="21"/>
  <c r="AN36" i="21"/>
  <c r="AM36" i="21"/>
  <c r="AL36" i="21"/>
  <c r="AK36" i="21"/>
  <c r="AJ36" i="21"/>
  <c r="AI36" i="21"/>
  <c r="AH36" i="21"/>
  <c r="AG36" i="21"/>
  <c r="AF36" i="21"/>
  <c r="AE36" i="21"/>
  <c r="AB36" i="21"/>
  <c r="AA36" i="21"/>
  <c r="Z36" i="21"/>
  <c r="Y36" i="21"/>
  <c r="X36" i="21"/>
  <c r="W36" i="21"/>
  <c r="V36" i="21"/>
  <c r="U36" i="21"/>
  <c r="T36" i="21"/>
  <c r="S36" i="21"/>
  <c r="P36" i="21"/>
  <c r="N36" i="21"/>
  <c r="L36" i="21"/>
  <c r="J36" i="21"/>
  <c r="AZ35" i="21"/>
  <c r="AY35" i="21"/>
  <c r="AX35" i="21"/>
  <c r="AR35" i="21"/>
  <c r="AQ35" i="21"/>
  <c r="AP35" i="21"/>
  <c r="AC35" i="21"/>
  <c r="AZ34" i="21"/>
  <c r="AY34" i="21"/>
  <c r="AX34" i="21"/>
  <c r="AR34" i="21"/>
  <c r="AQ34" i="21"/>
  <c r="AP34" i="21"/>
  <c r="AC34" i="21"/>
  <c r="AZ33" i="21"/>
  <c r="AY33" i="21"/>
  <c r="AX33" i="21"/>
  <c r="AR33" i="21"/>
  <c r="AQ33" i="21"/>
  <c r="AP33" i="21"/>
  <c r="AC33" i="21"/>
  <c r="AZ32" i="21"/>
  <c r="AY32" i="21"/>
  <c r="AX32" i="21"/>
  <c r="AR32" i="21"/>
  <c r="AQ32" i="21"/>
  <c r="AP32" i="21"/>
  <c r="AC32" i="21"/>
  <c r="AZ31" i="21"/>
  <c r="AY31" i="21"/>
  <c r="AX31" i="21"/>
  <c r="AR31" i="21"/>
  <c r="AQ31" i="21"/>
  <c r="AP31" i="21"/>
  <c r="AC31" i="21"/>
  <c r="AZ30" i="21"/>
  <c r="AY30" i="21"/>
  <c r="AX30" i="21"/>
  <c r="AR30" i="21"/>
  <c r="AQ30" i="21"/>
  <c r="AQ37" i="21" s="1"/>
  <c r="AP30" i="21"/>
  <c r="AC30" i="21"/>
  <c r="AW28" i="21"/>
  <c r="AV28" i="21"/>
  <c r="AU28" i="21"/>
  <c r="AT28" i="21"/>
  <c r="AO28" i="21"/>
  <c r="AN28" i="21"/>
  <c r="AM28" i="21"/>
  <c r="AL28" i="21"/>
  <c r="AK28" i="21"/>
  <c r="AJ28" i="21"/>
  <c r="AI28" i="21"/>
  <c r="AH28" i="21"/>
  <c r="AG28" i="21"/>
  <c r="AF28" i="21"/>
  <c r="AE28" i="21"/>
  <c r="AB28" i="21"/>
  <c r="AA28" i="21"/>
  <c r="Z28" i="21"/>
  <c r="Y28" i="21"/>
  <c r="X28" i="21"/>
  <c r="W28" i="21"/>
  <c r="V28" i="21"/>
  <c r="U28" i="21"/>
  <c r="T28" i="21"/>
  <c r="S28" i="21"/>
  <c r="P28" i="21"/>
  <c r="N28" i="21"/>
  <c r="L28" i="21"/>
  <c r="J28" i="21"/>
  <c r="AZ27" i="21"/>
  <c r="AY27" i="21"/>
  <c r="AX27" i="21"/>
  <c r="AR27" i="21"/>
  <c r="AQ27" i="21"/>
  <c r="AP27" i="21"/>
  <c r="AC27" i="21"/>
  <c r="AZ26" i="21"/>
  <c r="AY26" i="21"/>
  <c r="AX26" i="21"/>
  <c r="AR26" i="21"/>
  <c r="AQ26" i="21"/>
  <c r="AP26" i="21"/>
  <c r="AC26" i="21"/>
  <c r="AZ25" i="21"/>
  <c r="AY25" i="21"/>
  <c r="AX25" i="21"/>
  <c r="AR25" i="21"/>
  <c r="AQ25" i="21"/>
  <c r="AP25" i="21"/>
  <c r="AC25" i="21"/>
  <c r="AZ24" i="21"/>
  <c r="AY24" i="21"/>
  <c r="AX24" i="21"/>
  <c r="AR24" i="21"/>
  <c r="AQ24" i="21"/>
  <c r="AP24" i="21"/>
  <c r="AC24" i="21"/>
  <c r="AZ23" i="21"/>
  <c r="AY23" i="21"/>
  <c r="AX23" i="21"/>
  <c r="AR23" i="21"/>
  <c r="AQ23" i="21"/>
  <c r="AP23" i="21"/>
  <c r="AC23" i="21"/>
  <c r="AZ22" i="21"/>
  <c r="AY22" i="21"/>
  <c r="AX22" i="21"/>
  <c r="AR22" i="21"/>
  <c r="AQ22" i="21"/>
  <c r="AP22" i="21"/>
  <c r="AC22" i="21"/>
  <c r="AO16" i="21"/>
  <c r="AN16" i="21"/>
  <c r="AM16" i="21"/>
  <c r="AL16" i="21"/>
  <c r="AK16" i="21"/>
  <c r="AJ16" i="21"/>
  <c r="AI16" i="21"/>
  <c r="AH16" i="21"/>
  <c r="AG16" i="21"/>
  <c r="AF16" i="21"/>
  <c r="AE16" i="21"/>
  <c r="AB16" i="21"/>
  <c r="AA16" i="21"/>
  <c r="Z16" i="21"/>
  <c r="Y16" i="21"/>
  <c r="X16" i="21"/>
  <c r="W16" i="21"/>
  <c r="V16" i="21"/>
  <c r="U16" i="21"/>
  <c r="T16" i="21"/>
  <c r="S16" i="21"/>
  <c r="P16" i="21"/>
  <c r="N16" i="21"/>
  <c r="L16" i="21"/>
  <c r="J16" i="21"/>
  <c r="AW15" i="21"/>
  <c r="AV15" i="21"/>
  <c r="AU15" i="21"/>
  <c r="AT15" i="21"/>
  <c r="AR15" i="21"/>
  <c r="AQ15" i="21"/>
  <c r="AP15" i="21"/>
  <c r="AC15" i="21"/>
  <c r="AW14" i="21"/>
  <c r="AV14" i="21"/>
  <c r="AU14" i="21"/>
  <c r="AT14" i="21"/>
  <c r="AR14" i="21"/>
  <c r="AQ14" i="21"/>
  <c r="AP14" i="21"/>
  <c r="AC14" i="21"/>
  <c r="AW13" i="21"/>
  <c r="AV13" i="21"/>
  <c r="AU13" i="21"/>
  <c r="AT13" i="21"/>
  <c r="AR13" i="21"/>
  <c r="AQ13" i="21"/>
  <c r="AP13" i="21"/>
  <c r="AC13" i="21"/>
  <c r="AW12" i="21"/>
  <c r="AV12" i="21"/>
  <c r="AU12" i="21"/>
  <c r="AT12" i="21"/>
  <c r="AR12" i="21"/>
  <c r="AQ12" i="21"/>
  <c r="AP12" i="21"/>
  <c r="AC12" i="21"/>
  <c r="AW11" i="21"/>
  <c r="AV11" i="21"/>
  <c r="AU11" i="21"/>
  <c r="AT11" i="21"/>
  <c r="AR11" i="21"/>
  <c r="AQ11" i="21"/>
  <c r="AP11" i="21"/>
  <c r="AC11" i="21"/>
  <c r="AW10" i="21"/>
  <c r="AV10" i="21"/>
  <c r="AU10" i="21"/>
  <c r="AU17" i="21" s="1"/>
  <c r="AT10" i="21"/>
  <c r="AR10" i="21"/>
  <c r="AQ10" i="21"/>
  <c r="AP10" i="21"/>
  <c r="AC10" i="21"/>
  <c r="AO8" i="21"/>
  <c r="AN8" i="21"/>
  <c r="AM8" i="21"/>
  <c r="AL8" i="21"/>
  <c r="AK8" i="21"/>
  <c r="AJ8" i="21"/>
  <c r="AI8" i="21"/>
  <c r="AH8" i="21"/>
  <c r="AG8" i="21"/>
  <c r="AF8" i="21"/>
  <c r="AE8" i="21"/>
  <c r="AB8" i="21"/>
  <c r="AA8" i="21"/>
  <c r="Z8" i="21"/>
  <c r="Y8" i="21"/>
  <c r="X8" i="21"/>
  <c r="W8" i="21"/>
  <c r="V8" i="21"/>
  <c r="U8" i="21"/>
  <c r="T8" i="21"/>
  <c r="S8" i="21"/>
  <c r="P8" i="21"/>
  <c r="N8" i="21"/>
  <c r="L8" i="21"/>
  <c r="J8" i="21"/>
  <c r="AW7" i="21"/>
  <c r="AV7" i="21"/>
  <c r="AU7" i="21"/>
  <c r="AT7" i="21"/>
  <c r="AR7" i="21"/>
  <c r="AQ7" i="21"/>
  <c r="AP7" i="21"/>
  <c r="AC7" i="21"/>
  <c r="AW6" i="21"/>
  <c r="AV6" i="21"/>
  <c r="AU6" i="21"/>
  <c r="AT6" i="21"/>
  <c r="AR6" i="21"/>
  <c r="AQ6" i="21"/>
  <c r="AP6" i="21"/>
  <c r="AC6" i="21"/>
  <c r="AW5" i="21"/>
  <c r="AV5" i="21"/>
  <c r="AU5" i="21"/>
  <c r="AT5" i="21"/>
  <c r="AR5" i="21"/>
  <c r="AQ5" i="21"/>
  <c r="AP5" i="21"/>
  <c r="AC5" i="21"/>
  <c r="AW4" i="21"/>
  <c r="AV4" i="21"/>
  <c r="AU4" i="21"/>
  <c r="AT4" i="21"/>
  <c r="AR4" i="21"/>
  <c r="AQ4" i="21"/>
  <c r="AP4" i="21"/>
  <c r="AC4" i="21"/>
  <c r="AW3" i="21"/>
  <c r="AV3" i="21"/>
  <c r="AU3" i="21"/>
  <c r="AT3" i="21"/>
  <c r="AR3" i="21"/>
  <c r="AQ3" i="21"/>
  <c r="AP3" i="21"/>
  <c r="AC3" i="21"/>
  <c r="AW2" i="21"/>
  <c r="AV2" i="21"/>
  <c r="AV9" i="21" s="1"/>
  <c r="AU2" i="21"/>
  <c r="AT2" i="21"/>
  <c r="AR2" i="21"/>
  <c r="AR9" i="21" s="1"/>
  <c r="AQ2" i="21"/>
  <c r="AP2" i="21"/>
  <c r="AC2" i="21"/>
  <c r="AC9" i="21" s="1"/>
  <c r="AY84" i="21" l="1"/>
  <c r="AV97" i="21"/>
  <c r="AR57" i="21"/>
  <c r="AW57" i="21"/>
  <c r="AY14" i="21"/>
  <c r="AP77" i="21"/>
  <c r="AZ14" i="21"/>
  <c r="AC49" i="21"/>
  <c r="AU77" i="21"/>
  <c r="AC69" i="21"/>
  <c r="AR37" i="21"/>
  <c r="AP49" i="21"/>
  <c r="AT49" i="21"/>
  <c r="AP69" i="21"/>
  <c r="AZ65" i="21"/>
  <c r="AT77" i="21"/>
  <c r="AZ84" i="21"/>
  <c r="AT97" i="21"/>
  <c r="AQ49" i="21"/>
  <c r="AQ69" i="21"/>
  <c r="AR77" i="21"/>
  <c r="AU97" i="21"/>
  <c r="AC29" i="21"/>
  <c r="AC89" i="21"/>
  <c r="AR69" i="21"/>
  <c r="AP29" i="21"/>
  <c r="AP89" i="21"/>
  <c r="AQ29" i="21"/>
  <c r="AX2" i="21"/>
  <c r="AR29" i="21"/>
  <c r="AR49" i="21"/>
  <c r="AT69" i="21"/>
  <c r="AX5" i="21"/>
  <c r="AX29" i="21"/>
  <c r="AU49" i="21"/>
  <c r="AX3" i="21"/>
  <c r="AW17" i="21"/>
  <c r="AP9" i="21"/>
  <c r="AC17" i="21"/>
  <c r="AX11" i="21"/>
  <c r="AY29" i="21"/>
  <c r="AX45" i="21"/>
  <c r="AV49" i="21"/>
  <c r="AC57" i="21"/>
  <c r="AQ89" i="21"/>
  <c r="AW97" i="21"/>
  <c r="AV17" i="21"/>
  <c r="AQ9" i="21"/>
  <c r="AP17" i="21"/>
  <c r="AZ29" i="21"/>
  <c r="AP57" i="21"/>
  <c r="AC77" i="21"/>
  <c r="AR89" i="21"/>
  <c r="AC97" i="21"/>
  <c r="AX92" i="21"/>
  <c r="AQ17" i="21"/>
  <c r="AQ57" i="21"/>
  <c r="AT89" i="21"/>
  <c r="AP97" i="21"/>
  <c r="AR17" i="21"/>
  <c r="AQ77" i="21"/>
  <c r="AV89" i="21"/>
  <c r="AQ97" i="21"/>
  <c r="AT9" i="21"/>
  <c r="AU9" i="21"/>
  <c r="AT17" i="21"/>
  <c r="AW89" i="21"/>
  <c r="AR97" i="21"/>
  <c r="AX6" i="21"/>
  <c r="AY37" i="21"/>
  <c r="AX50" i="21"/>
  <c r="AX66" i="21"/>
  <c r="AX84" i="21"/>
  <c r="AX95" i="21"/>
  <c r="AT57" i="21"/>
  <c r="AZ37" i="21"/>
  <c r="AX82" i="21"/>
  <c r="AX94" i="21"/>
  <c r="AW9" i="21"/>
  <c r="AU69" i="21"/>
  <c r="AZ55" i="21"/>
  <c r="AX67" i="21"/>
  <c r="AX72" i="21"/>
  <c r="AU89" i="21"/>
  <c r="AC37" i="21"/>
  <c r="AP37" i="21"/>
  <c r="AY45" i="21"/>
  <c r="AZ86" i="21"/>
  <c r="AX37" i="21"/>
  <c r="AZ46" i="21"/>
  <c r="AZ82" i="21"/>
  <c r="AW77" i="21"/>
  <c r="E118" i="21"/>
  <c r="F118" i="21"/>
  <c r="AQ28" i="21"/>
  <c r="AX86" i="21"/>
  <c r="AZ93" i="21"/>
  <c r="AY95" i="21"/>
  <c r="AY15" i="21"/>
  <c r="AZ52" i="21"/>
  <c r="AX65" i="21"/>
  <c r="AY87" i="21"/>
  <c r="AY93" i="21"/>
  <c r="AY7" i="21"/>
  <c r="AX15" i="21"/>
  <c r="AZ95" i="21"/>
  <c r="AY2" i="21"/>
  <c r="AY5" i="21"/>
  <c r="AZ13" i="21"/>
  <c r="AY46" i="21"/>
  <c r="AX54" i="21"/>
  <c r="AY66" i="21"/>
  <c r="AZ91" i="21"/>
  <c r="AC8" i="21"/>
  <c r="AX75" i="21"/>
  <c r="AY11" i="21"/>
  <c r="AY6" i="21"/>
  <c r="AZ45" i="21"/>
  <c r="AX51" i="21"/>
  <c r="AZ92" i="21"/>
  <c r="AZ5" i="21"/>
  <c r="AZ6" i="21"/>
  <c r="AX14" i="21"/>
  <c r="AX55" i="21"/>
  <c r="AZ63" i="21"/>
  <c r="AZ66" i="21"/>
  <c r="AZ11" i="21"/>
  <c r="AY12" i="21"/>
  <c r="AY55" i="21"/>
  <c r="AY57" i="21" s="1"/>
  <c r="AX63" i="21"/>
  <c r="AZ72" i="21"/>
  <c r="AY86" i="21"/>
  <c r="AY91" i="21"/>
  <c r="AT8" i="21"/>
  <c r="AZ12" i="21"/>
  <c r="AP28" i="21"/>
  <c r="AX36" i="21"/>
  <c r="AZ85" i="21"/>
  <c r="AZ87" i="21"/>
  <c r="AQ96" i="21"/>
  <c r="AZ3" i="21"/>
  <c r="AZ4" i="21"/>
  <c r="AX13" i="21"/>
  <c r="AZ36" i="21"/>
  <c r="AQ36" i="21"/>
  <c r="AZ53" i="21"/>
  <c r="AY82" i="21"/>
  <c r="AZ94" i="21"/>
  <c r="AZ2" i="21"/>
  <c r="AZ15" i="21"/>
  <c r="AZ70" i="21"/>
  <c r="AZ73" i="21"/>
  <c r="AZ83" i="21"/>
  <c r="AX7" i="21"/>
  <c r="AR16" i="21"/>
  <c r="AX47" i="21"/>
  <c r="AX48" i="21" s="1"/>
  <c r="AZ67" i="21"/>
  <c r="AY92" i="21"/>
  <c r="AR56" i="21"/>
  <c r="AX71" i="21"/>
  <c r="AX83" i="21"/>
  <c r="AX10" i="21"/>
  <c r="AW8" i="21"/>
  <c r="AT16" i="21"/>
  <c r="AR36" i="21"/>
  <c r="AY47" i="21"/>
  <c r="AP48" i="21"/>
  <c r="AZ51" i="21"/>
  <c r="AT56" i="21"/>
  <c r="AW68" i="21"/>
  <c r="AP76" i="21"/>
  <c r="AC88" i="21"/>
  <c r="AU88" i="21"/>
  <c r="AR96" i="21"/>
  <c r="AU8" i="21"/>
  <c r="AY3" i="21"/>
  <c r="AY10" i="21"/>
  <c r="AZ10" i="21"/>
  <c r="AY13" i="21"/>
  <c r="AC16" i="21"/>
  <c r="AU16" i="21"/>
  <c r="AX28" i="21"/>
  <c r="AZ47" i="21"/>
  <c r="AQ48" i="21"/>
  <c r="AC56" i="21"/>
  <c r="AU56" i="21"/>
  <c r="AZ75" i="21"/>
  <c r="AQ76" i="21"/>
  <c r="AV88" i="21"/>
  <c r="AX90" i="21"/>
  <c r="AT96" i="21"/>
  <c r="AV16" i="21"/>
  <c r="AY28" i="21"/>
  <c r="AC36" i="21"/>
  <c r="AR48" i="21"/>
  <c r="AY67" i="21"/>
  <c r="AP68" i="21"/>
  <c r="AY71" i="21"/>
  <c r="AY76" i="21" s="1"/>
  <c r="AR76" i="21"/>
  <c r="AW88" i="21"/>
  <c r="AY90" i="21"/>
  <c r="AX93" i="21"/>
  <c r="AC96" i="21"/>
  <c r="AU96" i="21"/>
  <c r="AV8" i="21"/>
  <c r="AV68" i="21"/>
  <c r="AT88" i="21"/>
  <c r="AY4" i="21"/>
  <c r="AZ7" i="21"/>
  <c r="AQ8" i="21"/>
  <c r="AX12" i="21"/>
  <c r="AW16" i="21"/>
  <c r="AZ28" i="21"/>
  <c r="AT48" i="21"/>
  <c r="AW56" i="21"/>
  <c r="AQ68" i="21"/>
  <c r="AZ71" i="21"/>
  <c r="AT76" i="21"/>
  <c r="AX87" i="21"/>
  <c r="AZ90" i="21"/>
  <c r="AV96" i="21"/>
  <c r="AX4" i="21"/>
  <c r="AP8" i="21"/>
  <c r="AR8" i="21"/>
  <c r="AR28" i="21"/>
  <c r="AC48" i="21"/>
  <c r="AU48" i="21"/>
  <c r="AR68" i="21"/>
  <c r="AC76" i="21"/>
  <c r="AU76" i="21"/>
  <c r="AP88" i="21"/>
  <c r="AW96" i="21"/>
  <c r="AP16" i="21"/>
  <c r="AV48" i="21"/>
  <c r="AP56" i="21"/>
  <c r="AY56" i="21"/>
  <c r="AT68" i="21"/>
  <c r="AQ88" i="21"/>
  <c r="AQ16" i="21"/>
  <c r="AC28" i="21"/>
  <c r="AP36" i="21"/>
  <c r="AY36" i="21"/>
  <c r="AW48" i="21"/>
  <c r="AQ56" i="21"/>
  <c r="AC68" i="21"/>
  <c r="AU68" i="21"/>
  <c r="AW76" i="21"/>
  <c r="AR88" i="21"/>
  <c r="AP96" i="21"/>
  <c r="AZ57" i="21" l="1"/>
  <c r="AZ88" i="21"/>
  <c r="AX56" i="21"/>
  <c r="AZ68" i="21"/>
  <c r="AZ48" i="21"/>
  <c r="AY88" i="21"/>
  <c r="AX76" i="21"/>
  <c r="AY49" i="21"/>
  <c r="AX9" i="21"/>
  <c r="AY17" i="21"/>
  <c r="AZ9" i="21"/>
  <c r="AZ17" i="21"/>
  <c r="AZ97" i="21"/>
  <c r="AX97" i="21"/>
  <c r="AY69" i="21"/>
  <c r="AX69" i="21"/>
  <c r="AX49" i="21"/>
  <c r="AX17" i="21"/>
  <c r="AY89" i="21"/>
  <c r="AX57" i="21"/>
  <c r="AZ69" i="21"/>
  <c r="AY97" i="21"/>
  <c r="AX68" i="21"/>
  <c r="AY9" i="21"/>
  <c r="AZ89" i="21"/>
  <c r="AX89" i="21"/>
  <c r="AY77" i="21"/>
  <c r="AZ77" i="21"/>
  <c r="AZ49" i="21"/>
  <c r="AY48" i="21"/>
  <c r="AX77" i="21"/>
  <c r="AZ8" i="21"/>
  <c r="AX88" i="21"/>
  <c r="AY68" i="21"/>
  <c r="AY8" i="21"/>
  <c r="AZ76" i="21"/>
  <c r="AX16" i="21"/>
  <c r="AZ96" i="21"/>
  <c r="AY96" i="21"/>
  <c r="AX96" i="21"/>
  <c r="AZ56" i="21"/>
  <c r="AX8" i="21"/>
  <c r="AZ16" i="21"/>
  <c r="AY16" i="21"/>
  <c r="J16" i="1" l="1"/>
  <c r="J9" i="1"/>
  <c r="M16" i="1"/>
  <c r="M9" i="1"/>
  <c r="BQ37" i="1"/>
  <c r="BP37" i="1"/>
  <c r="BO37" i="1"/>
  <c r="BN37" i="1"/>
  <c r="BQ36" i="1"/>
  <c r="BP36" i="1"/>
  <c r="BO36" i="1"/>
  <c r="BN36" i="1"/>
  <c r="BQ35" i="1"/>
  <c r="BP35" i="1"/>
  <c r="BO35" i="1"/>
  <c r="BN35" i="1"/>
  <c r="BQ34" i="1"/>
  <c r="BQ43" i="1" s="1"/>
  <c r="BP34" i="1"/>
  <c r="BP43" i="1" s="1"/>
  <c r="BO34" i="1"/>
  <c r="BO43" i="1" s="1"/>
  <c r="BN34" i="1"/>
  <c r="BN43" i="1" s="1"/>
  <c r="BO21" i="1"/>
  <c r="BO30" i="1" s="1"/>
  <c r="BP21" i="1"/>
  <c r="BP30" i="1" s="1"/>
  <c r="BQ21" i="1"/>
  <c r="BQ30" i="1" s="1"/>
  <c r="BO22" i="1"/>
  <c r="BP22" i="1"/>
  <c r="BQ22" i="1"/>
  <c r="BO23" i="1"/>
  <c r="BP23" i="1"/>
  <c r="BQ23" i="1"/>
  <c r="BO24" i="1"/>
  <c r="BP24" i="1"/>
  <c r="BQ24" i="1"/>
  <c r="BN24" i="1"/>
  <c r="BN22" i="1"/>
  <c r="BN23" i="1"/>
  <c r="BN21" i="1"/>
  <c r="BN30" i="1" s="1"/>
  <c r="J8" i="1" l="1"/>
  <c r="AP41" i="1" l="1"/>
  <c r="AN41" i="1"/>
  <c r="AR42" i="1" l="1"/>
  <c r="AR41" i="1"/>
  <c r="AR40" i="1"/>
  <c r="AR39" i="1"/>
  <c r="AQ42" i="1"/>
  <c r="AQ41" i="1"/>
  <c r="AQ40" i="1"/>
  <c r="AQ39" i="1"/>
  <c r="AP42" i="1"/>
  <c r="AP40" i="1"/>
  <c r="AP39" i="1"/>
  <c r="AO42" i="1"/>
  <c r="AO41" i="1"/>
  <c r="AO40" i="1"/>
  <c r="AO39" i="1"/>
  <c r="AN42" i="1"/>
  <c r="AN40" i="1"/>
  <c r="AN39" i="1"/>
  <c r="AM42" i="1"/>
  <c r="AM41" i="1"/>
  <c r="AM40" i="1"/>
  <c r="AM39" i="1"/>
  <c r="AR37" i="1"/>
  <c r="AR36" i="1"/>
  <c r="AR35" i="1"/>
  <c r="AR34" i="1"/>
  <c r="AQ37" i="1"/>
  <c r="AQ36" i="1"/>
  <c r="AQ35" i="1"/>
  <c r="AQ34" i="1"/>
  <c r="AP37" i="1"/>
  <c r="AP36" i="1"/>
  <c r="AP35" i="1"/>
  <c r="AP34" i="1"/>
  <c r="AO37" i="1"/>
  <c r="AO36" i="1"/>
  <c r="AO35" i="1"/>
  <c r="AO34" i="1"/>
  <c r="AN37" i="1"/>
  <c r="AN36" i="1"/>
  <c r="AN35" i="1"/>
  <c r="AN34" i="1"/>
  <c r="AM37" i="1"/>
  <c r="AM36" i="1"/>
  <c r="AM35" i="1"/>
  <c r="AM34" i="1"/>
  <c r="AM21" i="1"/>
  <c r="J14" i="1"/>
  <c r="J12" i="1"/>
  <c r="J15" i="1"/>
  <c r="J17" i="1"/>
  <c r="J13" i="1"/>
  <c r="J11" i="1" l="1"/>
  <c r="J10" i="1"/>
  <c r="J7" i="1" l="1"/>
  <c r="J6" i="1" l="1"/>
  <c r="J5" i="1" l="1"/>
  <c r="AP19" i="1"/>
  <c r="AQ19" i="1"/>
  <c r="AR19" i="1"/>
  <c r="AN21" i="1"/>
  <c r="AO21" i="1"/>
  <c r="AP21" i="1"/>
  <c r="AQ21" i="1"/>
  <c r="AR21" i="1"/>
  <c r="AM22" i="1"/>
  <c r="AN22" i="1"/>
  <c r="AO22" i="1"/>
  <c r="AP22" i="1"/>
  <c r="AQ22" i="1"/>
  <c r="AR22" i="1"/>
  <c r="AM23" i="1"/>
  <c r="AN23" i="1"/>
  <c r="AO23" i="1"/>
  <c r="AP23" i="1"/>
  <c r="AQ23" i="1"/>
  <c r="AR23" i="1"/>
  <c r="AM24" i="1"/>
  <c r="AN24" i="1"/>
  <c r="AO24" i="1"/>
  <c r="AP24" i="1"/>
  <c r="AQ24" i="1"/>
  <c r="AR24" i="1"/>
  <c r="AM26" i="1"/>
  <c r="AN26" i="1"/>
  <c r="AO26" i="1"/>
  <c r="AP26" i="1"/>
  <c r="AQ26" i="1"/>
  <c r="AR26" i="1"/>
  <c r="AM27" i="1"/>
  <c r="AN27" i="1"/>
  <c r="AO27" i="1"/>
  <c r="AP27" i="1"/>
  <c r="AQ27" i="1"/>
  <c r="AR27" i="1"/>
  <c r="AM28" i="1"/>
  <c r="AN28" i="1"/>
  <c r="AO28" i="1"/>
  <c r="AP28" i="1"/>
  <c r="AQ28" i="1"/>
  <c r="AR28" i="1"/>
  <c r="AM29" i="1"/>
  <c r="AN29" i="1"/>
  <c r="AO29" i="1"/>
  <c r="AP29" i="1"/>
  <c r="AQ29" i="1"/>
  <c r="AR29" i="1"/>
  <c r="AR32" i="1"/>
  <c r="AQ32" i="1"/>
  <c r="AP32" i="1"/>
  <c r="J4" i="1"/>
  <c r="J3" i="1"/>
</calcChain>
</file>

<file path=xl/sharedStrings.xml><?xml version="1.0" encoding="utf-8"?>
<sst xmlns="http://schemas.openxmlformats.org/spreadsheetml/2006/main" count="5793" uniqueCount="1593">
  <si>
    <t>DDN</t>
  </si>
  <si>
    <t>côté</t>
  </si>
  <si>
    <t>D</t>
  </si>
  <si>
    <t>Sexe</t>
  </si>
  <si>
    <t>M</t>
  </si>
  <si>
    <t>Mouse</t>
  </si>
  <si>
    <t>Date surgery</t>
  </si>
  <si>
    <t>UVN</t>
  </si>
  <si>
    <t>UL</t>
  </si>
  <si>
    <t>Bleeding</t>
  </si>
  <si>
    <t>Timing (minutes)</t>
  </si>
  <si>
    <t>Death</t>
  </si>
  <si>
    <t>Implant</t>
  </si>
  <si>
    <t>Follow-up</t>
  </si>
  <si>
    <t>Facial nerve paralysis</t>
  </si>
  <si>
    <t>Death due to bleeding</t>
  </si>
  <si>
    <t>Death due to anesthesia</t>
  </si>
  <si>
    <t>If death = day</t>
  </si>
  <si>
    <t>-</t>
  </si>
  <si>
    <t>Surgery</t>
  </si>
  <si>
    <t>If UVN- nerve seen?</t>
  </si>
  <si>
    <t>Age surgery (months)</t>
  </si>
  <si>
    <t>Ability to swim</t>
  </si>
  <si>
    <t>Ability to groom</t>
  </si>
  <si>
    <t>Ability to move in the cage</t>
  </si>
  <si>
    <t>Ability to reach for food and water (hind feet)</t>
  </si>
  <si>
    <t>Head tilt</t>
  </si>
  <si>
    <t>Tumbling</t>
  </si>
  <si>
    <t>Twirl (tail)</t>
  </si>
  <si>
    <t>Circling</t>
  </si>
  <si>
    <t>H2 - Normal behaviour</t>
  </si>
  <si>
    <t>H2 - Vestibular symptoms</t>
  </si>
  <si>
    <t>J1 - Normal behaviour</t>
  </si>
  <si>
    <t>J1 - Vestibular symptoms</t>
  </si>
  <si>
    <t>Ability to swim:</t>
  </si>
  <si>
    <t>Ability to reach for food</t>
  </si>
  <si>
    <t>Twirl (holding from the tail)</t>
  </si>
  <si>
    <t>normal</t>
  </si>
  <si>
    <t>no</t>
  </si>
  <si>
    <t>possibility to feed an drink</t>
  </si>
  <si>
    <t>possibility to move frome one side of the cage to the other</t>
  </si>
  <si>
    <t>not horizontal</t>
  </si>
  <si>
    <t>&gt; 45°</t>
  </si>
  <si>
    <t>spontaneous</t>
  </si>
  <si>
    <t>if  stimulated (after putting down)</t>
  </si>
  <si>
    <t>if stimulated (up and down)</t>
  </si>
  <si>
    <t>tendency</t>
  </si>
  <si>
    <t>frequent</t>
  </si>
  <si>
    <t>J2 - Normal behaviour</t>
  </si>
  <si>
    <t>J2 - Vestibular symptoms</t>
  </si>
  <si>
    <t>OVAR</t>
  </si>
  <si>
    <t>J1</t>
  </si>
  <si>
    <t>J2</t>
  </si>
  <si>
    <t>J4 - Normal behaviour</t>
  </si>
  <si>
    <t>J4 - Vestibular symptoms</t>
  </si>
  <si>
    <t>J4</t>
  </si>
  <si>
    <t>J7</t>
  </si>
  <si>
    <t>J28</t>
  </si>
  <si>
    <t>J7 - Normal behaviour</t>
  </si>
  <si>
    <t>J7 - Vestibular symptoms</t>
  </si>
  <si>
    <t>J28 - Normal behaviour</t>
  </si>
  <si>
    <t>J28 - Vestibular symptoms</t>
  </si>
  <si>
    <t>F</t>
  </si>
  <si>
    <t>OD refend</t>
  </si>
  <si>
    <t>small</t>
  </si>
  <si>
    <t>H2</t>
  </si>
  <si>
    <t>coat dirty</t>
  </si>
  <si>
    <t>no, coat clean</t>
  </si>
  <si>
    <t>rare</t>
  </si>
  <si>
    <t>orientated movement</t>
  </si>
  <si>
    <t>possibility to reach out to the top of the cage</t>
  </si>
  <si>
    <t>&lt; 45°</t>
  </si>
  <si>
    <t>spontaneous, non-stop</t>
  </si>
  <si>
    <t>immediate, fast</t>
  </si>
  <si>
    <t>slow, exhaustable</t>
  </si>
  <si>
    <t>Classification</t>
  </si>
  <si>
    <t>hours</t>
  </si>
  <si>
    <t>Mean</t>
  </si>
  <si>
    <t>SEM</t>
  </si>
  <si>
    <t>quick drowning</t>
  </si>
  <si>
    <t>slow drowning</t>
  </si>
  <si>
    <t>tilt, head bobbing, no drowning</t>
  </si>
  <si>
    <t>OD coupée</t>
  </si>
  <si>
    <t>OG coupée</t>
  </si>
  <si>
    <t>Goup</t>
  </si>
  <si>
    <t>Mark</t>
  </si>
  <si>
    <t>G1</t>
  </si>
  <si>
    <t>G2</t>
  </si>
  <si>
    <t>G3A</t>
  </si>
  <si>
    <t>j60: récupération PF et œil droit</t>
  </si>
  <si>
    <t>G3B</t>
  </si>
  <si>
    <t>SNAP</t>
  </si>
  <si>
    <t>23G_ODG</t>
  </si>
  <si>
    <t>17F_Norm</t>
  </si>
  <si>
    <t>CLARIN</t>
  </si>
  <si>
    <t>CL-A2_Norm</t>
  </si>
  <si>
    <t>CL-A2_OG</t>
  </si>
  <si>
    <t>IDPN-D_OD</t>
  </si>
  <si>
    <t>IDPN-D_OG</t>
  </si>
  <si>
    <t>IDPN</t>
  </si>
  <si>
    <t>IDPN-A-OD</t>
  </si>
  <si>
    <t>IDPN-C-Norm</t>
  </si>
  <si>
    <t>IDPN-B-OG</t>
  </si>
  <si>
    <t>VAF</t>
  </si>
  <si>
    <t>phase</t>
  </si>
  <si>
    <t>pre-0.2Hz</t>
  </si>
  <si>
    <t>pre-0.5Hz</t>
  </si>
  <si>
    <t>pre-1Hz</t>
  </si>
  <si>
    <t>Gain Mod</t>
  </si>
  <si>
    <t>Latence</t>
  </si>
  <si>
    <t>0.2Hz</t>
  </si>
  <si>
    <t>0.5Hz</t>
  </si>
  <si>
    <t>1Hz</t>
  </si>
  <si>
    <t>pre-OVAR-CCW</t>
  </si>
  <si>
    <t>pre-OVAR-CW</t>
  </si>
  <si>
    <t>pre-left-Tilt</t>
  </si>
  <si>
    <t>pre-right-Tilt</t>
  </si>
  <si>
    <t>pre-overall-Tilt</t>
  </si>
  <si>
    <t>AVERAGE</t>
  </si>
  <si>
    <t>pre-CWstart-Tau</t>
  </si>
  <si>
    <t>pre-CWstop-Tau</t>
  </si>
  <si>
    <t>pre-CCWstart-Tau</t>
  </si>
  <si>
    <t>pre-CCWstop-Tau</t>
  </si>
  <si>
    <t>pre-overall-Tau</t>
  </si>
  <si>
    <t>J1-0.2Hz</t>
  </si>
  <si>
    <t>J1-0.5Hz</t>
  </si>
  <si>
    <t>J1-1Hz</t>
  </si>
  <si>
    <t>J1-OVAR-CCW</t>
  </si>
  <si>
    <t>J1-OVAR-CW</t>
  </si>
  <si>
    <t>J1-Overall OVAR</t>
  </si>
  <si>
    <t>pre-Overall OVAR</t>
  </si>
  <si>
    <t>J1-overall-Tilt</t>
  </si>
  <si>
    <t>J1-left-Tilt</t>
  </si>
  <si>
    <t>J1-right-Tilt</t>
  </si>
  <si>
    <t>J1-CWstart-Tau</t>
  </si>
  <si>
    <t>J1-CWstop-Tau</t>
  </si>
  <si>
    <t>J1-CCWstart-Tau</t>
  </si>
  <si>
    <t>J1-CCWstop-Tau</t>
  </si>
  <si>
    <t>J1-overall-Tau</t>
  </si>
  <si>
    <t>J4-0.2Hz</t>
  </si>
  <si>
    <t>J4-0.5Hz</t>
  </si>
  <si>
    <t>J4-1Hz</t>
  </si>
  <si>
    <t>J4-OVAR-CCW</t>
  </si>
  <si>
    <t>J4-OVAR-CW</t>
  </si>
  <si>
    <t>J4-Overall OVAR</t>
  </si>
  <si>
    <t>J4-overall-Tilt</t>
  </si>
  <si>
    <t>J4-left-Tilt</t>
  </si>
  <si>
    <t>J4-right-Tilt</t>
  </si>
  <si>
    <t>J4-CWstart-Tau</t>
  </si>
  <si>
    <t>J4-CWstop-Tau</t>
  </si>
  <si>
    <t>J4-CCWstart-Tau</t>
  </si>
  <si>
    <t>J4-CCWstop-Tau</t>
  </si>
  <si>
    <t>J4-overall-Tau</t>
  </si>
  <si>
    <t>Side NS</t>
  </si>
  <si>
    <t>pre-Nb NS</t>
  </si>
  <si>
    <t>J1-Nb NS</t>
  </si>
  <si>
    <t>J4-Nb NS</t>
  </si>
  <si>
    <t>J7-Nb NS</t>
  </si>
  <si>
    <t>J7-0.2Hz</t>
  </si>
  <si>
    <t>J7-0.5Hz</t>
  </si>
  <si>
    <t>J7-1Hz</t>
  </si>
  <si>
    <t>J7-OVAR-CCW</t>
  </si>
  <si>
    <t>J7-OVAR-CW</t>
  </si>
  <si>
    <t>J7-Overall OVAR</t>
  </si>
  <si>
    <t>J7-overall-Tilt</t>
  </si>
  <si>
    <t>J7-left-Tilt</t>
  </si>
  <si>
    <t>J7-right-Tilt</t>
  </si>
  <si>
    <t>J7-CWstart-Tau</t>
  </si>
  <si>
    <t>J7-CWstop-Tau</t>
  </si>
  <si>
    <t>J7-CCWstart-Tau</t>
  </si>
  <si>
    <t>J7-CCWstop-Tau</t>
  </si>
  <si>
    <t>J7-overall-Tau</t>
  </si>
  <si>
    <t>M1-Nb NS</t>
  </si>
  <si>
    <t>M1-0.2Hz</t>
  </si>
  <si>
    <t>M1-0.5Hz</t>
  </si>
  <si>
    <t>M1-1Hz</t>
  </si>
  <si>
    <t>M1-OVAR-CCW</t>
  </si>
  <si>
    <t>M1-OVAR-CW</t>
  </si>
  <si>
    <t>M1-Overall OVAR</t>
  </si>
  <si>
    <t>M1-overall-Tilt</t>
  </si>
  <si>
    <t>M1-left-Tilt</t>
  </si>
  <si>
    <t>M1-right-Tilt</t>
  </si>
  <si>
    <t>M1-CWstart-Tau</t>
  </si>
  <si>
    <t>M1-CWstop-Tau</t>
  </si>
  <si>
    <t>M1-CCWstart-Tau</t>
  </si>
  <si>
    <t>M1-CCWstop-Tau</t>
  </si>
  <si>
    <t>M1-overall-Tau</t>
  </si>
  <si>
    <t>L</t>
  </si>
  <si>
    <t>IDPN-C_Norm</t>
  </si>
  <si>
    <t>SUM</t>
  </si>
  <si>
    <t>Before</t>
  </si>
  <si>
    <t>day 1</t>
  </si>
  <si>
    <t>day 4</t>
  </si>
  <si>
    <t>day 7</t>
  </si>
  <si>
    <t>day 28</t>
  </si>
  <si>
    <t>mouse1</t>
  </si>
  <si>
    <t>mouse2</t>
  </si>
  <si>
    <t>mouse3</t>
  </si>
  <si>
    <t>mouse4</t>
  </si>
  <si>
    <t>mouse5</t>
  </si>
  <si>
    <t>mouse6</t>
  </si>
  <si>
    <t>mouse7</t>
  </si>
  <si>
    <t>mouse8</t>
  </si>
  <si>
    <t>mouse9</t>
  </si>
  <si>
    <t>mouse10</t>
  </si>
  <si>
    <t>mouse11</t>
  </si>
  <si>
    <t>mouse12</t>
  </si>
  <si>
    <t>Time</t>
  </si>
  <si>
    <t>Lesion</t>
  </si>
  <si>
    <t>Score</t>
  </si>
  <si>
    <t>XLSTAT 2014.5.03 - Repeated measures ANOVA - on 08/03/2020 at 21:42:49</t>
  </si>
  <si>
    <t>Y / Quantitative: Workbook = Souris UVN-ULv3.xlsx / Sheet = Behaviour (2) / Range = 'Behaviour (2)'!$AN:$AN / 60 rows and 1 column</t>
  </si>
  <si>
    <t>X / Qualitative: Workbook = Souris UVN-ULv3.xlsx / Sheet = Behaviour (2) / Range = 'Behaviour (2)'!$AK:$AM / 60 rows and 3 columns</t>
  </si>
  <si>
    <t>Data format: One column for all repetitions</t>
  </si>
  <si>
    <t>Repeated measures:</t>
  </si>
  <si>
    <t>Covariance structure: Compound Symmetry</t>
  </si>
  <si>
    <t>Constraints: a1=0</t>
  </si>
  <si>
    <t>Confidence interval (%): 95</t>
  </si>
  <si>
    <t>Use least squares means: Yes</t>
  </si>
  <si>
    <t>Summary statistics:</t>
  </si>
  <si>
    <t>Variable</t>
  </si>
  <si>
    <t>Observations</t>
  </si>
  <si>
    <t>Obs. with missing data</t>
  </si>
  <si>
    <t>Obs. without missing data</t>
  </si>
  <si>
    <t>Minimum</t>
  </si>
  <si>
    <t>Maximum</t>
  </si>
  <si>
    <t>Std. deviation</t>
  </si>
  <si>
    <t>Categories</t>
  </si>
  <si>
    <t>Frequencies</t>
  </si>
  <si>
    <t>%</t>
  </si>
  <si>
    <t>Correlation matrix:</t>
  </si>
  <si>
    <t>Variables</t>
  </si>
  <si>
    <t>Mouse-mouse1</t>
  </si>
  <si>
    <t>Mouse-mouse10</t>
  </si>
  <si>
    <t>Mouse-mouse11</t>
  </si>
  <si>
    <t>Mouse-mouse12</t>
  </si>
  <si>
    <t>Mouse-mouse2</t>
  </si>
  <si>
    <t>Mouse-mouse3</t>
  </si>
  <si>
    <t>Mouse-mouse4</t>
  </si>
  <si>
    <t>Mouse-mouse5</t>
  </si>
  <si>
    <t>Mouse-mouse6</t>
  </si>
  <si>
    <t>Mouse-mouse7</t>
  </si>
  <si>
    <t>Mouse-mouse8</t>
  </si>
  <si>
    <t>Mouse-mouse9</t>
  </si>
  <si>
    <t>Time-Before</t>
  </si>
  <si>
    <t>Time-day 1</t>
  </si>
  <si>
    <t>Time-day 28</t>
  </si>
  <si>
    <t>Time-day 4</t>
  </si>
  <si>
    <t>Time-day 7</t>
  </si>
  <si>
    <t>Lesion-UL</t>
  </si>
  <si>
    <t>Lesion-UVN</t>
  </si>
  <si>
    <t>Regression of variable Score:</t>
  </si>
  <si>
    <t>Goodness of fit statistics:</t>
  </si>
  <si>
    <t>Sum of weights</t>
  </si>
  <si>
    <t>-2 Res Log(Likelihood)</t>
  </si>
  <si>
    <t>AIC</t>
  </si>
  <si>
    <t>AICC</t>
  </si>
  <si>
    <t>SBC</t>
  </si>
  <si>
    <t>CAIC</t>
  </si>
  <si>
    <t>Iterations</t>
  </si>
  <si>
    <t>Covariance parameters</t>
  </si>
  <si>
    <t>Number of fixed effects</t>
  </si>
  <si>
    <t>Number of random effects</t>
  </si>
  <si>
    <t>Number of subjects</t>
  </si>
  <si>
    <t>Maximum number of observations per subject</t>
  </si>
  <si>
    <t>Covariance parameters - Repeated factor:</t>
  </si>
  <si>
    <t>Parameters</t>
  </si>
  <si>
    <t>Standard error</t>
  </si>
  <si>
    <t>Z</t>
  </si>
  <si>
    <t>Pr &gt;  Z</t>
  </si>
  <si>
    <t>Variance</t>
  </si>
  <si>
    <t>Sigma 1</t>
  </si>
  <si>
    <t>&lt; 0,0001</t>
  </si>
  <si>
    <t>Null model likelihood ratio test:</t>
  </si>
  <si>
    <t>DF</t>
  </si>
  <si>
    <t>Chi-square</t>
  </si>
  <si>
    <t>Pr &gt; Chi²</t>
  </si>
  <si>
    <t>Type III tests of fixed effects:</t>
  </si>
  <si>
    <t>Effects</t>
  </si>
  <si>
    <t>Num DF</t>
  </si>
  <si>
    <t>Den DF</t>
  </si>
  <si>
    <t>Pr &gt; F</t>
  </si>
  <si>
    <t>Time*Lesion</t>
  </si>
  <si>
    <t>Model parameters:</t>
  </si>
  <si>
    <t>Source</t>
  </si>
  <si>
    <t>Value</t>
  </si>
  <si>
    <t>t</t>
  </si>
  <si>
    <t>Pr &gt; |t|</t>
  </si>
  <si>
    <t>Lower bound (95%)</t>
  </si>
  <si>
    <t>Upper bound (95%)</t>
  </si>
  <si>
    <t>Intercept</t>
  </si>
  <si>
    <t>Time-Before*Lesion-UL</t>
  </si>
  <si>
    <t>Time-Before*Lesion-UVN</t>
  </si>
  <si>
    <t>Time-day 1*Lesion-UL</t>
  </si>
  <si>
    <t>Time-day 1*Lesion-UVN</t>
  </si>
  <si>
    <t>Time-day 28*Lesion-UL</t>
  </si>
  <si>
    <t>Time-day 28*Lesion-UVN</t>
  </si>
  <si>
    <t>Time-day 4*Lesion-UL</t>
  </si>
  <si>
    <t>Time-day 4*Lesion-UVN</t>
  </si>
  <si>
    <t>Time-day 7*Lesion-UL</t>
  </si>
  <si>
    <t>Time-day 7*Lesion-UVN</t>
  </si>
  <si>
    <t>Time*Lesion / Tukey (HSD) / Analysis of the differences between the categories with a confidence interval of 95%:</t>
  </si>
  <si>
    <t>Contrast</t>
  </si>
  <si>
    <t>Difference</t>
  </si>
  <si>
    <t>Standard-error</t>
  </si>
  <si>
    <t>Significant</t>
  </si>
  <si>
    <t>Time-day 1*Lesion-UL vs Time-Before*Lesion-UVN</t>
  </si>
  <si>
    <t>Time-day 1*Lesion-UL vs Time-Before*Lesion-UL</t>
  </si>
  <si>
    <t>Time-day 1*Lesion-UL vs Time-day 28*Lesion-UL</t>
  </si>
  <si>
    <t>Time-day 1*Lesion-UL vs Time-day 28*Lesion-UVN</t>
  </si>
  <si>
    <t>Time-day 1*Lesion-UL vs Time-day 7*Lesion-UL</t>
  </si>
  <si>
    <t>Time-day 1*Lesion-UL vs Time-day 4*Lesion-UL</t>
  </si>
  <si>
    <t>Time-day 1*Lesion-UL vs Time-day 7*Lesion-UVN</t>
  </si>
  <si>
    <t>Time-day 1*Lesion-UL vs Time-day 4*Lesion-UVN</t>
  </si>
  <si>
    <t>Time-day 1*Lesion-UL vs Time-day 1*Lesion-UVN</t>
  </si>
  <si>
    <t>Time-day 1*Lesion-UVN vs Time-Before*Lesion-UVN</t>
  </si>
  <si>
    <t>Time-day 1*Lesion-UVN vs Time-Before*Lesion-UL</t>
  </si>
  <si>
    <t>Time-day 1*Lesion-UVN vs Time-day 28*Lesion-UL</t>
  </si>
  <si>
    <t>Time-day 1*Lesion-UVN vs Time-day 28*Lesion-UVN</t>
  </si>
  <si>
    <t>Time-day 1*Lesion-UVN vs Time-day 7*Lesion-UL</t>
  </si>
  <si>
    <t>Time-day 1*Lesion-UVN vs Time-day 4*Lesion-UL</t>
  </si>
  <si>
    <t>Time-day 1*Lesion-UVN vs Time-day 7*Lesion-UVN</t>
  </si>
  <si>
    <t>Time-day 1*Lesion-UVN vs Time-day 4*Lesion-UVN</t>
  </si>
  <si>
    <t>Time-day 4*Lesion-UVN vs Time-Before*Lesion-UVN</t>
  </si>
  <si>
    <t>Time-day 4*Lesion-UVN vs Time-Before*Lesion-UL</t>
  </si>
  <si>
    <t>Time-day 4*Lesion-UVN vs Time-day 28*Lesion-UL</t>
  </si>
  <si>
    <t>Time-day 4*Lesion-UVN vs Time-day 28*Lesion-UVN</t>
  </si>
  <si>
    <t>Time-day 4*Lesion-UVN vs Time-day 7*Lesion-UL</t>
  </si>
  <si>
    <t>Time-day 4*Lesion-UVN vs Time-day 4*Lesion-UL</t>
  </si>
  <si>
    <t>Time-day 4*Lesion-UVN vs Time-day 7*Lesion-UVN</t>
  </si>
  <si>
    <t>Time-day 7*Lesion-UVN vs Time-Before*Lesion-UVN</t>
  </si>
  <si>
    <t>Time-day 7*Lesion-UVN vs Time-Before*Lesion-UL</t>
  </si>
  <si>
    <t>Time-day 7*Lesion-UVN vs Time-day 28*Lesion-UL</t>
  </si>
  <si>
    <t>Time-day 7*Lesion-UVN vs Time-day 28*Lesion-UVN</t>
  </si>
  <si>
    <t>Time-day 7*Lesion-UVN vs Time-day 7*Lesion-UL</t>
  </si>
  <si>
    <t>Time-day 7*Lesion-UVN vs Time-day 4*Lesion-UL</t>
  </si>
  <si>
    <t>Time-day 4*Lesion-UL vs Time-Before*Lesion-UVN</t>
  </si>
  <si>
    <t>Time-day 4*Lesion-UL vs Time-Before*Lesion-UL</t>
  </si>
  <si>
    <t>Time-day 4*Lesion-UL vs Time-day 28*Lesion-UL</t>
  </si>
  <si>
    <t>Time-day 4*Lesion-UL vs Time-day 28*Lesion-UVN</t>
  </si>
  <si>
    <t>Time-day 4*Lesion-UL vs Time-day 7*Lesion-UL</t>
  </si>
  <si>
    <t>Time-day 7*Lesion-UL vs Time-Before*Lesion-UVN</t>
  </si>
  <si>
    <t>Time-day 7*Lesion-UL vs Time-Before*Lesion-UL</t>
  </si>
  <si>
    <t>Time-day 7*Lesion-UL vs Time-day 28*Lesion-UL</t>
  </si>
  <si>
    <t>Time-day 7*Lesion-UL vs Time-day 28*Lesion-UVN</t>
  </si>
  <si>
    <t>Time-day 28*Lesion-UVN vs Time-Before*Lesion-UVN</t>
  </si>
  <si>
    <t>Time-day 28*Lesion-UVN vs Time-Before*Lesion-UL</t>
  </si>
  <si>
    <t>Time-day 28*Lesion-UVN vs Time-day 28*Lesion-UL</t>
  </si>
  <si>
    <t>Time-day 28*Lesion-UL vs Time-Before*Lesion-UVN</t>
  </si>
  <si>
    <t>Time-day 28*Lesion-UL vs Time-Before*Lesion-UL</t>
  </si>
  <si>
    <t>Time-Before*Lesion-UL vs Time-Before*Lesion-UVN</t>
  </si>
  <si>
    <t>Yes</t>
  </si>
  <si>
    <t>No</t>
  </si>
  <si>
    <t>Tukey's d critical value:</t>
  </si>
  <si>
    <t>Category</t>
  </si>
  <si>
    <t>LS means</t>
  </si>
  <si>
    <t>A</t>
  </si>
  <si>
    <t>B</t>
  </si>
  <si>
    <t>C</t>
  </si>
  <si>
    <t>E</t>
  </si>
  <si>
    <t>Groups</t>
  </si>
  <si>
    <t>ns</t>
  </si>
  <si>
    <t>Phase</t>
  </si>
  <si>
    <t>Right stim Tau</t>
  </si>
  <si>
    <t>Left stim Tau</t>
  </si>
  <si>
    <t>Tau</t>
  </si>
  <si>
    <t>Day</t>
  </si>
  <si>
    <t>Type</t>
  </si>
  <si>
    <t>1d</t>
  </si>
  <si>
    <t>4d</t>
  </si>
  <si>
    <t>7d</t>
  </si>
  <si>
    <t>28d</t>
  </si>
  <si>
    <t>XLSTAT 2014.5.03 - Repeated measures ANOVA - on 12/03/2020 at 23:00:47</t>
  </si>
  <si>
    <t>Y / Quantitative: Workbook = Souris UVN-ULv7.xlsx / Sheet = Gains / Range = Gains!$BP:$BP / 48 rows and 1 column</t>
  </si>
  <si>
    <t>X / Qualitative: Workbook = Souris UVN-ULv7.xlsx / Sheet = Gains / Range = Gains!$BM:$BO / 48 rows and 3 columns</t>
  </si>
  <si>
    <t>Mouse-17F_Norm</t>
  </si>
  <si>
    <t>Mouse-23G_ODG</t>
  </si>
  <si>
    <t>Mouse-3729060</t>
  </si>
  <si>
    <t>Mouse-3729172</t>
  </si>
  <si>
    <t>Mouse-CL-A2_Norm</t>
  </si>
  <si>
    <t>Mouse-CL-A2_OG</t>
  </si>
  <si>
    <t>Mouse-IDPN-A-OD</t>
  </si>
  <si>
    <t>Mouse-IDPN-C_Norm</t>
  </si>
  <si>
    <t>Mouse-IDPN-D_OD</t>
  </si>
  <si>
    <t>Mouse-IDPN-D_OG</t>
  </si>
  <si>
    <t>Mouse-OD coupée</t>
  </si>
  <si>
    <t>Mouse-OG coupée</t>
  </si>
  <si>
    <t>Type-UL</t>
  </si>
  <si>
    <t>Type-UVN</t>
  </si>
  <si>
    <t>Day-1d</t>
  </si>
  <si>
    <t>Day-4d</t>
  </si>
  <si>
    <t>Day-7d</t>
  </si>
  <si>
    <t>Day-28d</t>
  </si>
  <si>
    <t>Regression of variable ns:</t>
  </si>
  <si>
    <t>Type*Day</t>
  </si>
  <si>
    <t>Type-UL*Day-1d</t>
  </si>
  <si>
    <t>Type-UL*Day-4d</t>
  </si>
  <si>
    <t>Type-UL*Day-7d</t>
  </si>
  <si>
    <t>Type-UL*Day-28d</t>
  </si>
  <si>
    <t>Type-UVN*Day-1d</t>
  </si>
  <si>
    <t>Type-UVN*Day-4d</t>
  </si>
  <si>
    <t>Type-UVN*Day-7d</t>
  </si>
  <si>
    <t>Type-UVN*Day-28d</t>
  </si>
  <si>
    <t>Type*Day / Tukey (HSD) / Analysis of the differences between the categories with a confidence interval of 95%:</t>
  </si>
  <si>
    <t>Type-UVN*Day-1d vs Type-UL*Day-7d</t>
  </si>
  <si>
    <t>Type-UVN*Day-1d vs Type-UL*Day-28d</t>
  </si>
  <si>
    <t>Type-UVN*Day-1d vs Type-UVN*Day-28d</t>
  </si>
  <si>
    <t>Type-UVN*Day-1d vs Type-UVN*Day-7d</t>
  </si>
  <si>
    <t>Type-UVN*Day-1d vs Type-UL*Day-4d</t>
  </si>
  <si>
    <t>Type-UVN*Day-1d vs Type-UVN*Day-4d</t>
  </si>
  <si>
    <t>Type-UVN*Day-1d vs Type-UL*Day-1d</t>
  </si>
  <si>
    <t>Type-UL*Day-1d vs Type-UL*Day-7d</t>
  </si>
  <si>
    <t>Type-UL*Day-1d vs Type-UL*Day-28d</t>
  </si>
  <si>
    <t>Type-UL*Day-1d vs Type-UVN*Day-28d</t>
  </si>
  <si>
    <t>Type-UL*Day-1d vs Type-UVN*Day-7d</t>
  </si>
  <si>
    <t>Type-UL*Day-1d vs Type-UL*Day-4d</t>
  </si>
  <si>
    <t>Type-UL*Day-1d vs Type-UVN*Day-4d</t>
  </si>
  <si>
    <t>Type-UVN*Day-4d vs Type-UL*Day-7d</t>
  </si>
  <si>
    <t>Type-UVN*Day-4d vs Type-UL*Day-28d</t>
  </si>
  <si>
    <t>Type-UVN*Day-4d vs Type-UVN*Day-28d</t>
  </si>
  <si>
    <t>Type-UVN*Day-4d vs Type-UVN*Day-7d</t>
  </si>
  <si>
    <t>Type-UVN*Day-4d vs Type-UL*Day-4d</t>
  </si>
  <si>
    <t>Type-UL*Day-4d vs Type-UL*Day-7d</t>
  </si>
  <si>
    <t>Type-UL*Day-4d vs Type-UL*Day-28d</t>
  </si>
  <si>
    <t>Type-UL*Day-4d vs Type-UVN*Day-28d</t>
  </si>
  <si>
    <t>Type-UL*Day-4d vs Type-UVN*Day-7d</t>
  </si>
  <si>
    <t>Type-UVN*Day-7d vs Type-UL*Day-7d</t>
  </si>
  <si>
    <t>Type-UVN*Day-7d vs Type-UL*Day-28d</t>
  </si>
  <si>
    <t>Type-UVN*Day-7d vs Type-UVN*Day-28d</t>
  </si>
  <si>
    <t>Type-UVN*Day-28d vs Type-UL*Day-7d</t>
  </si>
  <si>
    <t>Type-UVN*Day-28d vs Type-UL*Day-28d</t>
  </si>
  <si>
    <t>Type-UL*Day-28d vs Type-UL*Day-7d</t>
  </si>
  <si>
    <t>BL</t>
  </si>
  <si>
    <t>Slope</t>
  </si>
  <si>
    <t>XLSTAT 2014.5.03 - Repeated measures ANOVA - on 17/03/2020 at 22:20:26</t>
  </si>
  <si>
    <t>Y / Quantitative: Workbook = Souris UVN-ULv7.xlsx / Sheet = Gains / Range = Gains!$BQ:$BQ / 60 rows and 1 column</t>
  </si>
  <si>
    <t>X / Qualitative: Workbook = Souris UVN-ULv7.xlsx / Sheet = Gains / Range = Gains!$BM:$BO / 60 rows and 3 columns</t>
  </si>
  <si>
    <t>Day-BL</t>
  </si>
  <si>
    <t>Regression of variable Slope:</t>
  </si>
  <si>
    <t>Type-UL*Day-BL</t>
  </si>
  <si>
    <t>Type-UVN*Day-BL</t>
  </si>
  <si>
    <t>Type-UL*Day-BL vs Type-UL*Day-4d</t>
  </si>
  <si>
    <t>Type-UL*Day-BL vs Type-UVN*Day-7d</t>
  </si>
  <si>
    <t>Type-UL*Day-BL vs Type-UL*Day-7d</t>
  </si>
  <si>
    <t>Type-UL*Day-BL vs Type-UL*Day-28d</t>
  </si>
  <si>
    <t>Type-UL*Day-BL vs Type-UVN*Day-4d</t>
  </si>
  <si>
    <t>Type-UL*Day-BL vs Type-UL*Day-1d</t>
  </si>
  <si>
    <t>Type-UL*Day-BL vs Type-UVN*Day-1d</t>
  </si>
  <si>
    <t>Type-UL*Day-BL vs Type-UVN*Day-28d</t>
  </si>
  <si>
    <t>Type-UL*Day-BL vs Type-UVN*Day-BL</t>
  </si>
  <si>
    <t>Type-UVN*Day-BL vs Type-UL*Day-4d</t>
  </si>
  <si>
    <t>Type-UVN*Day-BL vs Type-UVN*Day-7d</t>
  </si>
  <si>
    <t>Type-UVN*Day-BL vs Type-UL*Day-7d</t>
  </si>
  <si>
    <t>Type-UVN*Day-BL vs Type-UL*Day-28d</t>
  </si>
  <si>
    <t>Type-UVN*Day-BL vs Type-UVN*Day-4d</t>
  </si>
  <si>
    <t>Type-UVN*Day-BL vs Type-UL*Day-1d</t>
  </si>
  <si>
    <t>Type-UVN*Day-BL vs Type-UVN*Day-1d</t>
  </si>
  <si>
    <t>Type-UVN*Day-BL vs Type-UVN*Day-28d</t>
  </si>
  <si>
    <t>Type-UVN*Day-28d vs Type-UL*Day-4d</t>
  </si>
  <si>
    <t>Type-UVN*Day-28d vs Type-UVN*Day-7d</t>
  </si>
  <si>
    <t>Type-UVN*Day-28d vs Type-UVN*Day-4d</t>
  </si>
  <si>
    <t>Type-UVN*Day-28d vs Type-UL*Day-1d</t>
  </si>
  <si>
    <t>Type-UVN*Day-28d vs Type-UVN*Day-1d</t>
  </si>
  <si>
    <t>Type-UL*Day-28d vs Type-UL*Day-4d</t>
  </si>
  <si>
    <t>Type-UL*Day-28d vs Type-UVN*Day-7d</t>
  </si>
  <si>
    <t>Type-UL*Day-7d vs Type-UL*Day-4d</t>
  </si>
  <si>
    <t>Type-UL*Day-7d vs Type-UVN*Day-7d</t>
  </si>
  <si>
    <t>Type-UVN*Day-7d vs Type-UL*Day-4d</t>
  </si>
  <si>
    <t>Side</t>
  </si>
  <si>
    <t>Ipsi</t>
  </si>
  <si>
    <t>Contra</t>
  </si>
  <si>
    <t>XLSTAT 2014.5.03 - Repeated measures ANOVA - on 17/03/2020 at 22:28:47</t>
  </si>
  <si>
    <t>Y / Quantitative: Workbook = Souris UVN-ULv7.xlsx / Sheet = Gains / Range = Gains!$BR:$BR / 120 rows and 1 column</t>
  </si>
  <si>
    <t>X / Qualitative: Workbook = Souris UVN-ULv7.xlsx / Sheet = Gains / Range = Gains!$BL:$BO / 120 rows and 4 columns</t>
  </si>
  <si>
    <t>Side-Contra</t>
  </si>
  <si>
    <t>Side-Ipsi</t>
  </si>
  <si>
    <t>Regression of variable OVAR:</t>
  </si>
  <si>
    <t>Side*Type*Day</t>
  </si>
  <si>
    <t>Side-Contra*Type-UL*Day-1d</t>
  </si>
  <si>
    <t>Side-Contra*Type-UL*Day-28d</t>
  </si>
  <si>
    <t>Side-Contra*Type-UL*Day-4d</t>
  </si>
  <si>
    <t>Side-Contra*Type-UL*Day-7d</t>
  </si>
  <si>
    <t>Side-Contra*Type-UL*Day-BL</t>
  </si>
  <si>
    <t>Side-Contra*Type-UVN*Day-1d</t>
  </si>
  <si>
    <t>Side-Contra*Type-UVN*Day-28d</t>
  </si>
  <si>
    <t>Side-Contra*Type-UVN*Day-4d</t>
  </si>
  <si>
    <t>Side-Contra*Type-UVN*Day-7d</t>
  </si>
  <si>
    <t>Side-Contra*Type-UVN*Day-BL</t>
  </si>
  <si>
    <t>Side-Ipsi*Type-UL*Day-1d</t>
  </si>
  <si>
    <t>Side-Ipsi*Type-UL*Day-28d</t>
  </si>
  <si>
    <t>Side-Ipsi*Type-UL*Day-4d</t>
  </si>
  <si>
    <t>Side-Ipsi*Type-UL*Day-7d</t>
  </si>
  <si>
    <t>Side-Ipsi*Type-UL*Day-BL</t>
  </si>
  <si>
    <t>Side-Ipsi*Type-UVN*Day-1d</t>
  </si>
  <si>
    <t>Side-Ipsi*Type-UVN*Day-28d</t>
  </si>
  <si>
    <t>Side-Ipsi*Type-UVN*Day-4d</t>
  </si>
  <si>
    <t>Side-Ipsi*Type-UVN*Day-7d</t>
  </si>
  <si>
    <t>Side-Ipsi*Type-UVN*Day-BL</t>
  </si>
  <si>
    <t>Side*Type*Day / Tukey (HSD) / Analysis of the differences between the categories with a confidence interval of 95%:</t>
  </si>
  <si>
    <t>Side-Ipsi*Type-UVN*Day-BL vs Side-Contra*Type-UL*Day-BL</t>
  </si>
  <si>
    <t>Side-Ipsi*Type-UVN*Day-BL vs Side-Contra*Type-UVN*Day-BL</t>
  </si>
  <si>
    <t>Side-Ipsi*Type-UVN*Day-BL vs Side-Contra*Type-UVN*Day-28d</t>
  </si>
  <si>
    <t>Side-Ipsi*Type-UVN*Day-BL vs Side-Contra*Type-UL*Day-28d</t>
  </si>
  <si>
    <t>Side-Ipsi*Type-UVN*Day-BL vs Side-Contra*Type-UVN*Day-7d</t>
  </si>
  <si>
    <t>Side-Ipsi*Type-UVN*Day-BL vs Side-Contra*Type-UL*Day-4d</t>
  </si>
  <si>
    <t>Side-Ipsi*Type-UVN*Day-BL vs Side-Contra*Type-UL*Day-7d</t>
  </si>
  <si>
    <t>Side-Ipsi*Type-UVN*Day-BL vs Side-Contra*Type-UL*Day-1d</t>
  </si>
  <si>
    <t>Side-Ipsi*Type-UVN*Day-BL vs Side-Ipsi*Type-UL*Day-1d</t>
  </si>
  <si>
    <t>Side-Ipsi*Type-UVN*Day-BL vs Side-Ipsi*Type-UL*Day-4d</t>
  </si>
  <si>
    <t>Side-Ipsi*Type-UVN*Day-BL vs Side-Ipsi*Type-UL*Day-7d</t>
  </si>
  <si>
    <t>Side-Ipsi*Type-UVN*Day-BL vs Side-Ipsi*Type-UL*Day-28d</t>
  </si>
  <si>
    <t>Side-Ipsi*Type-UVN*Day-BL vs Side-Contra*Type-UVN*Day-1d</t>
  </si>
  <si>
    <t>Side-Ipsi*Type-UVN*Day-BL vs Side-Ipsi*Type-UVN*Day-1d</t>
  </si>
  <si>
    <t>Side-Ipsi*Type-UVN*Day-BL vs Side-Ipsi*Type-UVN*Day-28d</t>
  </si>
  <si>
    <t>Side-Ipsi*Type-UVN*Day-BL vs Side-Ipsi*Type-UVN*Day-4d</t>
  </si>
  <si>
    <t>Side-Ipsi*Type-UVN*Day-BL vs Side-Ipsi*Type-UVN*Day-7d</t>
  </si>
  <si>
    <t>Side-Ipsi*Type-UVN*Day-BL vs Side-Contra*Type-UVN*Day-4d</t>
  </si>
  <si>
    <t>Side-Ipsi*Type-UVN*Day-BL vs Side-Ipsi*Type-UL*Day-BL</t>
  </si>
  <si>
    <t>Side-Ipsi*Type-UL*Day-BL vs Side-Contra*Type-UL*Day-BL</t>
  </si>
  <si>
    <t>Side-Ipsi*Type-UL*Day-BL vs Side-Contra*Type-UVN*Day-BL</t>
  </si>
  <si>
    <t>Side-Ipsi*Type-UL*Day-BL vs Side-Contra*Type-UVN*Day-28d</t>
  </si>
  <si>
    <t>Side-Ipsi*Type-UL*Day-BL vs Side-Contra*Type-UL*Day-28d</t>
  </si>
  <si>
    <t>Side-Ipsi*Type-UL*Day-BL vs Side-Contra*Type-UVN*Day-7d</t>
  </si>
  <si>
    <t>Side-Ipsi*Type-UL*Day-BL vs Side-Contra*Type-UL*Day-4d</t>
  </si>
  <si>
    <t>Side-Ipsi*Type-UL*Day-BL vs Side-Contra*Type-UL*Day-7d</t>
  </si>
  <si>
    <t>Side-Ipsi*Type-UL*Day-BL vs Side-Contra*Type-UL*Day-1d</t>
  </si>
  <si>
    <t>Side-Ipsi*Type-UL*Day-BL vs Side-Ipsi*Type-UL*Day-1d</t>
  </si>
  <si>
    <t>Side-Ipsi*Type-UL*Day-BL vs Side-Ipsi*Type-UL*Day-4d</t>
  </si>
  <si>
    <t>Side-Ipsi*Type-UL*Day-BL vs Side-Ipsi*Type-UL*Day-7d</t>
  </si>
  <si>
    <t>Side-Ipsi*Type-UL*Day-BL vs Side-Ipsi*Type-UL*Day-28d</t>
  </si>
  <si>
    <t>Side-Ipsi*Type-UL*Day-BL vs Side-Contra*Type-UVN*Day-1d</t>
  </si>
  <si>
    <t>Side-Ipsi*Type-UL*Day-BL vs Side-Ipsi*Type-UVN*Day-1d</t>
  </si>
  <si>
    <t>Side-Ipsi*Type-UL*Day-BL vs Side-Ipsi*Type-UVN*Day-28d</t>
  </si>
  <si>
    <t>Side-Ipsi*Type-UL*Day-BL vs Side-Ipsi*Type-UVN*Day-4d</t>
  </si>
  <si>
    <t>Side-Ipsi*Type-UL*Day-BL vs Side-Ipsi*Type-UVN*Day-7d</t>
  </si>
  <si>
    <t>Side-Ipsi*Type-UL*Day-BL vs Side-Contra*Type-UVN*Day-4d</t>
  </si>
  <si>
    <t>Side-Contra*Type-UVN*Day-4d vs Side-Contra*Type-UL*Day-BL</t>
  </si>
  <si>
    <t>Side-Contra*Type-UVN*Day-4d vs Side-Contra*Type-UVN*Day-BL</t>
  </si>
  <si>
    <t>Side-Contra*Type-UVN*Day-4d vs Side-Contra*Type-UVN*Day-28d</t>
  </si>
  <si>
    <t>Side-Contra*Type-UVN*Day-4d vs Side-Contra*Type-UL*Day-28d</t>
  </si>
  <si>
    <t>Side-Contra*Type-UVN*Day-4d vs Side-Contra*Type-UVN*Day-7d</t>
  </si>
  <si>
    <t>Side-Contra*Type-UVN*Day-4d vs Side-Contra*Type-UL*Day-4d</t>
  </si>
  <si>
    <t>Side-Contra*Type-UVN*Day-4d vs Side-Contra*Type-UL*Day-7d</t>
  </si>
  <si>
    <t>Side-Contra*Type-UVN*Day-4d vs Side-Contra*Type-UL*Day-1d</t>
  </si>
  <si>
    <t>Side-Contra*Type-UVN*Day-4d vs Side-Ipsi*Type-UL*Day-1d</t>
  </si>
  <si>
    <t>Side-Contra*Type-UVN*Day-4d vs Side-Ipsi*Type-UL*Day-4d</t>
  </si>
  <si>
    <t>Side-Contra*Type-UVN*Day-4d vs Side-Ipsi*Type-UL*Day-7d</t>
  </si>
  <si>
    <t>Side-Contra*Type-UVN*Day-4d vs Side-Ipsi*Type-UL*Day-28d</t>
  </si>
  <si>
    <t>Side-Contra*Type-UVN*Day-4d vs Side-Contra*Type-UVN*Day-1d</t>
  </si>
  <si>
    <t>Side-Contra*Type-UVN*Day-4d vs Side-Ipsi*Type-UVN*Day-1d</t>
  </si>
  <si>
    <t>Side-Contra*Type-UVN*Day-4d vs Side-Ipsi*Type-UVN*Day-28d</t>
  </si>
  <si>
    <t>Side-Contra*Type-UVN*Day-4d vs Side-Ipsi*Type-UVN*Day-4d</t>
  </si>
  <si>
    <t>Side-Contra*Type-UVN*Day-4d vs Side-Ipsi*Type-UVN*Day-7d</t>
  </si>
  <si>
    <t>Side-Ipsi*Type-UVN*Day-7d vs Side-Contra*Type-UL*Day-BL</t>
  </si>
  <si>
    <t>Side-Ipsi*Type-UVN*Day-7d vs Side-Contra*Type-UVN*Day-BL</t>
  </si>
  <si>
    <t>Side-Ipsi*Type-UVN*Day-7d vs Side-Contra*Type-UVN*Day-28d</t>
  </si>
  <si>
    <t>Side-Ipsi*Type-UVN*Day-7d vs Side-Contra*Type-UL*Day-28d</t>
  </si>
  <si>
    <t>Side-Ipsi*Type-UVN*Day-7d vs Side-Contra*Type-UVN*Day-7d</t>
  </si>
  <si>
    <t>Side-Ipsi*Type-UVN*Day-7d vs Side-Contra*Type-UL*Day-4d</t>
  </si>
  <si>
    <t>Side-Ipsi*Type-UVN*Day-7d vs Side-Contra*Type-UL*Day-7d</t>
  </si>
  <si>
    <t>Side-Ipsi*Type-UVN*Day-7d vs Side-Contra*Type-UL*Day-1d</t>
  </si>
  <si>
    <t>Side-Ipsi*Type-UVN*Day-7d vs Side-Ipsi*Type-UL*Day-1d</t>
  </si>
  <si>
    <t>Side-Ipsi*Type-UVN*Day-7d vs Side-Ipsi*Type-UL*Day-4d</t>
  </si>
  <si>
    <t>Side-Ipsi*Type-UVN*Day-7d vs Side-Ipsi*Type-UL*Day-7d</t>
  </si>
  <si>
    <t>Side-Ipsi*Type-UVN*Day-7d vs Side-Ipsi*Type-UL*Day-28d</t>
  </si>
  <si>
    <t>Side-Ipsi*Type-UVN*Day-7d vs Side-Contra*Type-UVN*Day-1d</t>
  </si>
  <si>
    <t>Side-Ipsi*Type-UVN*Day-7d vs Side-Ipsi*Type-UVN*Day-1d</t>
  </si>
  <si>
    <t>Side-Ipsi*Type-UVN*Day-7d vs Side-Ipsi*Type-UVN*Day-28d</t>
  </si>
  <si>
    <t>Side-Ipsi*Type-UVN*Day-7d vs Side-Ipsi*Type-UVN*Day-4d</t>
  </si>
  <si>
    <t>Side-Ipsi*Type-UVN*Day-4d vs Side-Contra*Type-UL*Day-BL</t>
  </si>
  <si>
    <t>Side-Ipsi*Type-UVN*Day-4d vs Side-Contra*Type-UVN*Day-BL</t>
  </si>
  <si>
    <t>Side-Ipsi*Type-UVN*Day-4d vs Side-Contra*Type-UVN*Day-28d</t>
  </si>
  <si>
    <t>Side-Ipsi*Type-UVN*Day-4d vs Side-Contra*Type-UL*Day-28d</t>
  </si>
  <si>
    <t>Side-Ipsi*Type-UVN*Day-4d vs Side-Contra*Type-UVN*Day-7d</t>
  </si>
  <si>
    <t>Side-Ipsi*Type-UVN*Day-4d vs Side-Contra*Type-UL*Day-4d</t>
  </si>
  <si>
    <t>Side-Ipsi*Type-UVN*Day-4d vs Side-Contra*Type-UL*Day-7d</t>
  </si>
  <si>
    <t>Side-Ipsi*Type-UVN*Day-4d vs Side-Contra*Type-UL*Day-1d</t>
  </si>
  <si>
    <t>Side-Ipsi*Type-UVN*Day-4d vs Side-Ipsi*Type-UL*Day-1d</t>
  </si>
  <si>
    <t>Side-Ipsi*Type-UVN*Day-4d vs Side-Ipsi*Type-UL*Day-4d</t>
  </si>
  <si>
    <t>Side-Ipsi*Type-UVN*Day-4d vs Side-Ipsi*Type-UL*Day-7d</t>
  </si>
  <si>
    <t>Side-Ipsi*Type-UVN*Day-4d vs Side-Ipsi*Type-UL*Day-28d</t>
  </si>
  <si>
    <t>Side-Ipsi*Type-UVN*Day-4d vs Side-Contra*Type-UVN*Day-1d</t>
  </si>
  <si>
    <t>Side-Ipsi*Type-UVN*Day-4d vs Side-Ipsi*Type-UVN*Day-1d</t>
  </si>
  <si>
    <t>Side-Ipsi*Type-UVN*Day-4d vs Side-Ipsi*Type-UVN*Day-28d</t>
  </si>
  <si>
    <t>Side-Ipsi*Type-UVN*Day-28d vs Side-Contra*Type-UL*Day-BL</t>
  </si>
  <si>
    <t>Side-Ipsi*Type-UVN*Day-28d vs Side-Contra*Type-UVN*Day-BL</t>
  </si>
  <si>
    <t>Side-Ipsi*Type-UVN*Day-28d vs Side-Contra*Type-UVN*Day-28d</t>
  </si>
  <si>
    <t>Side-Ipsi*Type-UVN*Day-28d vs Side-Contra*Type-UL*Day-28d</t>
  </si>
  <si>
    <t>Side-Ipsi*Type-UVN*Day-28d vs Side-Contra*Type-UVN*Day-7d</t>
  </si>
  <si>
    <t>Side-Ipsi*Type-UVN*Day-28d vs Side-Contra*Type-UL*Day-4d</t>
  </si>
  <si>
    <t>Side-Ipsi*Type-UVN*Day-28d vs Side-Contra*Type-UL*Day-7d</t>
  </si>
  <si>
    <t>Side-Ipsi*Type-UVN*Day-28d vs Side-Contra*Type-UL*Day-1d</t>
  </si>
  <si>
    <t>Side-Ipsi*Type-UVN*Day-28d vs Side-Ipsi*Type-UL*Day-1d</t>
  </si>
  <si>
    <t>Side-Ipsi*Type-UVN*Day-28d vs Side-Ipsi*Type-UL*Day-4d</t>
  </si>
  <si>
    <t>Side-Ipsi*Type-UVN*Day-28d vs Side-Ipsi*Type-UL*Day-7d</t>
  </si>
  <si>
    <t>Side-Ipsi*Type-UVN*Day-28d vs Side-Ipsi*Type-UL*Day-28d</t>
  </si>
  <si>
    <t>Side-Ipsi*Type-UVN*Day-28d vs Side-Contra*Type-UVN*Day-1d</t>
  </si>
  <si>
    <t>Side-Ipsi*Type-UVN*Day-28d vs Side-Ipsi*Type-UVN*Day-1d</t>
  </si>
  <si>
    <t>Side-Ipsi*Type-UVN*Day-1d vs Side-Contra*Type-UL*Day-BL</t>
  </si>
  <si>
    <t>Side-Ipsi*Type-UVN*Day-1d vs Side-Contra*Type-UVN*Day-BL</t>
  </si>
  <si>
    <t>Side-Ipsi*Type-UVN*Day-1d vs Side-Contra*Type-UVN*Day-28d</t>
  </si>
  <si>
    <t>Side-Ipsi*Type-UVN*Day-1d vs Side-Contra*Type-UL*Day-28d</t>
  </si>
  <si>
    <t>Side-Ipsi*Type-UVN*Day-1d vs Side-Contra*Type-UVN*Day-7d</t>
  </si>
  <si>
    <t>Side-Ipsi*Type-UVN*Day-1d vs Side-Contra*Type-UL*Day-4d</t>
  </si>
  <si>
    <t>Side-Ipsi*Type-UVN*Day-1d vs Side-Contra*Type-UL*Day-7d</t>
  </si>
  <si>
    <t>Side-Ipsi*Type-UVN*Day-1d vs Side-Contra*Type-UL*Day-1d</t>
  </si>
  <si>
    <t>Side-Ipsi*Type-UVN*Day-1d vs Side-Ipsi*Type-UL*Day-1d</t>
  </si>
  <si>
    <t>Side-Ipsi*Type-UVN*Day-1d vs Side-Ipsi*Type-UL*Day-4d</t>
  </si>
  <si>
    <t>Side-Ipsi*Type-UVN*Day-1d vs Side-Ipsi*Type-UL*Day-7d</t>
  </si>
  <si>
    <t>Side-Ipsi*Type-UVN*Day-1d vs Side-Ipsi*Type-UL*Day-28d</t>
  </si>
  <si>
    <t>Side-Ipsi*Type-UVN*Day-1d vs Side-Contra*Type-UVN*Day-1d</t>
  </si>
  <si>
    <t>Side-Contra*Type-UVN*Day-1d vs Side-Contra*Type-UL*Day-BL</t>
  </si>
  <si>
    <t>Side-Contra*Type-UVN*Day-1d vs Side-Contra*Type-UVN*Day-BL</t>
  </si>
  <si>
    <t>Side-Contra*Type-UVN*Day-1d vs Side-Contra*Type-UVN*Day-28d</t>
  </si>
  <si>
    <t>Side-Contra*Type-UVN*Day-1d vs Side-Contra*Type-UL*Day-28d</t>
  </si>
  <si>
    <t>Side-Contra*Type-UVN*Day-1d vs Side-Contra*Type-UVN*Day-7d</t>
  </si>
  <si>
    <t>Side-Contra*Type-UVN*Day-1d vs Side-Contra*Type-UL*Day-4d</t>
  </si>
  <si>
    <t>Side-Contra*Type-UVN*Day-1d vs Side-Contra*Type-UL*Day-7d</t>
  </si>
  <si>
    <t>Side-Contra*Type-UVN*Day-1d vs Side-Contra*Type-UL*Day-1d</t>
  </si>
  <si>
    <t>Side-Contra*Type-UVN*Day-1d vs Side-Ipsi*Type-UL*Day-1d</t>
  </si>
  <si>
    <t>Side-Contra*Type-UVN*Day-1d vs Side-Ipsi*Type-UL*Day-4d</t>
  </si>
  <si>
    <t>Side-Contra*Type-UVN*Day-1d vs Side-Ipsi*Type-UL*Day-7d</t>
  </si>
  <si>
    <t>Side-Contra*Type-UVN*Day-1d vs Side-Ipsi*Type-UL*Day-28d</t>
  </si>
  <si>
    <t>Side-Ipsi*Type-UL*Day-28d vs Side-Contra*Type-UL*Day-BL</t>
  </si>
  <si>
    <t>Side-Ipsi*Type-UL*Day-28d vs Side-Contra*Type-UVN*Day-BL</t>
  </si>
  <si>
    <t>Side-Ipsi*Type-UL*Day-28d vs Side-Contra*Type-UVN*Day-28d</t>
  </si>
  <si>
    <t>Side-Ipsi*Type-UL*Day-28d vs Side-Contra*Type-UL*Day-28d</t>
  </si>
  <si>
    <t>Side-Ipsi*Type-UL*Day-28d vs Side-Contra*Type-UVN*Day-7d</t>
  </si>
  <si>
    <t>Side-Ipsi*Type-UL*Day-28d vs Side-Contra*Type-UL*Day-4d</t>
  </si>
  <si>
    <t>Side-Ipsi*Type-UL*Day-28d vs Side-Contra*Type-UL*Day-7d</t>
  </si>
  <si>
    <t>Side-Ipsi*Type-UL*Day-28d vs Side-Contra*Type-UL*Day-1d</t>
  </si>
  <si>
    <t>Side-Ipsi*Type-UL*Day-28d vs Side-Ipsi*Type-UL*Day-1d</t>
  </si>
  <si>
    <t>Side-Ipsi*Type-UL*Day-28d vs Side-Ipsi*Type-UL*Day-4d</t>
  </si>
  <si>
    <t>Side-Ipsi*Type-UL*Day-28d vs Side-Ipsi*Type-UL*Day-7d</t>
  </si>
  <si>
    <t>Side-Ipsi*Type-UL*Day-7d vs Side-Contra*Type-UL*Day-BL</t>
  </si>
  <si>
    <t>Side-Ipsi*Type-UL*Day-7d vs Side-Contra*Type-UVN*Day-BL</t>
  </si>
  <si>
    <t>Side-Ipsi*Type-UL*Day-7d vs Side-Contra*Type-UVN*Day-28d</t>
  </si>
  <si>
    <t>Side-Ipsi*Type-UL*Day-7d vs Side-Contra*Type-UL*Day-28d</t>
  </si>
  <si>
    <t>Side-Ipsi*Type-UL*Day-7d vs Side-Contra*Type-UVN*Day-7d</t>
  </si>
  <si>
    <t>Side-Ipsi*Type-UL*Day-7d vs Side-Contra*Type-UL*Day-4d</t>
  </si>
  <si>
    <t>Side-Ipsi*Type-UL*Day-7d vs Side-Contra*Type-UL*Day-7d</t>
  </si>
  <si>
    <t>Side-Ipsi*Type-UL*Day-7d vs Side-Contra*Type-UL*Day-1d</t>
  </si>
  <si>
    <t>Side-Ipsi*Type-UL*Day-7d vs Side-Ipsi*Type-UL*Day-1d</t>
  </si>
  <si>
    <t>Side-Ipsi*Type-UL*Day-7d vs Side-Ipsi*Type-UL*Day-4d</t>
  </si>
  <si>
    <t>Side-Ipsi*Type-UL*Day-4d vs Side-Contra*Type-UL*Day-BL</t>
  </si>
  <si>
    <t>Side-Ipsi*Type-UL*Day-4d vs Side-Contra*Type-UVN*Day-BL</t>
  </si>
  <si>
    <t>Side-Ipsi*Type-UL*Day-4d vs Side-Contra*Type-UVN*Day-28d</t>
  </si>
  <si>
    <t>Side-Ipsi*Type-UL*Day-4d vs Side-Contra*Type-UL*Day-28d</t>
  </si>
  <si>
    <t>Side-Ipsi*Type-UL*Day-4d vs Side-Contra*Type-UVN*Day-7d</t>
  </si>
  <si>
    <t>Side-Ipsi*Type-UL*Day-4d vs Side-Contra*Type-UL*Day-4d</t>
  </si>
  <si>
    <t>Side-Ipsi*Type-UL*Day-4d vs Side-Contra*Type-UL*Day-7d</t>
  </si>
  <si>
    <t>Side-Ipsi*Type-UL*Day-4d vs Side-Contra*Type-UL*Day-1d</t>
  </si>
  <si>
    <t>Side-Ipsi*Type-UL*Day-4d vs Side-Ipsi*Type-UL*Day-1d</t>
  </si>
  <si>
    <t>Side-Ipsi*Type-UL*Day-1d vs Side-Contra*Type-UL*Day-BL</t>
  </si>
  <si>
    <t>Side-Ipsi*Type-UL*Day-1d vs Side-Contra*Type-UVN*Day-BL</t>
  </si>
  <si>
    <t>Side-Ipsi*Type-UL*Day-1d vs Side-Contra*Type-UVN*Day-28d</t>
  </si>
  <si>
    <t>Side-Ipsi*Type-UL*Day-1d vs Side-Contra*Type-UL*Day-28d</t>
  </si>
  <si>
    <t>Side-Ipsi*Type-UL*Day-1d vs Side-Contra*Type-UVN*Day-7d</t>
  </si>
  <si>
    <t>Side-Ipsi*Type-UL*Day-1d vs Side-Contra*Type-UL*Day-4d</t>
  </si>
  <si>
    <t>Side-Ipsi*Type-UL*Day-1d vs Side-Contra*Type-UL*Day-7d</t>
  </si>
  <si>
    <t>Side-Ipsi*Type-UL*Day-1d vs Side-Contra*Type-UL*Day-1d</t>
  </si>
  <si>
    <t>Side-Contra*Type-UL*Day-1d vs Side-Contra*Type-UL*Day-BL</t>
  </si>
  <si>
    <t>Side-Contra*Type-UL*Day-1d vs Side-Contra*Type-UVN*Day-BL</t>
  </si>
  <si>
    <t>Side-Contra*Type-UL*Day-1d vs Side-Contra*Type-UVN*Day-28d</t>
  </si>
  <si>
    <t>Side-Contra*Type-UL*Day-1d vs Side-Contra*Type-UL*Day-28d</t>
  </si>
  <si>
    <t>Side-Contra*Type-UL*Day-1d vs Side-Contra*Type-UVN*Day-7d</t>
  </si>
  <si>
    <t>Side-Contra*Type-UL*Day-1d vs Side-Contra*Type-UL*Day-4d</t>
  </si>
  <si>
    <t>Side-Contra*Type-UL*Day-1d vs Side-Contra*Type-UL*Day-7d</t>
  </si>
  <si>
    <t>Side-Contra*Type-UL*Day-7d vs Side-Contra*Type-UL*Day-BL</t>
  </si>
  <si>
    <t>Side-Contra*Type-UL*Day-7d vs Side-Contra*Type-UVN*Day-BL</t>
  </si>
  <si>
    <t>Side-Contra*Type-UL*Day-7d vs Side-Contra*Type-UVN*Day-28d</t>
  </si>
  <si>
    <t>Side-Contra*Type-UL*Day-7d vs Side-Contra*Type-UL*Day-28d</t>
  </si>
  <si>
    <t>Side-Contra*Type-UL*Day-7d vs Side-Contra*Type-UVN*Day-7d</t>
  </si>
  <si>
    <t>Side-Contra*Type-UL*Day-7d vs Side-Contra*Type-UL*Day-4d</t>
  </si>
  <si>
    <t>Side-Contra*Type-UL*Day-4d vs Side-Contra*Type-UL*Day-BL</t>
  </si>
  <si>
    <t>Side-Contra*Type-UL*Day-4d vs Side-Contra*Type-UVN*Day-BL</t>
  </si>
  <si>
    <t>Side-Contra*Type-UL*Day-4d vs Side-Contra*Type-UVN*Day-28d</t>
  </si>
  <si>
    <t>Side-Contra*Type-UL*Day-4d vs Side-Contra*Type-UL*Day-28d</t>
  </si>
  <si>
    <t>Side-Contra*Type-UL*Day-4d vs Side-Contra*Type-UVN*Day-7d</t>
  </si>
  <si>
    <t>Side-Contra*Type-UVN*Day-7d vs Side-Contra*Type-UL*Day-BL</t>
  </si>
  <si>
    <t>Side-Contra*Type-UVN*Day-7d vs Side-Contra*Type-UVN*Day-BL</t>
  </si>
  <si>
    <t>Side-Contra*Type-UVN*Day-7d vs Side-Contra*Type-UVN*Day-28d</t>
  </si>
  <si>
    <t>Side-Contra*Type-UVN*Day-7d vs Side-Contra*Type-UL*Day-28d</t>
  </si>
  <si>
    <t>Side-Contra*Type-UL*Day-28d vs Side-Contra*Type-UL*Day-BL</t>
  </si>
  <si>
    <t>Side-Contra*Type-UL*Day-28d vs Side-Contra*Type-UVN*Day-BL</t>
  </si>
  <si>
    <t>Side-Contra*Type-UL*Day-28d vs Side-Contra*Type-UVN*Day-28d</t>
  </si>
  <si>
    <t>Side-Contra*Type-UVN*Day-28d vs Side-Contra*Type-UL*Day-BL</t>
  </si>
  <si>
    <t>Side-Contra*Type-UVN*Day-28d vs Side-Contra*Type-UVN*Day-BL</t>
  </si>
  <si>
    <t>Side-Contra*Type-UVN*Day-BL vs Side-Contra*Type-UL*Day-BL</t>
  </si>
  <si>
    <t>G</t>
  </si>
  <si>
    <t>Side-Contra*Type-UVN*Day-BL vs Side-Ipsi*Type-UL*Day-1d</t>
  </si>
  <si>
    <t>Side-Contra*Type-UVN*Day-BL vs Side-Ipsi*Type-UVN*Day-1d</t>
  </si>
  <si>
    <t>Side-Contra*Type-UVN*Day-BL vs Side-Ipsi*Type-UL*Day-4d</t>
  </si>
  <si>
    <t>Side-Contra*Type-UVN*Day-BL vs Side-Contra*Type-UL*Day-1d</t>
  </si>
  <si>
    <t>Side-Contra*Type-UVN*Day-BL vs Side-Contra*Type-UVN*Day-1d</t>
  </si>
  <si>
    <t>Side-Contra*Type-UVN*Day-BL vs Side-Ipsi*Type-UL*Day-7d</t>
  </si>
  <si>
    <t>Side-Contra*Type-UVN*Day-BL vs Side-Ipsi*Type-UVN*Day-4d</t>
  </si>
  <si>
    <t>Side-Contra*Type-UVN*Day-BL vs Side-Ipsi*Type-UVN*Day-7d</t>
  </si>
  <si>
    <t>Side-Contra*Type-UVN*Day-BL vs Side-Contra*Type-UL*Day-4d</t>
  </si>
  <si>
    <t>Side-Contra*Type-UVN*Day-BL vs Side-Contra*Type-UVN*Day-4d</t>
  </si>
  <si>
    <t>Side-Contra*Type-UVN*Day-BL vs Side-Ipsi*Type-UL*Day-28d</t>
  </si>
  <si>
    <t>Side-Contra*Type-UVN*Day-BL vs Side-Contra*Type-UVN*Day-7d</t>
  </si>
  <si>
    <t>Side-Contra*Type-UVN*Day-BL vs Side-Contra*Type-UL*Day-7d</t>
  </si>
  <si>
    <t>Side-Contra*Type-UVN*Day-BL vs Side-Ipsi*Type-UVN*Day-28d</t>
  </si>
  <si>
    <t>Side-Contra*Type-UVN*Day-BL vs Side-Contra*Type-UVN*Day-28d</t>
  </si>
  <si>
    <t>Side-Contra*Type-UVN*Day-BL vs Side-Contra*Type-UL*Day-28d</t>
  </si>
  <si>
    <t>Side-Contra*Type-UL*Day-BL vs Side-Ipsi*Type-UL*Day-1d</t>
  </si>
  <si>
    <t>Side-Contra*Type-UL*Day-BL vs Side-Ipsi*Type-UVN*Day-1d</t>
  </si>
  <si>
    <t>Side-Contra*Type-UL*Day-BL vs Side-Ipsi*Type-UL*Day-4d</t>
  </si>
  <si>
    <t>Side-Contra*Type-UL*Day-BL vs Side-Contra*Type-UL*Day-1d</t>
  </si>
  <si>
    <t>Side-Contra*Type-UL*Day-BL vs Side-Contra*Type-UVN*Day-1d</t>
  </si>
  <si>
    <t>Side-Contra*Type-UL*Day-BL vs Side-Ipsi*Type-UL*Day-7d</t>
  </si>
  <si>
    <t>Side-Contra*Type-UL*Day-BL vs Side-Ipsi*Type-UVN*Day-4d</t>
  </si>
  <si>
    <t>Side-Contra*Type-UL*Day-BL vs Side-Ipsi*Type-UVN*Day-7d</t>
  </si>
  <si>
    <t>Side-Contra*Type-UL*Day-BL vs Side-Contra*Type-UL*Day-4d</t>
  </si>
  <si>
    <t>Side-Contra*Type-UL*Day-BL vs Side-Contra*Type-UVN*Day-4d</t>
  </si>
  <si>
    <t>Side-Contra*Type-UL*Day-BL vs Side-Ipsi*Type-UL*Day-28d</t>
  </si>
  <si>
    <t>Side-Contra*Type-UL*Day-BL vs Side-Contra*Type-UVN*Day-7d</t>
  </si>
  <si>
    <t>Side-Contra*Type-UL*Day-BL vs Side-Contra*Type-UL*Day-7d</t>
  </si>
  <si>
    <t>Side-Contra*Type-UL*Day-BL vs Side-Ipsi*Type-UVN*Day-28d</t>
  </si>
  <si>
    <t>Side-Contra*Type-UL*Day-BL vs Side-Contra*Type-UVN*Day-28d</t>
  </si>
  <si>
    <t>Side-Contra*Type-UL*Day-BL vs Side-Contra*Type-UL*Day-28d</t>
  </si>
  <si>
    <t>Side-Contra*Type-UL*Day-BL vs Side-Ipsi*Type-UL*Day-BL</t>
  </si>
  <si>
    <t>Side-Contra*Type-UL*Day-28d vs Side-Ipsi*Type-UL*Day-1d</t>
  </si>
  <si>
    <t>Side-Contra*Type-UL*Day-28d vs Side-Ipsi*Type-UVN*Day-1d</t>
  </si>
  <si>
    <t>Side-Contra*Type-UL*Day-28d vs Side-Ipsi*Type-UL*Day-4d</t>
  </si>
  <si>
    <t>Side-Contra*Type-UL*Day-28d vs Side-Ipsi*Type-UL*Day-7d</t>
  </si>
  <si>
    <t>Side-Contra*Type-UL*Day-28d vs Side-Ipsi*Type-UVN*Day-4d</t>
  </si>
  <si>
    <t>Side-Contra*Type-UL*Day-28d vs Side-Ipsi*Type-UVN*Day-7d</t>
  </si>
  <si>
    <t>Side-Contra*Type-UL*Day-28d vs Side-Contra*Type-UL*Day-4d</t>
  </si>
  <si>
    <t>Side-Contra*Type-UL*Day-28d vs Side-Contra*Type-UVN*Day-4d</t>
  </si>
  <si>
    <t>Side-Contra*Type-UL*Day-28d vs Side-Ipsi*Type-UL*Day-28d</t>
  </si>
  <si>
    <t>Side-Contra*Type-UL*Day-28d vs Side-Contra*Type-UVN*Day-7d</t>
  </si>
  <si>
    <t>Side-Contra*Type-UL*Day-28d vs Side-Contra*Type-UL*Day-7d</t>
  </si>
  <si>
    <t>Side-Contra*Type-UL*Day-28d vs Side-Ipsi*Type-UVN*Day-28d</t>
  </si>
  <si>
    <t>Side-Contra*Type-UVN*Day-28d vs Side-Ipsi*Type-UL*Day-1d</t>
  </si>
  <si>
    <t>Side-Contra*Type-UVN*Day-28d vs Side-Ipsi*Type-UVN*Day-1d</t>
  </si>
  <si>
    <t>Side-Contra*Type-UVN*Day-28d vs Side-Ipsi*Type-UL*Day-4d</t>
  </si>
  <si>
    <t>Side-Contra*Type-UVN*Day-28d vs Side-Contra*Type-UVN*Day-1d</t>
  </si>
  <si>
    <t>Side-Contra*Type-UVN*Day-28d vs Side-Ipsi*Type-UL*Day-7d</t>
  </si>
  <si>
    <t>Side-Contra*Type-UVN*Day-28d vs Side-Ipsi*Type-UVN*Day-4d</t>
  </si>
  <si>
    <t>Side-Contra*Type-UVN*Day-28d vs Side-Ipsi*Type-UVN*Day-7d</t>
  </si>
  <si>
    <t>Side-Contra*Type-UVN*Day-28d vs Side-Contra*Type-UL*Day-4d</t>
  </si>
  <si>
    <t>Side-Contra*Type-UVN*Day-28d vs Side-Contra*Type-UVN*Day-4d</t>
  </si>
  <si>
    <t>Side-Contra*Type-UVN*Day-28d vs Side-Ipsi*Type-UL*Day-28d</t>
  </si>
  <si>
    <t>Side-Contra*Type-UVN*Day-28d vs Side-Contra*Type-UVN*Day-7d</t>
  </si>
  <si>
    <t>Side-Contra*Type-UVN*Day-28d vs Side-Contra*Type-UL*Day-7d</t>
  </si>
  <si>
    <t>Side-Contra*Type-UVN*Day-28d vs Side-Ipsi*Type-UVN*Day-28d</t>
  </si>
  <si>
    <t>Side-Ipsi*Type-UVN*Day-28d vs Side-Ipsi*Type-UVN*Day-4d</t>
  </si>
  <si>
    <t>Side-Ipsi*Type-UVN*Day-28d vs Side-Ipsi*Type-UVN*Day-7d</t>
  </si>
  <si>
    <t>Side-Ipsi*Type-UVN*Day-28d vs Side-Contra*Type-UVN*Day-4d</t>
  </si>
  <si>
    <t>Side-Contra*Type-UL*Day-7d vs Side-Ipsi*Type-UL*Day-1d</t>
  </si>
  <si>
    <t>Side-Contra*Type-UL*Day-7d vs Side-Ipsi*Type-UVN*Day-1d</t>
  </si>
  <si>
    <t>Side-Contra*Type-UL*Day-7d vs Side-Ipsi*Type-UL*Day-4d</t>
  </si>
  <si>
    <t>Side-Contra*Type-UL*Day-7d vs Side-Ipsi*Type-UL*Day-7d</t>
  </si>
  <si>
    <t>Side-Contra*Type-UL*Day-7d vs Side-Ipsi*Type-UVN*Day-4d</t>
  </si>
  <si>
    <t>Side-Contra*Type-UL*Day-7d vs Side-Ipsi*Type-UVN*Day-7d</t>
  </si>
  <si>
    <t>Side-Contra*Type-UL*Day-7d vs Side-Contra*Type-UVN*Day-4d</t>
  </si>
  <si>
    <t>Side-Contra*Type-UL*Day-7d vs Side-Ipsi*Type-UL*Day-28d</t>
  </si>
  <si>
    <t>Side-Contra*Type-UVN*Day-7d vs Side-Ipsi*Type-UL*Day-1d</t>
  </si>
  <si>
    <t>Side-Contra*Type-UVN*Day-7d vs Side-Ipsi*Type-UL*Day-4d</t>
  </si>
  <si>
    <t>Side-Contra*Type-UVN*Day-7d vs Side-Ipsi*Type-UL*Day-7d</t>
  </si>
  <si>
    <t>Side-Contra*Type-UVN*Day-7d vs Side-Ipsi*Type-UVN*Day-7d</t>
  </si>
  <si>
    <t>Side-Contra*Type-UVN*Day-7d vs Side-Ipsi*Type-UL*Day-28d</t>
  </si>
  <si>
    <t>Side-Contra*Type-UL*Day-4d vs Side-Ipsi*Type-UL*Day-1d</t>
  </si>
  <si>
    <t>Side-Contra*Type-UL*Day-4d vs Side-Ipsi*Type-UL*Day-4d</t>
  </si>
  <si>
    <t>Side-Contra*Type-UL*Day-4d vs Side-Ipsi*Type-UL*Day-7d</t>
  </si>
  <si>
    <t>Side-Contra*Type-UL*Day-4d vs Side-Ipsi*Type-UVN*Day-4d</t>
  </si>
  <si>
    <t>Side-Contra*Type-UL*Day-4d vs Side-Ipsi*Type-UVN*Day-7d</t>
  </si>
  <si>
    <t>Side-Contra*Type-UVN*Day-1d vs Side-Ipsi*Type-UVN*Day-1d</t>
  </si>
  <si>
    <t>Side-Contra*Type-UL*Day-1d vs Side-Ipsi*Type-UL*Day-1d</t>
  </si>
  <si>
    <t>Side-Contra*Type-UL*Day-1d vs Side-Ipsi*Type-UVN*Day-1d</t>
  </si>
  <si>
    <t>Side-Contra*Type-UL*Day-1d vs Side-Ipsi*Type-UL*Day-4d</t>
  </si>
  <si>
    <t>Gain</t>
  </si>
  <si>
    <t>gain</t>
  </si>
  <si>
    <t>XLSTAT 2014.5.03 - Repeated measures ANOVA - on 18/03/2020 at 23:50:39</t>
  </si>
  <si>
    <t>Y / Quantitative: Workbook = Souris UVN-ULv8.xlsx / Sheet = Gains / Range = Gains!$BU:$BU / 180 rows and 1 column</t>
  </si>
  <si>
    <t>X / Qualitative: Workbook = Souris UVN-ULv8.xlsx / Sheet = Gains / Range = Gains!$BM:$BP / 180 rows and 4 columns</t>
  </si>
  <si>
    <t>Gain-0.2Hz</t>
  </si>
  <si>
    <t>Gain-0.5Hz</t>
  </si>
  <si>
    <t>Gain-1Hz</t>
  </si>
  <si>
    <t>Regression of variable gain:</t>
  </si>
  <si>
    <t>Type*Day*Gain</t>
  </si>
  <si>
    <t>Type-UL*Day-1d*Gain-0.2Hz</t>
  </si>
  <si>
    <t>Type-UL*Day-1d*Gain-0.5Hz</t>
  </si>
  <si>
    <t>Type-UL*Day-1d*Gain-1Hz</t>
  </si>
  <si>
    <t>Type-UL*Day-28d*Gain-0.2Hz</t>
  </si>
  <si>
    <t>Type-UL*Day-28d*Gain-0.5Hz</t>
  </si>
  <si>
    <t>Type-UL*Day-28d*Gain-1Hz</t>
  </si>
  <si>
    <t>Type-UL*Day-4d*Gain-0.2Hz</t>
  </si>
  <si>
    <t>Type-UL*Day-4d*Gain-0.5Hz</t>
  </si>
  <si>
    <t>Type-UL*Day-4d*Gain-1Hz</t>
  </si>
  <si>
    <t>Type-UL*Day-7d*Gain-0.2Hz</t>
  </si>
  <si>
    <t>Type-UL*Day-7d*Gain-0.5Hz</t>
  </si>
  <si>
    <t>Type-UL*Day-7d*Gain-1Hz</t>
  </si>
  <si>
    <t>Type-UL*Day-BL*Gain-0.2Hz</t>
  </si>
  <si>
    <t>Type-UL*Day-BL*Gain-0.5Hz</t>
  </si>
  <si>
    <t>Type-UL*Day-BL*Gain-1Hz</t>
  </si>
  <si>
    <t>Type-UVN*Day-1d*Gain-0.2Hz</t>
  </si>
  <si>
    <t>Type-UVN*Day-1d*Gain-0.5Hz</t>
  </si>
  <si>
    <t>Type-UVN*Day-1d*Gain-1Hz</t>
  </si>
  <si>
    <t>Type-UVN*Day-28d*Gain-0.2Hz</t>
  </si>
  <si>
    <t>Type-UVN*Day-28d*Gain-0.5Hz</t>
  </si>
  <si>
    <t>Type-UVN*Day-28d*Gain-1Hz</t>
  </si>
  <si>
    <t>Type-UVN*Day-4d*Gain-0.2Hz</t>
  </si>
  <si>
    <t>Type-UVN*Day-4d*Gain-0.5Hz</t>
  </si>
  <si>
    <t>Type-UVN*Day-4d*Gain-1Hz</t>
  </si>
  <si>
    <t>Type-UVN*Day-7d*Gain-0.2Hz</t>
  </si>
  <si>
    <t>Type-UVN*Day-7d*Gain-0.5Hz</t>
  </si>
  <si>
    <t>Type-UVN*Day-7d*Gain-1Hz</t>
  </si>
  <si>
    <t>Type-UVN*Day-BL*Gain-0.2Hz</t>
  </si>
  <si>
    <t>Type-UVN*Day-BL*Gain-0.5Hz</t>
  </si>
  <si>
    <t>Type-UVN*Day-BL*Gain-1Hz</t>
  </si>
  <si>
    <t>Type*Day*Gain / Tukey (HSD) / Analysis of the differences between the categories with a confidence interval of 95%:</t>
  </si>
  <si>
    <t>Type-UVN*Day-BL*Gain-1Hz vs Type-UVN*Day-1d*Gain-0.2Hz</t>
  </si>
  <si>
    <t>Type-UVN*Day-BL*Gain-1Hz vs Type-UL*Day-1d*Gain-0.2Hz</t>
  </si>
  <si>
    <t>Type-UVN*Day-BL*Gain-1Hz vs Type-UVN*Day-1d*Gain-0.5Hz</t>
  </si>
  <si>
    <t>Type-UVN*Day-BL*Gain-1Hz vs Type-UL*Day-4d*Gain-0.2Hz</t>
  </si>
  <si>
    <t>Type-UVN*Day-BL*Gain-1Hz vs Type-UVN*Day-4d*Gain-0.2Hz</t>
  </si>
  <si>
    <t>Type-UVN*Day-BL*Gain-1Hz vs Type-UL*Day-1d*Gain-0.5Hz</t>
  </si>
  <si>
    <t>Type-UVN*Day-BL*Gain-1Hz vs Type-UVN*Day-1d*Gain-1Hz</t>
  </si>
  <si>
    <t>Type-UVN*Day-BL*Gain-1Hz vs Type-UL*Day-4d*Gain-0.5Hz</t>
  </si>
  <si>
    <t>Type-UVN*Day-BL*Gain-1Hz vs Type-UL*Day-7d*Gain-0.2Hz</t>
  </si>
  <si>
    <t>Type-UVN*Day-BL*Gain-1Hz vs Type-UL*Day-28d*Gain-0.2Hz</t>
  </si>
  <si>
    <t>Type-UVN*Day-BL*Gain-1Hz vs Type-UVN*Day-4d*Gain-0.5Hz</t>
  </si>
  <si>
    <t>Type-UVN*Day-BL*Gain-1Hz vs Type-UL*Day-4d*Gain-1Hz</t>
  </si>
  <si>
    <t>Type-UVN*Day-BL*Gain-1Hz vs Type-UVN*Day-7d*Gain-0.2Hz</t>
  </si>
  <si>
    <t>Type-UVN*Day-BL*Gain-1Hz vs Type-UL*Day-1d*Gain-1Hz</t>
  </si>
  <si>
    <t>Type-UVN*Day-BL*Gain-1Hz vs Type-UVN*Day-28d*Gain-0.2Hz</t>
  </si>
  <si>
    <t>Type-UVN*Day-BL*Gain-1Hz vs Type-UL*Day-BL*Gain-0.2Hz</t>
  </si>
  <si>
    <t>Type-UVN*Day-BL*Gain-1Hz vs Type-UL*Day-7d*Gain-0.5Hz</t>
  </si>
  <si>
    <t>Type-UVN*Day-BL*Gain-1Hz vs Type-UVN*Day-4d*Gain-1Hz</t>
  </si>
  <si>
    <t>Type-UVN*Day-BL*Gain-1Hz vs Type-UVN*Day-7d*Gain-0.5Hz</t>
  </si>
  <si>
    <t>Type-UVN*Day-BL*Gain-1Hz vs Type-UVN*Day-BL*Gain-0.2Hz</t>
  </si>
  <si>
    <t>Type-UVN*Day-BL*Gain-1Hz vs Type-UL*Day-28d*Gain-0.5Hz</t>
  </si>
  <si>
    <t>Type-UVN*Day-BL*Gain-1Hz vs Type-UVN*Day-28d*Gain-0.5Hz</t>
  </si>
  <si>
    <t>Type-UVN*Day-BL*Gain-1Hz vs Type-UL*Day-7d*Gain-1Hz</t>
  </si>
  <si>
    <t>Type-UVN*Day-BL*Gain-1Hz vs Type-UL*Day-28d*Gain-1Hz</t>
  </si>
  <si>
    <t>Type-UVN*Day-BL*Gain-1Hz vs Type-UVN*Day-7d*Gain-1Hz</t>
  </si>
  <si>
    <t>Type-UVN*Day-BL*Gain-1Hz vs Type-UVN*Day-28d*Gain-1Hz</t>
  </si>
  <si>
    <t>Type-UVN*Day-BL*Gain-1Hz vs Type-UL*Day-BL*Gain-0.5Hz</t>
  </si>
  <si>
    <t>Type-UVN*Day-BL*Gain-1Hz vs Type-UVN*Day-BL*Gain-0.5Hz</t>
  </si>
  <si>
    <t>Type-UVN*Day-BL*Gain-1Hz vs Type-UL*Day-BL*Gain-1Hz</t>
  </si>
  <si>
    <t>Type-UL*Day-BL*Gain-1Hz vs Type-UVN*Day-1d*Gain-0.2Hz</t>
  </si>
  <si>
    <t>Type-UL*Day-BL*Gain-1Hz vs Type-UL*Day-1d*Gain-0.2Hz</t>
  </si>
  <si>
    <t>Type-UL*Day-BL*Gain-1Hz vs Type-UVN*Day-1d*Gain-0.5Hz</t>
  </si>
  <si>
    <t>Type-UL*Day-BL*Gain-1Hz vs Type-UL*Day-4d*Gain-0.2Hz</t>
  </si>
  <si>
    <t>Type-UL*Day-BL*Gain-1Hz vs Type-UVN*Day-4d*Gain-0.2Hz</t>
  </si>
  <si>
    <t>Type-UL*Day-BL*Gain-1Hz vs Type-UL*Day-1d*Gain-0.5Hz</t>
  </si>
  <si>
    <t>Type-UL*Day-BL*Gain-1Hz vs Type-UVN*Day-1d*Gain-1Hz</t>
  </si>
  <si>
    <t>Type-UL*Day-BL*Gain-1Hz vs Type-UL*Day-4d*Gain-0.5Hz</t>
  </si>
  <si>
    <t>Type-UL*Day-BL*Gain-1Hz vs Type-UL*Day-7d*Gain-0.2Hz</t>
  </si>
  <si>
    <t>Type-UL*Day-BL*Gain-1Hz vs Type-UL*Day-28d*Gain-0.2Hz</t>
  </si>
  <si>
    <t>Type-UL*Day-BL*Gain-1Hz vs Type-UVN*Day-4d*Gain-0.5Hz</t>
  </si>
  <si>
    <t>Type-UL*Day-BL*Gain-1Hz vs Type-UL*Day-4d*Gain-1Hz</t>
  </si>
  <si>
    <t>Type-UL*Day-BL*Gain-1Hz vs Type-UVN*Day-7d*Gain-0.2Hz</t>
  </si>
  <si>
    <t>Type-UL*Day-BL*Gain-1Hz vs Type-UL*Day-1d*Gain-1Hz</t>
  </si>
  <si>
    <t>Type-UL*Day-BL*Gain-1Hz vs Type-UVN*Day-28d*Gain-0.2Hz</t>
  </si>
  <si>
    <t>Type-UL*Day-BL*Gain-1Hz vs Type-UL*Day-BL*Gain-0.2Hz</t>
  </si>
  <si>
    <t>Type-UL*Day-BL*Gain-1Hz vs Type-UL*Day-7d*Gain-0.5Hz</t>
  </si>
  <si>
    <t>Type-UL*Day-BL*Gain-1Hz vs Type-UVN*Day-4d*Gain-1Hz</t>
  </si>
  <si>
    <t>Type-UL*Day-BL*Gain-1Hz vs Type-UVN*Day-7d*Gain-0.5Hz</t>
  </si>
  <si>
    <t>Type-UL*Day-BL*Gain-1Hz vs Type-UVN*Day-BL*Gain-0.2Hz</t>
  </si>
  <si>
    <t>Type-UL*Day-BL*Gain-1Hz vs Type-UL*Day-28d*Gain-0.5Hz</t>
  </si>
  <si>
    <t>Type-UL*Day-BL*Gain-1Hz vs Type-UVN*Day-28d*Gain-0.5Hz</t>
  </si>
  <si>
    <t>Type-UL*Day-BL*Gain-1Hz vs Type-UL*Day-7d*Gain-1Hz</t>
  </si>
  <si>
    <t>Type-UL*Day-BL*Gain-1Hz vs Type-UL*Day-28d*Gain-1Hz</t>
  </si>
  <si>
    <t>Type-UL*Day-BL*Gain-1Hz vs Type-UVN*Day-7d*Gain-1Hz</t>
  </si>
  <si>
    <t>Type-UL*Day-BL*Gain-1Hz vs Type-UVN*Day-28d*Gain-1Hz</t>
  </si>
  <si>
    <t>Type-UL*Day-BL*Gain-1Hz vs Type-UL*Day-BL*Gain-0.5Hz</t>
  </si>
  <si>
    <t>Type-UL*Day-BL*Gain-1Hz vs Type-UVN*Day-BL*Gain-0.5Hz</t>
  </si>
  <si>
    <t>Type-UVN*Day-BL*Gain-0.5Hz vs Type-UVN*Day-1d*Gain-0.2Hz</t>
  </si>
  <si>
    <t>Type-UVN*Day-BL*Gain-0.5Hz vs Type-UL*Day-1d*Gain-0.2Hz</t>
  </si>
  <si>
    <t>Type-UVN*Day-BL*Gain-0.5Hz vs Type-UVN*Day-1d*Gain-0.5Hz</t>
  </si>
  <si>
    <t>Type-UVN*Day-BL*Gain-0.5Hz vs Type-UL*Day-4d*Gain-0.2Hz</t>
  </si>
  <si>
    <t>Type-UVN*Day-BL*Gain-0.5Hz vs Type-UVN*Day-4d*Gain-0.2Hz</t>
  </si>
  <si>
    <t>Type-UVN*Day-BL*Gain-0.5Hz vs Type-UL*Day-1d*Gain-0.5Hz</t>
  </si>
  <si>
    <t>Type-UVN*Day-BL*Gain-0.5Hz vs Type-UVN*Day-1d*Gain-1Hz</t>
  </si>
  <si>
    <t>Type-UVN*Day-BL*Gain-0.5Hz vs Type-UL*Day-4d*Gain-0.5Hz</t>
  </si>
  <si>
    <t>Type-UVN*Day-BL*Gain-0.5Hz vs Type-UL*Day-7d*Gain-0.2Hz</t>
  </si>
  <si>
    <t>Type-UVN*Day-BL*Gain-0.5Hz vs Type-UL*Day-28d*Gain-0.2Hz</t>
  </si>
  <si>
    <t>Type-UVN*Day-BL*Gain-0.5Hz vs Type-UVN*Day-4d*Gain-0.5Hz</t>
  </si>
  <si>
    <t>Type-UVN*Day-BL*Gain-0.5Hz vs Type-UL*Day-4d*Gain-1Hz</t>
  </si>
  <si>
    <t>Type-UVN*Day-BL*Gain-0.5Hz vs Type-UVN*Day-7d*Gain-0.2Hz</t>
  </si>
  <si>
    <t>Type-UVN*Day-BL*Gain-0.5Hz vs Type-UL*Day-1d*Gain-1Hz</t>
  </si>
  <si>
    <t>Type-UVN*Day-BL*Gain-0.5Hz vs Type-UVN*Day-28d*Gain-0.2Hz</t>
  </si>
  <si>
    <t>Type-UVN*Day-BL*Gain-0.5Hz vs Type-UL*Day-BL*Gain-0.2Hz</t>
  </si>
  <si>
    <t>Type-UVN*Day-BL*Gain-0.5Hz vs Type-UL*Day-7d*Gain-0.5Hz</t>
  </si>
  <si>
    <t>Type-UVN*Day-BL*Gain-0.5Hz vs Type-UVN*Day-4d*Gain-1Hz</t>
  </si>
  <si>
    <t>Type-UVN*Day-BL*Gain-0.5Hz vs Type-UVN*Day-7d*Gain-0.5Hz</t>
  </si>
  <si>
    <t>Type-UVN*Day-BL*Gain-0.5Hz vs Type-UVN*Day-BL*Gain-0.2Hz</t>
  </si>
  <si>
    <t>Type-UVN*Day-BL*Gain-0.5Hz vs Type-UL*Day-28d*Gain-0.5Hz</t>
  </si>
  <si>
    <t>Type-UVN*Day-BL*Gain-0.5Hz vs Type-UVN*Day-28d*Gain-0.5Hz</t>
  </si>
  <si>
    <t>Type-UVN*Day-BL*Gain-0.5Hz vs Type-UL*Day-7d*Gain-1Hz</t>
  </si>
  <si>
    <t>Type-UVN*Day-BL*Gain-0.5Hz vs Type-UL*Day-28d*Gain-1Hz</t>
  </si>
  <si>
    <t>Type-UVN*Day-BL*Gain-0.5Hz vs Type-UVN*Day-7d*Gain-1Hz</t>
  </si>
  <si>
    <t>Type-UVN*Day-BL*Gain-0.5Hz vs Type-UVN*Day-28d*Gain-1Hz</t>
  </si>
  <si>
    <t>Type-UVN*Day-BL*Gain-0.5Hz vs Type-UL*Day-BL*Gain-0.5Hz</t>
  </si>
  <si>
    <t>Type-UL*Day-BL*Gain-0.5Hz vs Type-UVN*Day-1d*Gain-0.2Hz</t>
  </si>
  <si>
    <t>Type-UL*Day-BL*Gain-0.5Hz vs Type-UL*Day-1d*Gain-0.2Hz</t>
  </si>
  <si>
    <t>Type-UL*Day-BL*Gain-0.5Hz vs Type-UVN*Day-1d*Gain-0.5Hz</t>
  </si>
  <si>
    <t>Type-UL*Day-BL*Gain-0.5Hz vs Type-UL*Day-4d*Gain-0.2Hz</t>
  </si>
  <si>
    <t>Type-UL*Day-BL*Gain-0.5Hz vs Type-UVN*Day-4d*Gain-0.2Hz</t>
  </si>
  <si>
    <t>Type-UL*Day-BL*Gain-0.5Hz vs Type-UL*Day-1d*Gain-0.5Hz</t>
  </si>
  <si>
    <t>Type-UL*Day-BL*Gain-0.5Hz vs Type-UVN*Day-1d*Gain-1Hz</t>
  </si>
  <si>
    <t>Type-UL*Day-BL*Gain-0.5Hz vs Type-UL*Day-4d*Gain-0.5Hz</t>
  </si>
  <si>
    <t>Type-UL*Day-BL*Gain-0.5Hz vs Type-UL*Day-7d*Gain-0.2Hz</t>
  </si>
  <si>
    <t>Type-UL*Day-BL*Gain-0.5Hz vs Type-UL*Day-28d*Gain-0.2Hz</t>
  </si>
  <si>
    <t>Type-UL*Day-BL*Gain-0.5Hz vs Type-UVN*Day-4d*Gain-0.5Hz</t>
  </si>
  <si>
    <t>Type-UL*Day-BL*Gain-0.5Hz vs Type-UL*Day-4d*Gain-1Hz</t>
  </si>
  <si>
    <t>Type-UL*Day-BL*Gain-0.5Hz vs Type-UVN*Day-7d*Gain-0.2Hz</t>
  </si>
  <si>
    <t>Type-UL*Day-BL*Gain-0.5Hz vs Type-UL*Day-1d*Gain-1Hz</t>
  </si>
  <si>
    <t>Type-UL*Day-BL*Gain-0.5Hz vs Type-UVN*Day-28d*Gain-0.2Hz</t>
  </si>
  <si>
    <t>Type-UL*Day-BL*Gain-0.5Hz vs Type-UL*Day-BL*Gain-0.2Hz</t>
  </si>
  <si>
    <t>Type-UL*Day-BL*Gain-0.5Hz vs Type-UL*Day-7d*Gain-0.5Hz</t>
  </si>
  <si>
    <t>Type-UL*Day-BL*Gain-0.5Hz vs Type-UVN*Day-4d*Gain-1Hz</t>
  </si>
  <si>
    <t>Type-UL*Day-BL*Gain-0.5Hz vs Type-UVN*Day-7d*Gain-0.5Hz</t>
  </si>
  <si>
    <t>Type-UL*Day-BL*Gain-0.5Hz vs Type-UVN*Day-BL*Gain-0.2Hz</t>
  </si>
  <si>
    <t>Type-UL*Day-BL*Gain-0.5Hz vs Type-UL*Day-28d*Gain-0.5Hz</t>
  </si>
  <si>
    <t>Type-UL*Day-BL*Gain-0.5Hz vs Type-UVN*Day-28d*Gain-0.5Hz</t>
  </si>
  <si>
    <t>Type-UL*Day-BL*Gain-0.5Hz vs Type-UL*Day-7d*Gain-1Hz</t>
  </si>
  <si>
    <t>Type-UL*Day-BL*Gain-0.5Hz vs Type-UL*Day-28d*Gain-1Hz</t>
  </si>
  <si>
    <t>Type-UL*Day-BL*Gain-0.5Hz vs Type-UVN*Day-7d*Gain-1Hz</t>
  </si>
  <si>
    <t>Type-UL*Day-BL*Gain-0.5Hz vs Type-UVN*Day-28d*Gain-1Hz</t>
  </si>
  <si>
    <t>Type-UVN*Day-28d*Gain-1Hz vs Type-UVN*Day-1d*Gain-0.2Hz</t>
  </si>
  <si>
    <t>Type-UVN*Day-28d*Gain-1Hz vs Type-UL*Day-1d*Gain-0.2Hz</t>
  </si>
  <si>
    <t>Type-UVN*Day-28d*Gain-1Hz vs Type-UVN*Day-1d*Gain-0.5Hz</t>
  </si>
  <si>
    <t>Type-UVN*Day-28d*Gain-1Hz vs Type-UL*Day-4d*Gain-0.2Hz</t>
  </si>
  <si>
    <t>Type-UVN*Day-28d*Gain-1Hz vs Type-UVN*Day-4d*Gain-0.2Hz</t>
  </si>
  <si>
    <t>Type-UVN*Day-28d*Gain-1Hz vs Type-UL*Day-1d*Gain-0.5Hz</t>
  </si>
  <si>
    <t>Type-UVN*Day-28d*Gain-1Hz vs Type-UVN*Day-1d*Gain-1Hz</t>
  </si>
  <si>
    <t>Type-UVN*Day-28d*Gain-1Hz vs Type-UL*Day-4d*Gain-0.5Hz</t>
  </si>
  <si>
    <t>Type-UVN*Day-28d*Gain-1Hz vs Type-UL*Day-7d*Gain-0.2Hz</t>
  </si>
  <si>
    <t>Type-UVN*Day-28d*Gain-1Hz vs Type-UL*Day-28d*Gain-0.2Hz</t>
  </si>
  <si>
    <t>Type-UVN*Day-28d*Gain-1Hz vs Type-UVN*Day-4d*Gain-0.5Hz</t>
  </si>
  <si>
    <t>Type-UVN*Day-28d*Gain-1Hz vs Type-UL*Day-4d*Gain-1Hz</t>
  </si>
  <si>
    <t>Type-UVN*Day-28d*Gain-1Hz vs Type-UVN*Day-7d*Gain-0.2Hz</t>
  </si>
  <si>
    <t>Type-UVN*Day-28d*Gain-1Hz vs Type-UL*Day-1d*Gain-1Hz</t>
  </si>
  <si>
    <t>Type-UVN*Day-28d*Gain-1Hz vs Type-UVN*Day-28d*Gain-0.2Hz</t>
  </si>
  <si>
    <t>Type-UVN*Day-28d*Gain-1Hz vs Type-UL*Day-BL*Gain-0.2Hz</t>
  </si>
  <si>
    <t>Type-UVN*Day-28d*Gain-1Hz vs Type-UL*Day-7d*Gain-0.5Hz</t>
  </si>
  <si>
    <t>Type-UVN*Day-28d*Gain-1Hz vs Type-UVN*Day-4d*Gain-1Hz</t>
  </si>
  <si>
    <t>Type-UVN*Day-28d*Gain-1Hz vs Type-UVN*Day-7d*Gain-0.5Hz</t>
  </si>
  <si>
    <t>Type-UVN*Day-28d*Gain-1Hz vs Type-UVN*Day-BL*Gain-0.2Hz</t>
  </si>
  <si>
    <t>Type-UVN*Day-28d*Gain-1Hz vs Type-UL*Day-28d*Gain-0.5Hz</t>
  </si>
  <si>
    <t>Type-UVN*Day-28d*Gain-1Hz vs Type-UVN*Day-28d*Gain-0.5Hz</t>
  </si>
  <si>
    <t>Type-UVN*Day-28d*Gain-1Hz vs Type-UL*Day-7d*Gain-1Hz</t>
  </si>
  <si>
    <t>Type-UVN*Day-28d*Gain-1Hz vs Type-UL*Day-28d*Gain-1Hz</t>
  </si>
  <si>
    <t>Type-UVN*Day-28d*Gain-1Hz vs Type-UVN*Day-7d*Gain-1Hz</t>
  </si>
  <si>
    <t>Type-UVN*Day-7d*Gain-1Hz vs Type-UVN*Day-1d*Gain-0.2Hz</t>
  </si>
  <si>
    <t>Type-UVN*Day-7d*Gain-1Hz vs Type-UL*Day-1d*Gain-0.2Hz</t>
  </si>
  <si>
    <t>Type-UVN*Day-7d*Gain-1Hz vs Type-UVN*Day-1d*Gain-0.5Hz</t>
  </si>
  <si>
    <t>Type-UVN*Day-7d*Gain-1Hz vs Type-UL*Day-4d*Gain-0.2Hz</t>
  </si>
  <si>
    <t>Type-UVN*Day-7d*Gain-1Hz vs Type-UVN*Day-4d*Gain-0.2Hz</t>
  </si>
  <si>
    <t>Type-UVN*Day-7d*Gain-1Hz vs Type-UL*Day-1d*Gain-0.5Hz</t>
  </si>
  <si>
    <t>Type-UVN*Day-7d*Gain-1Hz vs Type-UVN*Day-1d*Gain-1Hz</t>
  </si>
  <si>
    <t>Type-UVN*Day-7d*Gain-1Hz vs Type-UL*Day-4d*Gain-0.5Hz</t>
  </si>
  <si>
    <t>Type-UVN*Day-7d*Gain-1Hz vs Type-UL*Day-7d*Gain-0.2Hz</t>
  </si>
  <si>
    <t>Type-UVN*Day-7d*Gain-1Hz vs Type-UL*Day-28d*Gain-0.2Hz</t>
  </si>
  <si>
    <t>Type-UVN*Day-7d*Gain-1Hz vs Type-UVN*Day-4d*Gain-0.5Hz</t>
  </si>
  <si>
    <t>Type-UVN*Day-7d*Gain-1Hz vs Type-UL*Day-4d*Gain-1Hz</t>
  </si>
  <si>
    <t>Type-UVN*Day-7d*Gain-1Hz vs Type-UVN*Day-7d*Gain-0.2Hz</t>
  </si>
  <si>
    <t>Type-UVN*Day-7d*Gain-1Hz vs Type-UL*Day-1d*Gain-1Hz</t>
  </si>
  <si>
    <t>Type-UVN*Day-7d*Gain-1Hz vs Type-UVN*Day-28d*Gain-0.2Hz</t>
  </si>
  <si>
    <t>Type-UVN*Day-7d*Gain-1Hz vs Type-UL*Day-BL*Gain-0.2Hz</t>
  </si>
  <si>
    <t>Type-UVN*Day-7d*Gain-1Hz vs Type-UL*Day-7d*Gain-0.5Hz</t>
  </si>
  <si>
    <t>Type-UVN*Day-7d*Gain-1Hz vs Type-UVN*Day-4d*Gain-1Hz</t>
  </si>
  <si>
    <t>Type-UVN*Day-7d*Gain-1Hz vs Type-UVN*Day-7d*Gain-0.5Hz</t>
  </si>
  <si>
    <t>Type-UVN*Day-7d*Gain-1Hz vs Type-UVN*Day-BL*Gain-0.2Hz</t>
  </si>
  <si>
    <t>Type-UVN*Day-7d*Gain-1Hz vs Type-UL*Day-28d*Gain-0.5Hz</t>
  </si>
  <si>
    <t>Type-UVN*Day-7d*Gain-1Hz vs Type-UVN*Day-28d*Gain-0.5Hz</t>
  </si>
  <si>
    <t>Type-UVN*Day-7d*Gain-1Hz vs Type-UL*Day-7d*Gain-1Hz</t>
  </si>
  <si>
    <t>Type-UVN*Day-7d*Gain-1Hz vs Type-UL*Day-28d*Gain-1Hz</t>
  </si>
  <si>
    <t>Type-UL*Day-28d*Gain-1Hz vs Type-UVN*Day-1d*Gain-0.2Hz</t>
  </si>
  <si>
    <t>Type-UL*Day-28d*Gain-1Hz vs Type-UL*Day-1d*Gain-0.2Hz</t>
  </si>
  <si>
    <t>Type-UL*Day-28d*Gain-1Hz vs Type-UVN*Day-1d*Gain-0.5Hz</t>
  </si>
  <si>
    <t>Type-UL*Day-28d*Gain-1Hz vs Type-UL*Day-4d*Gain-0.2Hz</t>
  </si>
  <si>
    <t>Type-UL*Day-28d*Gain-1Hz vs Type-UVN*Day-4d*Gain-0.2Hz</t>
  </si>
  <si>
    <t>Type-UL*Day-28d*Gain-1Hz vs Type-UL*Day-1d*Gain-0.5Hz</t>
  </si>
  <si>
    <t>Type-UL*Day-28d*Gain-1Hz vs Type-UVN*Day-1d*Gain-1Hz</t>
  </si>
  <si>
    <t>Type-UL*Day-28d*Gain-1Hz vs Type-UL*Day-4d*Gain-0.5Hz</t>
  </si>
  <si>
    <t>Type-UL*Day-28d*Gain-1Hz vs Type-UL*Day-7d*Gain-0.2Hz</t>
  </si>
  <si>
    <t>Type-UL*Day-28d*Gain-1Hz vs Type-UL*Day-28d*Gain-0.2Hz</t>
  </si>
  <si>
    <t>Type-UL*Day-28d*Gain-1Hz vs Type-UVN*Day-4d*Gain-0.5Hz</t>
  </si>
  <si>
    <t>Type-UL*Day-28d*Gain-1Hz vs Type-UL*Day-4d*Gain-1Hz</t>
  </si>
  <si>
    <t>Type-UL*Day-28d*Gain-1Hz vs Type-UVN*Day-7d*Gain-0.2Hz</t>
  </si>
  <si>
    <t>Type-UL*Day-28d*Gain-1Hz vs Type-UL*Day-1d*Gain-1Hz</t>
  </si>
  <si>
    <t>Type-UL*Day-28d*Gain-1Hz vs Type-UVN*Day-28d*Gain-0.2Hz</t>
  </si>
  <si>
    <t>Type-UL*Day-28d*Gain-1Hz vs Type-UL*Day-BL*Gain-0.2Hz</t>
  </si>
  <si>
    <t>Type-UL*Day-28d*Gain-1Hz vs Type-UL*Day-7d*Gain-0.5Hz</t>
  </si>
  <si>
    <t>Type-UL*Day-28d*Gain-1Hz vs Type-UVN*Day-4d*Gain-1Hz</t>
  </si>
  <si>
    <t>Type-UL*Day-28d*Gain-1Hz vs Type-UVN*Day-7d*Gain-0.5Hz</t>
  </si>
  <si>
    <t>Type-UL*Day-28d*Gain-1Hz vs Type-UVN*Day-BL*Gain-0.2Hz</t>
  </si>
  <si>
    <t>Type-UL*Day-28d*Gain-1Hz vs Type-UL*Day-28d*Gain-0.5Hz</t>
  </si>
  <si>
    <t>Type-UL*Day-28d*Gain-1Hz vs Type-UVN*Day-28d*Gain-0.5Hz</t>
  </si>
  <si>
    <t>Type-UL*Day-28d*Gain-1Hz vs Type-UL*Day-7d*Gain-1Hz</t>
  </si>
  <si>
    <t>Type-UL*Day-7d*Gain-1Hz vs Type-UVN*Day-1d*Gain-0.2Hz</t>
  </si>
  <si>
    <t>Type-UL*Day-7d*Gain-1Hz vs Type-UL*Day-1d*Gain-0.2Hz</t>
  </si>
  <si>
    <t>Type-UL*Day-7d*Gain-1Hz vs Type-UVN*Day-1d*Gain-0.5Hz</t>
  </si>
  <si>
    <t>Type-UL*Day-7d*Gain-1Hz vs Type-UL*Day-4d*Gain-0.2Hz</t>
  </si>
  <si>
    <t>Type-UL*Day-7d*Gain-1Hz vs Type-UVN*Day-4d*Gain-0.2Hz</t>
  </si>
  <si>
    <t>Type-UL*Day-7d*Gain-1Hz vs Type-UL*Day-1d*Gain-0.5Hz</t>
  </si>
  <si>
    <t>Type-UL*Day-7d*Gain-1Hz vs Type-UVN*Day-1d*Gain-1Hz</t>
  </si>
  <si>
    <t>Type-UL*Day-7d*Gain-1Hz vs Type-UL*Day-4d*Gain-0.5Hz</t>
  </si>
  <si>
    <t>Type-UL*Day-7d*Gain-1Hz vs Type-UL*Day-7d*Gain-0.2Hz</t>
  </si>
  <si>
    <t>Type-UL*Day-7d*Gain-1Hz vs Type-UL*Day-28d*Gain-0.2Hz</t>
  </si>
  <si>
    <t>Type-UL*Day-7d*Gain-1Hz vs Type-UVN*Day-4d*Gain-0.5Hz</t>
  </si>
  <si>
    <t>Type-UL*Day-7d*Gain-1Hz vs Type-UL*Day-4d*Gain-1Hz</t>
  </si>
  <si>
    <t>Type-UL*Day-7d*Gain-1Hz vs Type-UVN*Day-7d*Gain-0.2Hz</t>
  </si>
  <si>
    <t>Type-UL*Day-7d*Gain-1Hz vs Type-UL*Day-1d*Gain-1Hz</t>
  </si>
  <si>
    <t>Type-UL*Day-7d*Gain-1Hz vs Type-UVN*Day-28d*Gain-0.2Hz</t>
  </si>
  <si>
    <t>Type-UL*Day-7d*Gain-1Hz vs Type-UL*Day-BL*Gain-0.2Hz</t>
  </si>
  <si>
    <t>Type-UL*Day-7d*Gain-1Hz vs Type-UL*Day-7d*Gain-0.5Hz</t>
  </si>
  <si>
    <t>Type-UL*Day-7d*Gain-1Hz vs Type-UVN*Day-4d*Gain-1Hz</t>
  </si>
  <si>
    <t>Type-UL*Day-7d*Gain-1Hz vs Type-UVN*Day-7d*Gain-0.5Hz</t>
  </si>
  <si>
    <t>Type-UL*Day-7d*Gain-1Hz vs Type-UVN*Day-BL*Gain-0.2Hz</t>
  </si>
  <si>
    <t>Type-UL*Day-7d*Gain-1Hz vs Type-UL*Day-28d*Gain-0.5Hz</t>
  </si>
  <si>
    <t>Type-UL*Day-7d*Gain-1Hz vs Type-UVN*Day-28d*Gain-0.5Hz</t>
  </si>
  <si>
    <t>Type-UVN*Day-28d*Gain-0.5Hz vs Type-UVN*Day-1d*Gain-0.2Hz</t>
  </si>
  <si>
    <t>Type-UVN*Day-28d*Gain-0.5Hz vs Type-UL*Day-1d*Gain-0.2Hz</t>
  </si>
  <si>
    <t>Type-UVN*Day-28d*Gain-0.5Hz vs Type-UVN*Day-1d*Gain-0.5Hz</t>
  </si>
  <si>
    <t>Type-UVN*Day-28d*Gain-0.5Hz vs Type-UL*Day-4d*Gain-0.2Hz</t>
  </si>
  <si>
    <t>Type-UVN*Day-28d*Gain-0.5Hz vs Type-UVN*Day-4d*Gain-0.2Hz</t>
  </si>
  <si>
    <t>Type-UVN*Day-28d*Gain-0.5Hz vs Type-UL*Day-1d*Gain-0.5Hz</t>
  </si>
  <si>
    <t>Type-UVN*Day-28d*Gain-0.5Hz vs Type-UVN*Day-1d*Gain-1Hz</t>
  </si>
  <si>
    <t>Type-UVN*Day-28d*Gain-0.5Hz vs Type-UL*Day-4d*Gain-0.5Hz</t>
  </si>
  <si>
    <t>Type-UVN*Day-28d*Gain-0.5Hz vs Type-UL*Day-7d*Gain-0.2Hz</t>
  </si>
  <si>
    <t>Type-UVN*Day-28d*Gain-0.5Hz vs Type-UL*Day-28d*Gain-0.2Hz</t>
  </si>
  <si>
    <t>Type-UVN*Day-28d*Gain-0.5Hz vs Type-UVN*Day-4d*Gain-0.5Hz</t>
  </si>
  <si>
    <t>Type-UVN*Day-28d*Gain-0.5Hz vs Type-UL*Day-4d*Gain-1Hz</t>
  </si>
  <si>
    <t>Type-UVN*Day-28d*Gain-0.5Hz vs Type-UVN*Day-7d*Gain-0.2Hz</t>
  </si>
  <si>
    <t>Type-UVN*Day-28d*Gain-0.5Hz vs Type-UL*Day-1d*Gain-1Hz</t>
  </si>
  <si>
    <t>Type-UVN*Day-28d*Gain-0.5Hz vs Type-UVN*Day-28d*Gain-0.2Hz</t>
  </si>
  <si>
    <t>Type-UVN*Day-28d*Gain-0.5Hz vs Type-UL*Day-BL*Gain-0.2Hz</t>
  </si>
  <si>
    <t>Type-UVN*Day-28d*Gain-0.5Hz vs Type-UL*Day-7d*Gain-0.5Hz</t>
  </si>
  <si>
    <t>Type-UVN*Day-28d*Gain-0.5Hz vs Type-UVN*Day-4d*Gain-1Hz</t>
  </si>
  <si>
    <t>Type-UVN*Day-28d*Gain-0.5Hz vs Type-UVN*Day-7d*Gain-0.5Hz</t>
  </si>
  <si>
    <t>Type-UVN*Day-28d*Gain-0.5Hz vs Type-UVN*Day-BL*Gain-0.2Hz</t>
  </si>
  <si>
    <t>Type-UVN*Day-28d*Gain-0.5Hz vs Type-UL*Day-28d*Gain-0.5Hz</t>
  </si>
  <si>
    <t>Type-UL*Day-28d*Gain-0.5Hz vs Type-UVN*Day-1d*Gain-0.2Hz</t>
  </si>
  <si>
    <t>Type-UL*Day-28d*Gain-0.5Hz vs Type-UL*Day-1d*Gain-0.2Hz</t>
  </si>
  <si>
    <t>Type-UL*Day-28d*Gain-0.5Hz vs Type-UVN*Day-1d*Gain-0.5Hz</t>
  </si>
  <si>
    <t>Type-UL*Day-28d*Gain-0.5Hz vs Type-UL*Day-4d*Gain-0.2Hz</t>
  </si>
  <si>
    <t>Type-UL*Day-28d*Gain-0.5Hz vs Type-UVN*Day-4d*Gain-0.2Hz</t>
  </si>
  <si>
    <t>Type-UL*Day-28d*Gain-0.5Hz vs Type-UL*Day-1d*Gain-0.5Hz</t>
  </si>
  <si>
    <t>Type-UL*Day-28d*Gain-0.5Hz vs Type-UVN*Day-1d*Gain-1Hz</t>
  </si>
  <si>
    <t>Type-UL*Day-28d*Gain-0.5Hz vs Type-UL*Day-4d*Gain-0.5Hz</t>
  </si>
  <si>
    <t>Type-UL*Day-28d*Gain-0.5Hz vs Type-UL*Day-7d*Gain-0.2Hz</t>
  </si>
  <si>
    <t>Type-UL*Day-28d*Gain-0.5Hz vs Type-UL*Day-28d*Gain-0.2Hz</t>
  </si>
  <si>
    <t>Type-UL*Day-28d*Gain-0.5Hz vs Type-UVN*Day-4d*Gain-0.5Hz</t>
  </si>
  <si>
    <t>Type-UL*Day-28d*Gain-0.5Hz vs Type-UL*Day-4d*Gain-1Hz</t>
  </si>
  <si>
    <t>Type-UL*Day-28d*Gain-0.5Hz vs Type-UVN*Day-7d*Gain-0.2Hz</t>
  </si>
  <si>
    <t>Type-UL*Day-28d*Gain-0.5Hz vs Type-UL*Day-1d*Gain-1Hz</t>
  </si>
  <si>
    <t>Type-UL*Day-28d*Gain-0.5Hz vs Type-UVN*Day-28d*Gain-0.2Hz</t>
  </si>
  <si>
    <t>Type-UL*Day-28d*Gain-0.5Hz vs Type-UL*Day-BL*Gain-0.2Hz</t>
  </si>
  <si>
    <t>Type-UL*Day-28d*Gain-0.5Hz vs Type-UL*Day-7d*Gain-0.5Hz</t>
  </si>
  <si>
    <t>Type-UL*Day-28d*Gain-0.5Hz vs Type-UVN*Day-4d*Gain-1Hz</t>
  </si>
  <si>
    <t>Type-UL*Day-28d*Gain-0.5Hz vs Type-UVN*Day-7d*Gain-0.5Hz</t>
  </si>
  <si>
    <t>Type-UL*Day-28d*Gain-0.5Hz vs Type-UVN*Day-BL*Gain-0.2Hz</t>
  </si>
  <si>
    <t>Type-UVN*Day-BL*Gain-0.2Hz vs Type-UVN*Day-1d*Gain-0.2Hz</t>
  </si>
  <si>
    <t>Type-UVN*Day-BL*Gain-0.2Hz vs Type-UL*Day-1d*Gain-0.2Hz</t>
  </si>
  <si>
    <t>Type-UVN*Day-BL*Gain-0.2Hz vs Type-UVN*Day-1d*Gain-0.5Hz</t>
  </si>
  <si>
    <t>Type-UVN*Day-BL*Gain-0.2Hz vs Type-UL*Day-4d*Gain-0.2Hz</t>
  </si>
  <si>
    <t>Type-UVN*Day-BL*Gain-0.2Hz vs Type-UVN*Day-4d*Gain-0.2Hz</t>
  </si>
  <si>
    <t>Type-UVN*Day-BL*Gain-0.2Hz vs Type-UL*Day-1d*Gain-0.5Hz</t>
  </si>
  <si>
    <t>Type-UVN*Day-BL*Gain-0.2Hz vs Type-UVN*Day-1d*Gain-1Hz</t>
  </si>
  <si>
    <t>Type-UVN*Day-BL*Gain-0.2Hz vs Type-UL*Day-4d*Gain-0.5Hz</t>
  </si>
  <si>
    <t>Type-UVN*Day-BL*Gain-0.2Hz vs Type-UL*Day-7d*Gain-0.2Hz</t>
  </si>
  <si>
    <t>Type-UVN*Day-BL*Gain-0.2Hz vs Type-UL*Day-28d*Gain-0.2Hz</t>
  </si>
  <si>
    <t>Type-UVN*Day-BL*Gain-0.2Hz vs Type-UVN*Day-4d*Gain-0.5Hz</t>
  </si>
  <si>
    <t>Type-UVN*Day-BL*Gain-0.2Hz vs Type-UL*Day-4d*Gain-1Hz</t>
  </si>
  <si>
    <t>Type-UVN*Day-BL*Gain-0.2Hz vs Type-UVN*Day-7d*Gain-0.2Hz</t>
  </si>
  <si>
    <t>Type-UVN*Day-BL*Gain-0.2Hz vs Type-UL*Day-1d*Gain-1Hz</t>
  </si>
  <si>
    <t>Type-UVN*Day-BL*Gain-0.2Hz vs Type-UVN*Day-28d*Gain-0.2Hz</t>
  </si>
  <si>
    <t>Type-UVN*Day-BL*Gain-0.2Hz vs Type-UL*Day-BL*Gain-0.2Hz</t>
  </si>
  <si>
    <t>Type-UVN*Day-BL*Gain-0.2Hz vs Type-UL*Day-7d*Gain-0.5Hz</t>
  </si>
  <si>
    <t>Type-UVN*Day-BL*Gain-0.2Hz vs Type-UVN*Day-4d*Gain-1Hz</t>
  </si>
  <si>
    <t>Type-UVN*Day-BL*Gain-0.2Hz vs Type-UVN*Day-7d*Gain-0.5Hz</t>
  </si>
  <si>
    <t>Type-UVN*Day-7d*Gain-0.5Hz vs Type-UVN*Day-1d*Gain-0.2Hz</t>
  </si>
  <si>
    <t>Type-UVN*Day-7d*Gain-0.5Hz vs Type-UL*Day-1d*Gain-0.2Hz</t>
  </si>
  <si>
    <t>Type-UVN*Day-7d*Gain-0.5Hz vs Type-UVN*Day-1d*Gain-0.5Hz</t>
  </si>
  <si>
    <t>Type-UVN*Day-7d*Gain-0.5Hz vs Type-UL*Day-4d*Gain-0.2Hz</t>
  </si>
  <si>
    <t>Type-UVN*Day-7d*Gain-0.5Hz vs Type-UVN*Day-4d*Gain-0.2Hz</t>
  </si>
  <si>
    <t>Type-UVN*Day-7d*Gain-0.5Hz vs Type-UL*Day-1d*Gain-0.5Hz</t>
  </si>
  <si>
    <t>Type-UVN*Day-7d*Gain-0.5Hz vs Type-UVN*Day-1d*Gain-1Hz</t>
  </si>
  <si>
    <t>Type-UVN*Day-7d*Gain-0.5Hz vs Type-UL*Day-4d*Gain-0.5Hz</t>
  </si>
  <si>
    <t>Type-UVN*Day-7d*Gain-0.5Hz vs Type-UL*Day-7d*Gain-0.2Hz</t>
  </si>
  <si>
    <t>Type-UVN*Day-7d*Gain-0.5Hz vs Type-UL*Day-28d*Gain-0.2Hz</t>
  </si>
  <si>
    <t>Type-UVN*Day-7d*Gain-0.5Hz vs Type-UVN*Day-4d*Gain-0.5Hz</t>
  </si>
  <si>
    <t>Type-UVN*Day-7d*Gain-0.5Hz vs Type-UL*Day-4d*Gain-1Hz</t>
  </si>
  <si>
    <t>Type-UVN*Day-7d*Gain-0.5Hz vs Type-UVN*Day-7d*Gain-0.2Hz</t>
  </si>
  <si>
    <t>Type-UVN*Day-7d*Gain-0.5Hz vs Type-UL*Day-1d*Gain-1Hz</t>
  </si>
  <si>
    <t>Type-UVN*Day-7d*Gain-0.5Hz vs Type-UVN*Day-28d*Gain-0.2Hz</t>
  </si>
  <si>
    <t>Type-UVN*Day-7d*Gain-0.5Hz vs Type-UL*Day-BL*Gain-0.2Hz</t>
  </si>
  <si>
    <t>Type-UVN*Day-7d*Gain-0.5Hz vs Type-UL*Day-7d*Gain-0.5Hz</t>
  </si>
  <si>
    <t>Type-UVN*Day-7d*Gain-0.5Hz vs Type-UVN*Day-4d*Gain-1Hz</t>
  </si>
  <si>
    <t>Type-UVN*Day-4d*Gain-1Hz vs Type-UVN*Day-1d*Gain-0.2Hz</t>
  </si>
  <si>
    <t>Type-UVN*Day-4d*Gain-1Hz vs Type-UL*Day-1d*Gain-0.2Hz</t>
  </si>
  <si>
    <t>Type-UVN*Day-4d*Gain-1Hz vs Type-UVN*Day-1d*Gain-0.5Hz</t>
  </si>
  <si>
    <t>Type-UVN*Day-4d*Gain-1Hz vs Type-UL*Day-4d*Gain-0.2Hz</t>
  </si>
  <si>
    <t>Type-UVN*Day-4d*Gain-1Hz vs Type-UVN*Day-4d*Gain-0.2Hz</t>
  </si>
  <si>
    <t>Type-UVN*Day-4d*Gain-1Hz vs Type-UL*Day-1d*Gain-0.5Hz</t>
  </si>
  <si>
    <t>Type-UVN*Day-4d*Gain-1Hz vs Type-UVN*Day-1d*Gain-1Hz</t>
  </si>
  <si>
    <t>Type-UVN*Day-4d*Gain-1Hz vs Type-UL*Day-4d*Gain-0.5Hz</t>
  </si>
  <si>
    <t>Type-UVN*Day-4d*Gain-1Hz vs Type-UL*Day-7d*Gain-0.2Hz</t>
  </si>
  <si>
    <t>Type-UVN*Day-4d*Gain-1Hz vs Type-UL*Day-28d*Gain-0.2Hz</t>
  </si>
  <si>
    <t>Type-UVN*Day-4d*Gain-1Hz vs Type-UVN*Day-4d*Gain-0.5Hz</t>
  </si>
  <si>
    <t>Type-UVN*Day-4d*Gain-1Hz vs Type-UL*Day-4d*Gain-1Hz</t>
  </si>
  <si>
    <t>Type-UVN*Day-4d*Gain-1Hz vs Type-UVN*Day-7d*Gain-0.2Hz</t>
  </si>
  <si>
    <t>Type-UVN*Day-4d*Gain-1Hz vs Type-UL*Day-1d*Gain-1Hz</t>
  </si>
  <si>
    <t>Type-UVN*Day-4d*Gain-1Hz vs Type-UVN*Day-28d*Gain-0.2Hz</t>
  </si>
  <si>
    <t>Type-UVN*Day-4d*Gain-1Hz vs Type-UL*Day-BL*Gain-0.2Hz</t>
  </si>
  <si>
    <t>Type-UVN*Day-4d*Gain-1Hz vs Type-UL*Day-7d*Gain-0.5Hz</t>
  </si>
  <si>
    <t>Type-UL*Day-7d*Gain-0.5Hz vs Type-UVN*Day-1d*Gain-0.2Hz</t>
  </si>
  <si>
    <t>Type-UL*Day-7d*Gain-0.5Hz vs Type-UL*Day-1d*Gain-0.2Hz</t>
  </si>
  <si>
    <t>Type-UL*Day-7d*Gain-0.5Hz vs Type-UVN*Day-1d*Gain-0.5Hz</t>
  </si>
  <si>
    <t>Type-UL*Day-7d*Gain-0.5Hz vs Type-UL*Day-4d*Gain-0.2Hz</t>
  </si>
  <si>
    <t>Type-UL*Day-7d*Gain-0.5Hz vs Type-UVN*Day-4d*Gain-0.2Hz</t>
  </si>
  <si>
    <t>Type-UL*Day-7d*Gain-0.5Hz vs Type-UL*Day-1d*Gain-0.5Hz</t>
  </si>
  <si>
    <t>Type-UL*Day-7d*Gain-0.5Hz vs Type-UVN*Day-1d*Gain-1Hz</t>
  </si>
  <si>
    <t>Type-UL*Day-7d*Gain-0.5Hz vs Type-UL*Day-4d*Gain-0.5Hz</t>
  </si>
  <si>
    <t>Type-UL*Day-7d*Gain-0.5Hz vs Type-UL*Day-7d*Gain-0.2Hz</t>
  </si>
  <si>
    <t>Type-UL*Day-7d*Gain-0.5Hz vs Type-UL*Day-28d*Gain-0.2Hz</t>
  </si>
  <si>
    <t>Type-UL*Day-7d*Gain-0.5Hz vs Type-UVN*Day-4d*Gain-0.5Hz</t>
  </si>
  <si>
    <t>Type-UL*Day-7d*Gain-0.5Hz vs Type-UL*Day-4d*Gain-1Hz</t>
  </si>
  <si>
    <t>Type-UL*Day-7d*Gain-0.5Hz vs Type-UVN*Day-7d*Gain-0.2Hz</t>
  </si>
  <si>
    <t>Type-UL*Day-7d*Gain-0.5Hz vs Type-UL*Day-1d*Gain-1Hz</t>
  </si>
  <si>
    <t>Type-UL*Day-7d*Gain-0.5Hz vs Type-UVN*Day-28d*Gain-0.2Hz</t>
  </si>
  <si>
    <t>Type-UL*Day-7d*Gain-0.5Hz vs Type-UL*Day-BL*Gain-0.2Hz</t>
  </si>
  <si>
    <t>Type-UL*Day-BL*Gain-0.2Hz vs Type-UVN*Day-1d*Gain-0.2Hz</t>
  </si>
  <si>
    <t>Type-UL*Day-BL*Gain-0.2Hz vs Type-UL*Day-1d*Gain-0.2Hz</t>
  </si>
  <si>
    <t>Type-UL*Day-BL*Gain-0.2Hz vs Type-UVN*Day-1d*Gain-0.5Hz</t>
  </si>
  <si>
    <t>Type-UL*Day-BL*Gain-0.2Hz vs Type-UL*Day-4d*Gain-0.2Hz</t>
  </si>
  <si>
    <t>Type-UL*Day-BL*Gain-0.2Hz vs Type-UVN*Day-4d*Gain-0.2Hz</t>
  </si>
  <si>
    <t>Type-UL*Day-BL*Gain-0.2Hz vs Type-UL*Day-1d*Gain-0.5Hz</t>
  </si>
  <si>
    <t>Type-UL*Day-BL*Gain-0.2Hz vs Type-UVN*Day-1d*Gain-1Hz</t>
  </si>
  <si>
    <t>Type-UL*Day-BL*Gain-0.2Hz vs Type-UL*Day-4d*Gain-0.5Hz</t>
  </si>
  <si>
    <t>Type-UL*Day-BL*Gain-0.2Hz vs Type-UL*Day-7d*Gain-0.2Hz</t>
  </si>
  <si>
    <t>Type-UL*Day-BL*Gain-0.2Hz vs Type-UL*Day-28d*Gain-0.2Hz</t>
  </si>
  <si>
    <t>Type-UL*Day-BL*Gain-0.2Hz vs Type-UVN*Day-4d*Gain-0.5Hz</t>
  </si>
  <si>
    <t>Type-UL*Day-BL*Gain-0.2Hz vs Type-UL*Day-4d*Gain-1Hz</t>
  </si>
  <si>
    <t>Type-UL*Day-BL*Gain-0.2Hz vs Type-UVN*Day-7d*Gain-0.2Hz</t>
  </si>
  <si>
    <t>Type-UL*Day-BL*Gain-0.2Hz vs Type-UL*Day-1d*Gain-1Hz</t>
  </si>
  <si>
    <t>Type-UL*Day-BL*Gain-0.2Hz vs Type-UVN*Day-28d*Gain-0.2Hz</t>
  </si>
  <si>
    <t>Type-UVN*Day-28d*Gain-0.2Hz vs Type-UVN*Day-1d*Gain-0.2Hz</t>
  </si>
  <si>
    <t>Type-UVN*Day-28d*Gain-0.2Hz vs Type-UL*Day-1d*Gain-0.2Hz</t>
  </si>
  <si>
    <t>Type-UVN*Day-28d*Gain-0.2Hz vs Type-UVN*Day-1d*Gain-0.5Hz</t>
  </si>
  <si>
    <t>Type-UVN*Day-28d*Gain-0.2Hz vs Type-UL*Day-4d*Gain-0.2Hz</t>
  </si>
  <si>
    <t>Type-UVN*Day-28d*Gain-0.2Hz vs Type-UVN*Day-4d*Gain-0.2Hz</t>
  </si>
  <si>
    <t>Type-UVN*Day-28d*Gain-0.2Hz vs Type-UL*Day-1d*Gain-0.5Hz</t>
  </si>
  <si>
    <t>Type-UVN*Day-28d*Gain-0.2Hz vs Type-UVN*Day-1d*Gain-1Hz</t>
  </si>
  <si>
    <t>Type-UVN*Day-28d*Gain-0.2Hz vs Type-UL*Day-4d*Gain-0.5Hz</t>
  </si>
  <si>
    <t>Type-UVN*Day-28d*Gain-0.2Hz vs Type-UL*Day-7d*Gain-0.2Hz</t>
  </si>
  <si>
    <t>Type-UVN*Day-28d*Gain-0.2Hz vs Type-UL*Day-28d*Gain-0.2Hz</t>
  </si>
  <si>
    <t>Type-UVN*Day-28d*Gain-0.2Hz vs Type-UVN*Day-4d*Gain-0.5Hz</t>
  </si>
  <si>
    <t>Type-UVN*Day-28d*Gain-0.2Hz vs Type-UL*Day-4d*Gain-1Hz</t>
  </si>
  <si>
    <t>Type-UVN*Day-28d*Gain-0.2Hz vs Type-UVN*Day-7d*Gain-0.2Hz</t>
  </si>
  <si>
    <t>Type-UVN*Day-28d*Gain-0.2Hz vs Type-UL*Day-1d*Gain-1Hz</t>
  </si>
  <si>
    <t>Type-UL*Day-1d*Gain-1Hz vs Type-UVN*Day-1d*Gain-0.2Hz</t>
  </si>
  <si>
    <t>Type-UL*Day-1d*Gain-1Hz vs Type-UL*Day-1d*Gain-0.2Hz</t>
  </si>
  <si>
    <t>Type-UL*Day-1d*Gain-1Hz vs Type-UVN*Day-1d*Gain-0.5Hz</t>
  </si>
  <si>
    <t>Type-UL*Day-1d*Gain-1Hz vs Type-UL*Day-4d*Gain-0.2Hz</t>
  </si>
  <si>
    <t>Type-UL*Day-1d*Gain-1Hz vs Type-UVN*Day-4d*Gain-0.2Hz</t>
  </si>
  <si>
    <t>Type-UL*Day-1d*Gain-1Hz vs Type-UL*Day-1d*Gain-0.5Hz</t>
  </si>
  <si>
    <t>Type-UL*Day-1d*Gain-1Hz vs Type-UVN*Day-1d*Gain-1Hz</t>
  </si>
  <si>
    <t>Type-UL*Day-1d*Gain-1Hz vs Type-UL*Day-4d*Gain-0.5Hz</t>
  </si>
  <si>
    <t>Type-UL*Day-1d*Gain-1Hz vs Type-UL*Day-7d*Gain-0.2Hz</t>
  </si>
  <si>
    <t>Type-UL*Day-1d*Gain-1Hz vs Type-UL*Day-28d*Gain-0.2Hz</t>
  </si>
  <si>
    <t>Type-UL*Day-1d*Gain-1Hz vs Type-UVN*Day-4d*Gain-0.5Hz</t>
  </si>
  <si>
    <t>Type-UL*Day-1d*Gain-1Hz vs Type-UL*Day-4d*Gain-1Hz</t>
  </si>
  <si>
    <t>Type-UL*Day-1d*Gain-1Hz vs Type-UVN*Day-7d*Gain-0.2Hz</t>
  </si>
  <si>
    <t>Type-UVN*Day-7d*Gain-0.2Hz vs Type-UVN*Day-1d*Gain-0.2Hz</t>
  </si>
  <si>
    <t>Type-UVN*Day-7d*Gain-0.2Hz vs Type-UL*Day-1d*Gain-0.2Hz</t>
  </si>
  <si>
    <t>Type-UVN*Day-7d*Gain-0.2Hz vs Type-UVN*Day-1d*Gain-0.5Hz</t>
  </si>
  <si>
    <t>Type-UVN*Day-7d*Gain-0.2Hz vs Type-UL*Day-4d*Gain-0.2Hz</t>
  </si>
  <si>
    <t>Type-UVN*Day-7d*Gain-0.2Hz vs Type-UVN*Day-4d*Gain-0.2Hz</t>
  </si>
  <si>
    <t>Type-UVN*Day-7d*Gain-0.2Hz vs Type-UL*Day-1d*Gain-0.5Hz</t>
  </si>
  <si>
    <t>Type-UVN*Day-7d*Gain-0.2Hz vs Type-UVN*Day-1d*Gain-1Hz</t>
  </si>
  <si>
    <t>Type-UVN*Day-7d*Gain-0.2Hz vs Type-UL*Day-4d*Gain-0.5Hz</t>
  </si>
  <si>
    <t>Type-UVN*Day-7d*Gain-0.2Hz vs Type-UL*Day-7d*Gain-0.2Hz</t>
  </si>
  <si>
    <t>Type-UVN*Day-7d*Gain-0.2Hz vs Type-UL*Day-28d*Gain-0.2Hz</t>
  </si>
  <si>
    <t>Type-UVN*Day-7d*Gain-0.2Hz vs Type-UVN*Day-4d*Gain-0.5Hz</t>
  </si>
  <si>
    <t>Type-UVN*Day-7d*Gain-0.2Hz vs Type-UL*Day-4d*Gain-1Hz</t>
  </si>
  <si>
    <t>Type-UL*Day-4d*Gain-1Hz vs Type-UVN*Day-1d*Gain-0.2Hz</t>
  </si>
  <si>
    <t>Type-UL*Day-4d*Gain-1Hz vs Type-UL*Day-1d*Gain-0.2Hz</t>
  </si>
  <si>
    <t>Type-UL*Day-4d*Gain-1Hz vs Type-UVN*Day-1d*Gain-0.5Hz</t>
  </si>
  <si>
    <t>Type-UL*Day-4d*Gain-1Hz vs Type-UL*Day-4d*Gain-0.2Hz</t>
  </si>
  <si>
    <t>Type-UL*Day-4d*Gain-1Hz vs Type-UVN*Day-4d*Gain-0.2Hz</t>
  </si>
  <si>
    <t>Type-UL*Day-4d*Gain-1Hz vs Type-UL*Day-1d*Gain-0.5Hz</t>
  </si>
  <si>
    <t>Type-UL*Day-4d*Gain-1Hz vs Type-UVN*Day-1d*Gain-1Hz</t>
  </si>
  <si>
    <t>Type-UL*Day-4d*Gain-1Hz vs Type-UL*Day-4d*Gain-0.5Hz</t>
  </si>
  <si>
    <t>Type-UL*Day-4d*Gain-1Hz vs Type-UL*Day-7d*Gain-0.2Hz</t>
  </si>
  <si>
    <t>Type-UL*Day-4d*Gain-1Hz vs Type-UL*Day-28d*Gain-0.2Hz</t>
  </si>
  <si>
    <t>Type-UL*Day-4d*Gain-1Hz vs Type-UVN*Day-4d*Gain-0.5Hz</t>
  </si>
  <si>
    <t>Type-UVN*Day-4d*Gain-0.5Hz vs Type-UVN*Day-1d*Gain-0.2Hz</t>
  </si>
  <si>
    <t>Type-UVN*Day-4d*Gain-0.5Hz vs Type-UL*Day-1d*Gain-0.2Hz</t>
  </si>
  <si>
    <t>Type-UVN*Day-4d*Gain-0.5Hz vs Type-UVN*Day-1d*Gain-0.5Hz</t>
  </si>
  <si>
    <t>Type-UVN*Day-4d*Gain-0.5Hz vs Type-UL*Day-4d*Gain-0.2Hz</t>
  </si>
  <si>
    <t>Type-UVN*Day-4d*Gain-0.5Hz vs Type-UVN*Day-4d*Gain-0.2Hz</t>
  </si>
  <si>
    <t>Type-UVN*Day-4d*Gain-0.5Hz vs Type-UL*Day-1d*Gain-0.5Hz</t>
  </si>
  <si>
    <t>Type-UVN*Day-4d*Gain-0.5Hz vs Type-UVN*Day-1d*Gain-1Hz</t>
  </si>
  <si>
    <t>Type-UVN*Day-4d*Gain-0.5Hz vs Type-UL*Day-4d*Gain-0.5Hz</t>
  </si>
  <si>
    <t>Type-UVN*Day-4d*Gain-0.5Hz vs Type-UL*Day-7d*Gain-0.2Hz</t>
  </si>
  <si>
    <t>Type-UVN*Day-4d*Gain-0.5Hz vs Type-UL*Day-28d*Gain-0.2Hz</t>
  </si>
  <si>
    <t>Type-UL*Day-28d*Gain-0.2Hz vs Type-UVN*Day-1d*Gain-0.2Hz</t>
  </si>
  <si>
    <t>Type-UL*Day-28d*Gain-0.2Hz vs Type-UL*Day-1d*Gain-0.2Hz</t>
  </si>
  <si>
    <t>Type-UL*Day-28d*Gain-0.2Hz vs Type-UVN*Day-1d*Gain-0.5Hz</t>
  </si>
  <si>
    <t>Type-UL*Day-28d*Gain-0.2Hz vs Type-UL*Day-4d*Gain-0.2Hz</t>
  </si>
  <si>
    <t>Type-UL*Day-28d*Gain-0.2Hz vs Type-UVN*Day-4d*Gain-0.2Hz</t>
  </si>
  <si>
    <t>Type-UL*Day-28d*Gain-0.2Hz vs Type-UL*Day-1d*Gain-0.5Hz</t>
  </si>
  <si>
    <t>Type-UL*Day-28d*Gain-0.2Hz vs Type-UVN*Day-1d*Gain-1Hz</t>
  </si>
  <si>
    <t>Type-UL*Day-28d*Gain-0.2Hz vs Type-UL*Day-4d*Gain-0.5Hz</t>
  </si>
  <si>
    <t>Type-UL*Day-28d*Gain-0.2Hz vs Type-UL*Day-7d*Gain-0.2Hz</t>
  </si>
  <si>
    <t>Type-UL*Day-7d*Gain-0.2Hz vs Type-UVN*Day-1d*Gain-0.2Hz</t>
  </si>
  <si>
    <t>Type-UL*Day-7d*Gain-0.2Hz vs Type-UL*Day-1d*Gain-0.2Hz</t>
  </si>
  <si>
    <t>Type-UL*Day-7d*Gain-0.2Hz vs Type-UVN*Day-1d*Gain-0.5Hz</t>
  </si>
  <si>
    <t>Type-UL*Day-7d*Gain-0.2Hz vs Type-UL*Day-4d*Gain-0.2Hz</t>
  </si>
  <si>
    <t>Type-UL*Day-7d*Gain-0.2Hz vs Type-UVN*Day-4d*Gain-0.2Hz</t>
  </si>
  <si>
    <t>Type-UL*Day-7d*Gain-0.2Hz vs Type-UL*Day-1d*Gain-0.5Hz</t>
  </si>
  <si>
    <t>Type-UL*Day-7d*Gain-0.2Hz vs Type-UVN*Day-1d*Gain-1Hz</t>
  </si>
  <si>
    <t>Type-UL*Day-7d*Gain-0.2Hz vs Type-UL*Day-4d*Gain-0.5Hz</t>
  </si>
  <si>
    <t>Type-UL*Day-4d*Gain-0.5Hz vs Type-UVN*Day-1d*Gain-0.2Hz</t>
  </si>
  <si>
    <t>Type-UL*Day-4d*Gain-0.5Hz vs Type-UL*Day-1d*Gain-0.2Hz</t>
  </si>
  <si>
    <t>Type-UL*Day-4d*Gain-0.5Hz vs Type-UVN*Day-1d*Gain-0.5Hz</t>
  </si>
  <si>
    <t>Type-UL*Day-4d*Gain-0.5Hz vs Type-UL*Day-4d*Gain-0.2Hz</t>
  </si>
  <si>
    <t>Type-UL*Day-4d*Gain-0.5Hz vs Type-UVN*Day-4d*Gain-0.2Hz</t>
  </si>
  <si>
    <t>Type-UL*Day-4d*Gain-0.5Hz vs Type-UL*Day-1d*Gain-0.5Hz</t>
  </si>
  <si>
    <t>Type-UL*Day-4d*Gain-0.5Hz vs Type-UVN*Day-1d*Gain-1Hz</t>
  </si>
  <si>
    <t>Type-UVN*Day-1d*Gain-1Hz vs Type-UVN*Day-1d*Gain-0.2Hz</t>
  </si>
  <si>
    <t>Type-UVN*Day-1d*Gain-1Hz vs Type-UL*Day-1d*Gain-0.2Hz</t>
  </si>
  <si>
    <t>Type-UVN*Day-1d*Gain-1Hz vs Type-UVN*Day-1d*Gain-0.5Hz</t>
  </si>
  <si>
    <t>Type-UVN*Day-1d*Gain-1Hz vs Type-UL*Day-4d*Gain-0.2Hz</t>
  </si>
  <si>
    <t>Type-UVN*Day-1d*Gain-1Hz vs Type-UVN*Day-4d*Gain-0.2Hz</t>
  </si>
  <si>
    <t>Type-UVN*Day-1d*Gain-1Hz vs Type-UL*Day-1d*Gain-0.5Hz</t>
  </si>
  <si>
    <t>Type-UL*Day-1d*Gain-0.5Hz vs Type-UVN*Day-1d*Gain-0.2Hz</t>
  </si>
  <si>
    <t>Type-UL*Day-1d*Gain-0.5Hz vs Type-UL*Day-1d*Gain-0.2Hz</t>
  </si>
  <si>
    <t>Type-UL*Day-1d*Gain-0.5Hz vs Type-UVN*Day-1d*Gain-0.5Hz</t>
  </si>
  <si>
    <t>Type-UL*Day-1d*Gain-0.5Hz vs Type-UL*Day-4d*Gain-0.2Hz</t>
  </si>
  <si>
    <t>Type-UL*Day-1d*Gain-0.5Hz vs Type-UVN*Day-4d*Gain-0.2Hz</t>
  </si>
  <si>
    <t>Type-UVN*Day-4d*Gain-0.2Hz vs Type-UVN*Day-1d*Gain-0.2Hz</t>
  </si>
  <si>
    <t>Type-UVN*Day-4d*Gain-0.2Hz vs Type-UL*Day-1d*Gain-0.2Hz</t>
  </si>
  <si>
    <t>Type-UVN*Day-4d*Gain-0.2Hz vs Type-UVN*Day-1d*Gain-0.5Hz</t>
  </si>
  <si>
    <t>Type-UVN*Day-4d*Gain-0.2Hz vs Type-UL*Day-4d*Gain-0.2Hz</t>
  </si>
  <si>
    <t>Type-UL*Day-4d*Gain-0.2Hz vs Type-UVN*Day-1d*Gain-0.2Hz</t>
  </si>
  <si>
    <t>Type-UL*Day-4d*Gain-0.2Hz vs Type-UL*Day-1d*Gain-0.2Hz</t>
  </si>
  <si>
    <t>Type-UL*Day-4d*Gain-0.2Hz vs Type-UVN*Day-1d*Gain-0.5Hz</t>
  </si>
  <si>
    <t>Type-UVN*Day-1d*Gain-0.5Hz vs Type-UVN*Day-1d*Gain-0.2Hz</t>
  </si>
  <si>
    <t>Type-UVN*Day-1d*Gain-0.5Hz vs Type-UL*Day-1d*Gain-0.2Hz</t>
  </si>
  <si>
    <t>Type-UL*Day-1d*Gain-0.2Hz vs Type-UVN*Day-1d*Gain-0.2Hz</t>
  </si>
  <si>
    <t>H</t>
  </si>
  <si>
    <t>I</t>
  </si>
  <si>
    <t>J</t>
  </si>
  <si>
    <t>K</t>
  </si>
  <si>
    <t>N</t>
  </si>
  <si>
    <t>O</t>
  </si>
  <si>
    <t>XLSTAT 2014.5.03 - Repeated measures ANOVA - on 18/03/2020 at 23:51:49</t>
  </si>
  <si>
    <t>Y / Quantitative: Workbook = Souris UVN-ULv8.xlsx / Sheet = Gains / Range = Gains!$CH:$CH / 144 rows and 1 column</t>
  </si>
  <si>
    <t>X / Qualitative: Workbook = Souris UVN-ULv8.xlsx / Sheet = Gains / Range = Gains!$CD:$CG / 144 rows and 4 columns</t>
  </si>
  <si>
    <t>Number of observations with replaced missing data: 2</t>
  </si>
  <si>
    <t>Estimation of missing data: Nearest neighbour</t>
  </si>
  <si>
    <t>Observations with replaced missing data:</t>
  </si>
  <si>
    <t>Observation</t>
  </si>
  <si>
    <t>Obs87</t>
  </si>
  <si>
    <t>Obs88</t>
  </si>
  <si>
    <t>Regression of variable Phase:</t>
  </si>
  <si>
    <t>Type-UL*Day-4d*Gain-1Hz vs Type-UL*Day-BL*Gain-1Hz</t>
  </si>
  <si>
    <t>Type-UL*Day-4d*Gain-1Hz vs Type-UVN*Day-BL*Gain-1Hz</t>
  </si>
  <si>
    <t>Type-UL*Day-4d*Gain-1Hz vs Type-UL*Day-28d*Gain-1Hz</t>
  </si>
  <si>
    <t>Type-UL*Day-4d*Gain-1Hz vs Type-UVN*Day-28d*Gain-1Hz</t>
  </si>
  <si>
    <t>Type-UL*Day-4d*Gain-1Hz vs Type-UL*Day-BL*Gain-0.5Hz</t>
  </si>
  <si>
    <t>Type-UL*Day-4d*Gain-1Hz vs Type-UVN*Day-4d*Gain-1Hz</t>
  </si>
  <si>
    <t>Type-UL*Day-4d*Gain-1Hz vs Type-UVN*Day-BL*Gain-0.5Hz</t>
  </si>
  <si>
    <t>Type-UL*Day-4d*Gain-1Hz vs Type-UVN*Day-7d*Gain-1Hz</t>
  </si>
  <si>
    <t>Type-UL*Day-4d*Gain-1Hz vs Type-UVN*Day-28d*Gain-0.5Hz</t>
  </si>
  <si>
    <t>Type-UL*Day-4d*Gain-1Hz vs Type-UVN*Day-7d*Gain-0.5Hz</t>
  </si>
  <si>
    <t>Type-UL*Day-4d*Gain-1Hz vs Type-UL*Day-7d*Gain-1Hz</t>
  </si>
  <si>
    <t>Type-UL*Day-4d*Gain-1Hz vs Type-UVN*Day-BL*Gain-0.2Hz</t>
  </si>
  <si>
    <t>Type-UL*Day-4d*Gain-1Hz vs Type-UVN*Day-28d*Gain-0.2Hz</t>
  </si>
  <si>
    <t>Type-UL*Day-4d*Gain-1Hz vs Type-UL*Day-28d*Gain-0.5Hz</t>
  </si>
  <si>
    <t>Type-UL*Day-4d*Gain-1Hz vs Type-UL*Day-BL*Gain-0.2Hz</t>
  </si>
  <si>
    <t>Type-UL*Day-4d*Gain-1Hz vs Type-UVN*Day-7d*Gain-0.2Hz</t>
  </si>
  <si>
    <t>Type-UL*Day-4d*Gain-1Hz vs Type-UL*Day-7d*Gain-0.5Hz</t>
  </si>
  <si>
    <t>Type-UL*Day-28d*Gain-0.2Hz vs Type-UL*Day-BL*Gain-1Hz</t>
  </si>
  <si>
    <t>Type-UL*Day-28d*Gain-0.2Hz vs Type-UVN*Day-BL*Gain-1Hz</t>
  </si>
  <si>
    <t>Type-UL*Day-28d*Gain-0.2Hz vs Type-UL*Day-28d*Gain-1Hz</t>
  </si>
  <si>
    <t>Type-UL*Day-28d*Gain-0.2Hz vs Type-UVN*Day-28d*Gain-1Hz</t>
  </si>
  <si>
    <t>Type-UL*Day-28d*Gain-0.2Hz vs Type-UL*Day-BL*Gain-0.5Hz</t>
  </si>
  <si>
    <t>Type-UL*Day-28d*Gain-0.2Hz vs Type-UVN*Day-4d*Gain-1Hz</t>
  </si>
  <si>
    <t>Type-UL*Day-28d*Gain-0.2Hz vs Type-UVN*Day-BL*Gain-0.5Hz</t>
  </si>
  <si>
    <t>Type-UL*Day-28d*Gain-0.2Hz vs Type-UVN*Day-7d*Gain-1Hz</t>
  </si>
  <si>
    <t>Type-UL*Day-28d*Gain-0.2Hz vs Type-UVN*Day-28d*Gain-0.5Hz</t>
  </si>
  <si>
    <t>Type-UL*Day-28d*Gain-0.2Hz vs Type-UVN*Day-4d*Gain-0.5Hz</t>
  </si>
  <si>
    <t>Type-UL*Day-28d*Gain-0.2Hz vs Type-UVN*Day-7d*Gain-0.5Hz</t>
  </si>
  <si>
    <t>Type-UL*Day-28d*Gain-0.2Hz vs Type-UL*Day-7d*Gain-1Hz</t>
  </si>
  <si>
    <t>Type-UL*Day-28d*Gain-0.2Hz vs Type-UVN*Day-BL*Gain-0.2Hz</t>
  </si>
  <si>
    <t>Type-UL*Day-28d*Gain-0.2Hz vs Type-UVN*Day-28d*Gain-0.2Hz</t>
  </si>
  <si>
    <t>Type-UL*Day-28d*Gain-0.2Hz vs Type-UL*Day-28d*Gain-0.5Hz</t>
  </si>
  <si>
    <t>Type-UL*Day-28d*Gain-0.2Hz vs Type-UL*Day-BL*Gain-0.2Hz</t>
  </si>
  <si>
    <t>Type-UL*Day-28d*Gain-0.2Hz vs Type-UVN*Day-7d*Gain-0.2Hz</t>
  </si>
  <si>
    <t>Type-UL*Day-28d*Gain-0.2Hz vs Type-UL*Day-7d*Gain-0.5Hz</t>
  </si>
  <si>
    <t>Type-UL*Day-4d*Gain-0.5Hz vs Type-UL*Day-BL*Gain-1Hz</t>
  </si>
  <si>
    <t>Type-UL*Day-4d*Gain-0.5Hz vs Type-UVN*Day-BL*Gain-1Hz</t>
  </si>
  <si>
    <t>Type-UL*Day-4d*Gain-0.5Hz vs Type-UL*Day-28d*Gain-1Hz</t>
  </si>
  <si>
    <t>Type-UL*Day-4d*Gain-0.5Hz vs Type-UVN*Day-28d*Gain-1Hz</t>
  </si>
  <si>
    <t>Type-UL*Day-4d*Gain-0.5Hz vs Type-UL*Day-BL*Gain-0.5Hz</t>
  </si>
  <si>
    <t>Type-UL*Day-4d*Gain-0.5Hz vs Type-UVN*Day-4d*Gain-1Hz</t>
  </si>
  <si>
    <t>Type-UL*Day-4d*Gain-0.5Hz vs Type-UVN*Day-BL*Gain-0.5Hz</t>
  </si>
  <si>
    <t>Type-UL*Day-4d*Gain-0.5Hz vs Type-UVN*Day-7d*Gain-1Hz</t>
  </si>
  <si>
    <t>Type-UL*Day-4d*Gain-0.5Hz vs Type-UVN*Day-28d*Gain-0.5Hz</t>
  </si>
  <si>
    <t>Type-UL*Day-4d*Gain-0.5Hz vs Type-UVN*Day-4d*Gain-0.5Hz</t>
  </si>
  <si>
    <t>Type-UL*Day-4d*Gain-0.5Hz vs Type-UVN*Day-7d*Gain-0.5Hz</t>
  </si>
  <si>
    <t>Type-UL*Day-4d*Gain-0.5Hz vs Type-UL*Day-7d*Gain-1Hz</t>
  </si>
  <si>
    <t>Type-UL*Day-4d*Gain-0.5Hz vs Type-UVN*Day-BL*Gain-0.2Hz</t>
  </si>
  <si>
    <t>Type-UL*Day-4d*Gain-0.5Hz vs Type-UVN*Day-28d*Gain-0.2Hz</t>
  </si>
  <si>
    <t>Type-UL*Day-4d*Gain-0.5Hz vs Type-UL*Day-28d*Gain-0.5Hz</t>
  </si>
  <si>
    <t>Type-UL*Day-4d*Gain-0.5Hz vs Type-UL*Day-BL*Gain-0.2Hz</t>
  </si>
  <si>
    <t>Type-UL*Day-4d*Gain-0.5Hz vs Type-UVN*Day-7d*Gain-0.2Hz</t>
  </si>
  <si>
    <t>Type-UL*Day-4d*Gain-0.5Hz vs Type-UL*Day-7d*Gain-0.5Hz</t>
  </si>
  <si>
    <t>Type-UL*Day-4d*Gain-0.5Hz vs Type-UL*Day-7d*Gain-0.2Hz</t>
  </si>
  <si>
    <t>Type-UVN*Day-4d*Gain-0.2Hz vs Type-UL*Day-BL*Gain-1Hz</t>
  </si>
  <si>
    <t>Type-UVN*Day-4d*Gain-0.2Hz vs Type-UVN*Day-BL*Gain-1Hz</t>
  </si>
  <si>
    <t>Type-UVN*Day-4d*Gain-0.2Hz vs Type-UL*Day-28d*Gain-1Hz</t>
  </si>
  <si>
    <t>Type-UVN*Day-4d*Gain-0.2Hz vs Type-UVN*Day-28d*Gain-1Hz</t>
  </si>
  <si>
    <t>Type-UVN*Day-4d*Gain-0.2Hz vs Type-UL*Day-BL*Gain-0.5Hz</t>
  </si>
  <si>
    <t>Type-UVN*Day-4d*Gain-0.2Hz vs Type-UVN*Day-4d*Gain-1Hz</t>
  </si>
  <si>
    <t>Type-UVN*Day-4d*Gain-0.2Hz vs Type-UVN*Day-BL*Gain-0.5Hz</t>
  </si>
  <si>
    <t>Type-UVN*Day-4d*Gain-0.2Hz vs Type-UVN*Day-7d*Gain-1Hz</t>
  </si>
  <si>
    <t>Type-UVN*Day-4d*Gain-0.2Hz vs Type-UVN*Day-28d*Gain-0.5Hz</t>
  </si>
  <si>
    <t>Type-UVN*Day-4d*Gain-0.2Hz vs Type-UVN*Day-4d*Gain-0.5Hz</t>
  </si>
  <si>
    <t>Type-UVN*Day-4d*Gain-0.2Hz vs Type-UVN*Day-7d*Gain-0.5Hz</t>
  </si>
  <si>
    <t>Type-UVN*Day-4d*Gain-0.2Hz vs Type-UL*Day-7d*Gain-1Hz</t>
  </si>
  <si>
    <t>Type-UVN*Day-4d*Gain-0.2Hz vs Type-UVN*Day-BL*Gain-0.2Hz</t>
  </si>
  <si>
    <t>Type-UVN*Day-4d*Gain-0.2Hz vs Type-UVN*Day-28d*Gain-0.2Hz</t>
  </si>
  <si>
    <t>Type-UVN*Day-4d*Gain-0.2Hz vs Type-UL*Day-28d*Gain-0.5Hz</t>
  </si>
  <si>
    <t>Type-UVN*Day-4d*Gain-0.2Hz vs Type-UL*Day-BL*Gain-0.2Hz</t>
  </si>
  <si>
    <t>Type-UVN*Day-4d*Gain-0.2Hz vs Type-UVN*Day-7d*Gain-0.2Hz</t>
  </si>
  <si>
    <t>Type-UVN*Day-4d*Gain-0.2Hz vs Type-UL*Day-7d*Gain-0.5Hz</t>
  </si>
  <si>
    <t>Type-UVN*Day-4d*Gain-0.2Hz vs Type-UL*Day-7d*Gain-0.2Hz</t>
  </si>
  <si>
    <t>Type-UL*Day-7d*Gain-0.2Hz vs Type-UL*Day-BL*Gain-1Hz</t>
  </si>
  <si>
    <t>Type-UL*Day-7d*Gain-0.2Hz vs Type-UVN*Day-BL*Gain-1Hz</t>
  </si>
  <si>
    <t>Type-UL*Day-7d*Gain-0.2Hz vs Type-UL*Day-28d*Gain-1Hz</t>
  </si>
  <si>
    <t>Type-UL*Day-7d*Gain-0.2Hz vs Type-UVN*Day-28d*Gain-1Hz</t>
  </si>
  <si>
    <t>Type-UL*Day-7d*Gain-0.2Hz vs Type-UL*Day-BL*Gain-0.5Hz</t>
  </si>
  <si>
    <t>Type-UL*Day-7d*Gain-0.2Hz vs Type-UVN*Day-4d*Gain-1Hz</t>
  </si>
  <si>
    <t>Type-UL*Day-7d*Gain-0.2Hz vs Type-UVN*Day-BL*Gain-0.5Hz</t>
  </si>
  <si>
    <t>Type-UL*Day-7d*Gain-0.2Hz vs Type-UVN*Day-7d*Gain-1Hz</t>
  </si>
  <si>
    <t>Type-UL*Day-7d*Gain-0.2Hz vs Type-UVN*Day-28d*Gain-0.5Hz</t>
  </si>
  <si>
    <t>Type-UL*Day-7d*Gain-0.2Hz vs Type-UVN*Day-4d*Gain-0.5Hz</t>
  </si>
  <si>
    <t>Type-UL*Day-7d*Gain-0.2Hz vs Type-UVN*Day-7d*Gain-0.5Hz</t>
  </si>
  <si>
    <t>Type-UL*Day-7d*Gain-0.2Hz vs Type-UL*Day-7d*Gain-1Hz</t>
  </si>
  <si>
    <t>Type-UL*Day-7d*Gain-0.2Hz vs Type-UVN*Day-BL*Gain-0.2Hz</t>
  </si>
  <si>
    <t>Type-UL*Day-7d*Gain-0.2Hz vs Type-UVN*Day-28d*Gain-0.2Hz</t>
  </si>
  <si>
    <t>Type-UL*Day-7d*Gain-0.2Hz vs Type-UL*Day-28d*Gain-0.5Hz</t>
  </si>
  <si>
    <t>Type-UL*Day-7d*Gain-0.2Hz vs Type-UL*Day-BL*Gain-0.2Hz</t>
  </si>
  <si>
    <t>Type-UL*Day-7d*Gain-0.2Hz vs Type-UVN*Day-7d*Gain-0.2Hz</t>
  </si>
  <si>
    <t>Type-UL*Day-7d*Gain-0.2Hz vs Type-UL*Day-7d*Gain-0.5Hz</t>
  </si>
  <si>
    <t>Type-UL*Day-7d*Gain-0.5Hz vs Type-UL*Day-BL*Gain-1Hz</t>
  </si>
  <si>
    <t>Type-UL*Day-7d*Gain-0.5Hz vs Type-UVN*Day-BL*Gain-1Hz</t>
  </si>
  <si>
    <t>Type-UL*Day-7d*Gain-0.5Hz vs Type-UL*Day-28d*Gain-1Hz</t>
  </si>
  <si>
    <t>Type-UL*Day-7d*Gain-0.5Hz vs Type-UVN*Day-28d*Gain-1Hz</t>
  </si>
  <si>
    <t>Type-UL*Day-7d*Gain-0.5Hz vs Type-UL*Day-BL*Gain-0.5Hz</t>
  </si>
  <si>
    <t>Type-UL*Day-7d*Gain-0.5Hz vs Type-UVN*Day-4d*Gain-1Hz</t>
  </si>
  <si>
    <t>Type-UL*Day-7d*Gain-0.5Hz vs Type-UVN*Day-BL*Gain-0.5Hz</t>
  </si>
  <si>
    <t>Type-UL*Day-7d*Gain-0.5Hz vs Type-UVN*Day-7d*Gain-1Hz</t>
  </si>
  <si>
    <t>Type-UL*Day-7d*Gain-0.5Hz vs Type-UVN*Day-28d*Gain-0.5Hz</t>
  </si>
  <si>
    <t>Type-UL*Day-7d*Gain-0.5Hz vs Type-UVN*Day-7d*Gain-0.5Hz</t>
  </si>
  <si>
    <t>Type-UL*Day-7d*Gain-0.5Hz vs Type-UL*Day-7d*Gain-1Hz</t>
  </si>
  <si>
    <t>Type-UL*Day-7d*Gain-0.5Hz vs Type-UVN*Day-BL*Gain-0.2Hz</t>
  </si>
  <si>
    <t>Type-UL*Day-7d*Gain-0.5Hz vs Type-UL*Day-28d*Gain-0.5Hz</t>
  </si>
  <si>
    <t>Type-UL*Day-4d*Gain-0.2Hz vs Type-UL*Day-BL*Gain-1Hz</t>
  </si>
  <si>
    <t>Type-UL*Day-4d*Gain-0.2Hz vs Type-UVN*Day-BL*Gain-1Hz</t>
  </si>
  <si>
    <t>Type-UL*Day-4d*Gain-0.2Hz vs Type-UL*Day-28d*Gain-1Hz</t>
  </si>
  <si>
    <t>Type-UL*Day-4d*Gain-0.2Hz vs Type-UVN*Day-28d*Gain-1Hz</t>
  </si>
  <si>
    <t>Type-UL*Day-4d*Gain-0.2Hz vs Type-UL*Day-BL*Gain-0.5Hz</t>
  </si>
  <si>
    <t>Type-UL*Day-4d*Gain-0.2Hz vs Type-UVN*Day-4d*Gain-1Hz</t>
  </si>
  <si>
    <t>Type-UL*Day-4d*Gain-0.2Hz vs Type-UVN*Day-BL*Gain-0.5Hz</t>
  </si>
  <si>
    <t>Type-UL*Day-4d*Gain-0.2Hz vs Type-UVN*Day-7d*Gain-1Hz</t>
  </si>
  <si>
    <t>Type-UL*Day-4d*Gain-0.2Hz vs Type-UVN*Day-28d*Gain-0.5Hz</t>
  </si>
  <si>
    <t>Type-UL*Day-4d*Gain-0.2Hz vs Type-UVN*Day-4d*Gain-0.5Hz</t>
  </si>
  <si>
    <t>Type-UL*Day-4d*Gain-0.2Hz vs Type-UVN*Day-7d*Gain-0.5Hz</t>
  </si>
  <si>
    <t>Type-UL*Day-4d*Gain-0.2Hz vs Type-UL*Day-7d*Gain-1Hz</t>
  </si>
  <si>
    <t>Type-UL*Day-4d*Gain-0.2Hz vs Type-UVN*Day-BL*Gain-0.2Hz</t>
  </si>
  <si>
    <t>Type-UL*Day-4d*Gain-0.2Hz vs Type-UVN*Day-28d*Gain-0.2Hz</t>
  </si>
  <si>
    <t>Type-UL*Day-4d*Gain-0.2Hz vs Type-UL*Day-28d*Gain-0.5Hz</t>
  </si>
  <si>
    <t>Type-UL*Day-4d*Gain-0.2Hz vs Type-UL*Day-BL*Gain-0.2Hz</t>
  </si>
  <si>
    <t>Type-UL*Day-4d*Gain-0.2Hz vs Type-UVN*Day-7d*Gain-0.2Hz</t>
  </si>
  <si>
    <t>Type-UVN*Day-7d*Gain-0.2Hz vs Type-UL*Day-BL*Gain-1Hz</t>
  </si>
  <si>
    <t>Type-UVN*Day-7d*Gain-0.2Hz vs Type-UVN*Day-BL*Gain-1Hz</t>
  </si>
  <si>
    <t>Type-UVN*Day-7d*Gain-0.2Hz vs Type-UL*Day-28d*Gain-1Hz</t>
  </si>
  <si>
    <t>Type-UVN*Day-7d*Gain-0.2Hz vs Type-UVN*Day-28d*Gain-1Hz</t>
  </si>
  <si>
    <t>Type-UVN*Day-7d*Gain-0.2Hz vs Type-UL*Day-BL*Gain-0.5Hz</t>
  </si>
  <si>
    <t>Type-UVN*Day-7d*Gain-0.2Hz vs Type-UVN*Day-4d*Gain-1Hz</t>
  </si>
  <si>
    <t>Type-UVN*Day-7d*Gain-0.2Hz vs Type-UVN*Day-BL*Gain-0.5Hz</t>
  </si>
  <si>
    <t>Type-UVN*Day-7d*Gain-0.2Hz vs Type-UVN*Day-7d*Gain-1Hz</t>
  </si>
  <si>
    <t>Type-UVN*Day-7d*Gain-0.2Hz vs Type-UVN*Day-28d*Gain-0.5Hz</t>
  </si>
  <si>
    <t>Type-UVN*Day-7d*Gain-0.2Hz vs Type-UVN*Day-7d*Gain-0.5Hz</t>
  </si>
  <si>
    <t>Type-UVN*Day-7d*Gain-0.2Hz vs Type-UL*Day-7d*Gain-1Hz</t>
  </si>
  <si>
    <t>Type-UVN*Day-7d*Gain-0.2Hz vs Type-UVN*Day-BL*Gain-0.2Hz</t>
  </si>
  <si>
    <t>Type-UVN*Day-7d*Gain-0.2Hz vs Type-UVN*Day-28d*Gain-0.2Hz</t>
  </si>
  <si>
    <t>Type-UVN*Day-7d*Gain-0.2Hz vs Type-UL*Day-28d*Gain-0.5Hz</t>
  </si>
  <si>
    <t>Type-UVN*Day-7d*Gain-0.2Hz vs Type-UL*Day-BL*Gain-0.2Hz</t>
  </si>
  <si>
    <t>Type-UL*Day-BL*Gain-0.2Hz vs Type-UL*Day-BL*Gain-1Hz</t>
  </si>
  <si>
    <t>Type-UL*Day-BL*Gain-0.2Hz vs Type-UVN*Day-BL*Gain-1Hz</t>
  </si>
  <si>
    <t>Type-UL*Day-BL*Gain-0.2Hz vs Type-UL*Day-28d*Gain-1Hz</t>
  </si>
  <si>
    <t>Type-UL*Day-BL*Gain-0.2Hz vs Type-UVN*Day-28d*Gain-1Hz</t>
  </si>
  <si>
    <t>Type-UL*Day-BL*Gain-0.2Hz vs Type-UL*Day-BL*Gain-0.5Hz</t>
  </si>
  <si>
    <t>Type-UL*Day-BL*Gain-0.2Hz vs Type-UVN*Day-4d*Gain-1Hz</t>
  </si>
  <si>
    <t>Type-UL*Day-BL*Gain-0.2Hz vs Type-UVN*Day-BL*Gain-0.5Hz</t>
  </si>
  <si>
    <t>Type-UL*Day-BL*Gain-0.2Hz vs Type-UVN*Day-7d*Gain-1Hz</t>
  </si>
  <si>
    <t>Type-UL*Day-BL*Gain-0.2Hz vs Type-UVN*Day-28d*Gain-0.5Hz</t>
  </si>
  <si>
    <t>Type-UL*Day-BL*Gain-0.2Hz vs Type-UVN*Day-7d*Gain-0.5Hz</t>
  </si>
  <si>
    <t>Type-UL*Day-BL*Gain-0.2Hz vs Type-UL*Day-7d*Gain-1Hz</t>
  </si>
  <si>
    <t>Type-UL*Day-BL*Gain-0.2Hz vs Type-UVN*Day-BL*Gain-0.2Hz</t>
  </si>
  <si>
    <t>Type-UL*Day-BL*Gain-0.2Hz vs Type-UL*Day-28d*Gain-0.5Hz</t>
  </si>
  <si>
    <t>Type-UL*Day-28d*Gain-0.5Hz vs Type-UL*Day-BL*Gain-1Hz</t>
  </si>
  <si>
    <t>Type-UL*Day-28d*Gain-0.5Hz vs Type-UVN*Day-BL*Gain-1Hz</t>
  </si>
  <si>
    <t>Type-UL*Day-28d*Gain-0.5Hz vs Type-UL*Day-28d*Gain-1Hz</t>
  </si>
  <si>
    <t>Type-UL*Day-28d*Gain-0.5Hz vs Type-UVN*Day-28d*Gain-1Hz</t>
  </si>
  <si>
    <t>Type-UL*Day-28d*Gain-0.5Hz vs Type-UL*Day-BL*Gain-0.5Hz</t>
  </si>
  <si>
    <t>Type-UL*Day-28d*Gain-0.5Hz vs Type-UVN*Day-BL*Gain-0.5Hz</t>
  </si>
  <si>
    <t>Type-UL*Day-28d*Gain-0.5Hz vs Type-UVN*Day-7d*Gain-1Hz</t>
  </si>
  <si>
    <t>Type-UL*Day-28d*Gain-0.5Hz vs Type-UVN*Day-28d*Gain-0.5Hz</t>
  </si>
  <si>
    <t>Type-UL*Day-28d*Gain-0.5Hz vs Type-UL*Day-7d*Gain-1Hz</t>
  </si>
  <si>
    <t>Type-UVN*Day-28d*Gain-0.2Hz vs Type-UL*Day-BL*Gain-1Hz</t>
  </si>
  <si>
    <t>Type-UVN*Day-28d*Gain-0.2Hz vs Type-UVN*Day-BL*Gain-1Hz</t>
  </si>
  <si>
    <t>Type-UVN*Day-28d*Gain-0.2Hz vs Type-UL*Day-28d*Gain-1Hz</t>
  </si>
  <si>
    <t>Type-UVN*Day-28d*Gain-0.2Hz vs Type-UVN*Day-28d*Gain-1Hz</t>
  </si>
  <si>
    <t>Type-UVN*Day-28d*Gain-0.2Hz vs Type-UL*Day-BL*Gain-0.5Hz</t>
  </si>
  <si>
    <t>Type-UVN*Day-28d*Gain-0.2Hz vs Type-UVN*Day-4d*Gain-1Hz</t>
  </si>
  <si>
    <t>Type-UVN*Day-28d*Gain-0.2Hz vs Type-UVN*Day-BL*Gain-0.5Hz</t>
  </si>
  <si>
    <t>Type-UVN*Day-28d*Gain-0.2Hz vs Type-UVN*Day-7d*Gain-1Hz</t>
  </si>
  <si>
    <t>Type-UVN*Day-28d*Gain-0.2Hz vs Type-UVN*Day-28d*Gain-0.5Hz</t>
  </si>
  <si>
    <t>Type-UVN*Day-28d*Gain-0.2Hz vs Type-UVN*Day-7d*Gain-0.5Hz</t>
  </si>
  <si>
    <t>Type-UVN*Day-28d*Gain-0.2Hz vs Type-UL*Day-7d*Gain-1Hz</t>
  </si>
  <si>
    <t>Type-UVN*Day-28d*Gain-0.2Hz vs Type-UVN*Day-BL*Gain-0.2Hz</t>
  </si>
  <si>
    <t>Type-UVN*Day-BL*Gain-0.2Hz vs Type-UL*Day-BL*Gain-1Hz</t>
  </si>
  <si>
    <t>Type-UVN*Day-BL*Gain-0.2Hz vs Type-UVN*Day-BL*Gain-1Hz</t>
  </si>
  <si>
    <t>Type-UVN*Day-BL*Gain-0.2Hz vs Type-UL*Day-28d*Gain-1Hz</t>
  </si>
  <si>
    <t>Type-UVN*Day-BL*Gain-0.2Hz vs Type-UVN*Day-28d*Gain-1Hz</t>
  </si>
  <si>
    <t>Type-UVN*Day-BL*Gain-0.2Hz vs Type-UL*Day-BL*Gain-0.5Hz</t>
  </si>
  <si>
    <t>Type-UVN*Day-BL*Gain-0.2Hz vs Type-UVN*Day-BL*Gain-0.5Hz</t>
  </si>
  <si>
    <t>Type-UVN*Day-BL*Gain-0.2Hz vs Type-UVN*Day-7d*Gain-1Hz</t>
  </si>
  <si>
    <t>Type-UVN*Day-BL*Gain-0.2Hz vs Type-UVN*Day-28d*Gain-0.5Hz</t>
  </si>
  <si>
    <t>Type-UVN*Day-BL*Gain-0.2Hz vs Type-UL*Day-7d*Gain-1Hz</t>
  </si>
  <si>
    <t>Type-UL*Day-7d*Gain-1Hz vs Type-UL*Day-BL*Gain-1Hz</t>
  </si>
  <si>
    <t>Type-UL*Day-7d*Gain-1Hz vs Type-UVN*Day-BL*Gain-1Hz</t>
  </si>
  <si>
    <t>Type-UL*Day-7d*Gain-1Hz vs Type-UL*Day-28d*Gain-1Hz</t>
  </si>
  <si>
    <t>Type-UL*Day-7d*Gain-1Hz vs Type-UVN*Day-28d*Gain-1Hz</t>
  </si>
  <si>
    <t>Type-UL*Day-7d*Gain-1Hz vs Type-UL*Day-BL*Gain-0.5Hz</t>
  </si>
  <si>
    <t>Type-UL*Day-7d*Gain-1Hz vs Type-UVN*Day-BL*Gain-0.5Hz</t>
  </si>
  <si>
    <t>Type-UL*Day-7d*Gain-1Hz vs Type-UVN*Day-7d*Gain-1Hz</t>
  </si>
  <si>
    <t>Type-UVN*Day-7d*Gain-0.5Hz vs Type-UL*Day-BL*Gain-1Hz</t>
  </si>
  <si>
    <t>Type-UVN*Day-7d*Gain-0.5Hz vs Type-UVN*Day-BL*Gain-1Hz</t>
  </si>
  <si>
    <t>Type-UVN*Day-7d*Gain-0.5Hz vs Type-UL*Day-28d*Gain-1Hz</t>
  </si>
  <si>
    <t>Type-UVN*Day-7d*Gain-0.5Hz vs Type-UVN*Day-28d*Gain-1Hz</t>
  </si>
  <si>
    <t>Type-UVN*Day-7d*Gain-0.5Hz vs Type-UL*Day-BL*Gain-0.5Hz</t>
  </si>
  <si>
    <t>Type-UVN*Day-7d*Gain-0.5Hz vs Type-UVN*Day-BL*Gain-0.5Hz</t>
  </si>
  <si>
    <t>Type-UVN*Day-7d*Gain-0.5Hz vs Type-UVN*Day-7d*Gain-1Hz</t>
  </si>
  <si>
    <t>Type-UVN*Day-7d*Gain-0.5Hz vs Type-UVN*Day-28d*Gain-0.5Hz</t>
  </si>
  <si>
    <t>Type-UVN*Day-4d*Gain-0.5Hz vs Type-UL*Day-BL*Gain-1Hz</t>
  </si>
  <si>
    <t>Type-UVN*Day-4d*Gain-0.5Hz vs Type-UVN*Day-BL*Gain-1Hz</t>
  </si>
  <si>
    <t>Type-UVN*Day-4d*Gain-0.5Hz vs Type-UL*Day-28d*Gain-1Hz</t>
  </si>
  <si>
    <t>Type-UVN*Day-4d*Gain-0.5Hz vs Type-UVN*Day-28d*Gain-1Hz</t>
  </si>
  <si>
    <t>Type-UVN*Day-4d*Gain-0.5Hz vs Type-UL*Day-BL*Gain-0.5Hz</t>
  </si>
  <si>
    <t>Type-UVN*Day-4d*Gain-0.5Hz vs Type-UVN*Day-4d*Gain-1Hz</t>
  </si>
  <si>
    <t>Type-UVN*Day-4d*Gain-0.5Hz vs Type-UVN*Day-BL*Gain-0.5Hz</t>
  </si>
  <si>
    <t>Type-UVN*Day-4d*Gain-0.5Hz vs Type-UVN*Day-7d*Gain-1Hz</t>
  </si>
  <si>
    <t>Type-UVN*Day-4d*Gain-0.5Hz vs Type-UVN*Day-28d*Gain-0.5Hz</t>
  </si>
  <si>
    <t>Type-UVN*Day-28d*Gain-0.5Hz vs Type-UL*Day-BL*Gain-1Hz</t>
  </si>
  <si>
    <t>Type-UVN*Day-28d*Gain-0.5Hz vs Type-UVN*Day-BL*Gain-1Hz</t>
  </si>
  <si>
    <t>Type-UVN*Day-28d*Gain-0.5Hz vs Type-UL*Day-28d*Gain-1Hz</t>
  </si>
  <si>
    <t>Type-UVN*Day-28d*Gain-0.5Hz vs Type-UVN*Day-28d*Gain-1Hz</t>
  </si>
  <si>
    <t>Type-UVN*Day-28d*Gain-0.5Hz vs Type-UL*Day-BL*Gain-0.5Hz</t>
  </si>
  <si>
    <t>Type-UVN*Day-28d*Gain-0.5Hz vs Type-UVN*Day-BL*Gain-0.5Hz</t>
  </si>
  <si>
    <t>Type-UVN*Day-28d*Gain-0.5Hz vs Type-UVN*Day-7d*Gain-1Hz</t>
  </si>
  <si>
    <t>Type-UVN*Day-7d*Gain-1Hz vs Type-UL*Day-BL*Gain-1Hz</t>
  </si>
  <si>
    <t>Type-UVN*Day-7d*Gain-1Hz vs Type-UVN*Day-BL*Gain-1Hz</t>
  </si>
  <si>
    <t>Type-UVN*Day-7d*Gain-1Hz vs Type-UVN*Day-28d*Gain-1Hz</t>
  </si>
  <si>
    <t>Type-UVN*Day-7d*Gain-1Hz vs Type-UL*Day-BL*Gain-0.5Hz</t>
  </si>
  <si>
    <t>Type-UVN*Day-7d*Gain-1Hz vs Type-UVN*Day-BL*Gain-0.5Hz</t>
  </si>
  <si>
    <t>Type-UVN*Day-BL*Gain-0.5Hz vs Type-UL*Day-BL*Gain-1Hz</t>
  </si>
  <si>
    <t>Type-UVN*Day-BL*Gain-0.5Hz vs Type-UVN*Day-BL*Gain-1Hz</t>
  </si>
  <si>
    <t>Type-UVN*Day-4d*Gain-1Hz vs Type-UL*Day-BL*Gain-1Hz</t>
  </si>
  <si>
    <t>Type-UVN*Day-4d*Gain-1Hz vs Type-UVN*Day-BL*Gain-1Hz</t>
  </si>
  <si>
    <t>Type-UVN*Day-4d*Gain-1Hz vs Type-UL*Day-28d*Gain-1Hz</t>
  </si>
  <si>
    <t>Type-UVN*Day-4d*Gain-1Hz vs Type-UVN*Day-28d*Gain-1Hz</t>
  </si>
  <si>
    <t>Type-UVN*Day-4d*Gain-1Hz vs Type-UL*Day-BL*Gain-0.5Hz</t>
  </si>
  <si>
    <t>Type-UL*Day-BL*Gain-0.5Hz vs Type-UL*Day-BL*Gain-1Hz</t>
  </si>
  <si>
    <t>Type-UL*Day-BL*Gain-0.5Hz vs Type-UVN*Day-BL*Gain-1Hz</t>
  </si>
  <si>
    <t>Type-UVN*Day-28d*Gain-1Hz vs Type-UL*Day-BL*Gain-1Hz</t>
  </si>
  <si>
    <t>Type-UVN*Day-28d*Gain-1Hz vs Type-UVN*Day-BL*Gain-1Hz</t>
  </si>
  <si>
    <t>Type-UL*Day-28d*Gain-1Hz vs Type-UL*Day-BL*Gain-1Hz</t>
  </si>
  <si>
    <t>Type-UL*Day-28d*Gain-1Hz vs Type-UVN*Day-BL*Gain-1Hz</t>
  </si>
  <si>
    <t>XLSTAT 2014.5.03 - Repeated measures ANOVA - on 19/03/2020 at 00:03:06</t>
  </si>
  <si>
    <t>Y / Quantitative: Workbook = Souris UVN-ULv8.xlsx / Sheet = Gains / Range = Gains!$BV$1:$BV$121 / 120 rows and 1 column</t>
  </si>
  <si>
    <t>X / Qualitative: Workbook = Souris UVN-ULv8.xlsx / Sheet = Gains / Range = Gains!$BL$1:$BO$121 / 120 rows and 4 columns</t>
  </si>
  <si>
    <t>Side-Contra*Type-UL*Day-BL vs Side-Contra*Type-UVN*Day-BL</t>
  </si>
  <si>
    <t>Side-Contra*Type-UL*Day-1d vs Side-Ipsi*Type-UL*Day-28d</t>
  </si>
  <si>
    <t>Side-Contra*Type-UL*Day-1d vs Side-Ipsi*Type-UL*Day-7d</t>
  </si>
  <si>
    <t>Side-Contra*Type-UL*Day-1d vs Side-Ipsi*Type-UVN*Day-7d</t>
  </si>
  <si>
    <t>Side-Contra*Type-UL*Day-1d vs Side-Ipsi*Type-UVN*Day-4d</t>
  </si>
  <si>
    <t>Side-Contra*Type-UL*Day-1d vs Side-Contra*Type-UVN*Day-4d</t>
  </si>
  <si>
    <t>Side-Contra*Type-UL*Day-1d vs Side-Ipsi*Type-UVN*Day-28d</t>
  </si>
  <si>
    <t>Side-Contra*Type-UL*Day-1d vs Side-Contra*Type-UVN*Day-1d</t>
  </si>
  <si>
    <t>Side-Contra*Type-UVN*Day-28d vs Side-Contra*Type-UL*Day-28d</t>
  </si>
  <si>
    <t>Side-Contra*Type-UVN*Day-1d vs Side-Ipsi*Type-UVN*Day-7d</t>
  </si>
  <si>
    <t>Side-Contra*Type-UVN*Day-1d vs Side-Ipsi*Type-UVN*Day-4d</t>
  </si>
  <si>
    <t>Side-Contra*Type-UVN*Day-1d vs Side-Contra*Type-UVN*Day-4d</t>
  </si>
  <si>
    <t>Side-Contra*Type-UVN*Day-1d vs Side-Ipsi*Type-UVN*Day-28d</t>
  </si>
  <si>
    <t>Side-Contra*Type-UL*Day-7d vs Side-Ipsi*Type-UVN*Day-28d</t>
  </si>
  <si>
    <t>Side-Ipsi*Type-UVN*Day-1d vs Side-Ipsi*Type-UVN*Day-7d</t>
  </si>
  <si>
    <t>Side-Ipsi*Type-UVN*Day-1d vs Side-Ipsi*Type-UVN*Day-4d</t>
  </si>
  <si>
    <t>Side-Ipsi*Type-UVN*Day-1d vs Side-Contra*Type-UVN*Day-4d</t>
  </si>
  <si>
    <t>Side-Ipsi*Type-UVN*Day-1d vs Side-Ipsi*Type-UVN*Day-28d</t>
  </si>
  <si>
    <t>Side-Contra*Type-UL*Day-4d vs Side-Ipsi*Type-UL*Day-28d</t>
  </si>
  <si>
    <t>Side-Ipsi*Type-UVN*Day-4d vs Side-Ipsi*Type-UVN*Day-7d</t>
  </si>
  <si>
    <t>Side-Ipsi*Type-UL*Day-7d vs Side-Ipsi*Type-UL*Day-28d</t>
  </si>
  <si>
    <t>Side-Ipsi*Type-UL*Day-1d vs Side-Ipsi*Type-UL*Day-4d</t>
  </si>
  <si>
    <t>Sample 1: Workbook = Souris UVN-ULv8.xlsx / Sheet = Behaviour / Range = Behaviour!$CF:$CF / 6 rows and 1 column</t>
  </si>
  <si>
    <t>Sample 2: Workbook = Souris UVN-ULv8.xlsx / Sheet = Behaviour / Range = Behaviour!$CG:$CG / 6 rows and 1 column</t>
  </si>
  <si>
    <t>Hypothesized difference (D): 0</t>
  </si>
  <si>
    <t>Significance level (%): 5</t>
  </si>
  <si>
    <t>p-value: Asymptotic p-value</t>
  </si>
  <si>
    <t>Continuity correction: Yes</t>
  </si>
  <si>
    <t>Mann-Whitney test / Two-tailed test:</t>
  </si>
  <si>
    <t>U</t>
  </si>
  <si>
    <t>Expected value</t>
  </si>
  <si>
    <t>Variance (U)</t>
  </si>
  <si>
    <t>p-value (Two-tailed)</t>
  </si>
  <si>
    <t>alpha</t>
  </si>
  <si>
    <t>An approximation has been used to compute the p-value.</t>
  </si>
  <si>
    <t>Test interpretation:</t>
  </si>
  <si>
    <t>H0: The difference of location between the samples is equal to 0.</t>
  </si>
  <si>
    <t>Ha: The difference of location between the samples is different from 0.</t>
  </si>
  <si>
    <t>As the computed p-value is greater than the significance level alpha=0,05, one cannot reject the null hypothesis H0.</t>
  </si>
  <si>
    <t>The risk to reject the null hypothesis H0 while it is true is 19,86%.</t>
  </si>
  <si>
    <t>Ties have been detected in the data and the appropriate corrections have been applied.</t>
  </si>
  <si>
    <t>XLSTAT 2014.5.03 - Comparison of two samples (Wilcoxon, Mann-Whitney, ...) - on 22/03/2020 at 23:27:51</t>
  </si>
  <si>
    <t>XLSTAT 2014.5.03 - Tests for two proportions - on 22/03/2020 at 23:29:12</t>
  </si>
  <si>
    <t>Frequency 1: 6</t>
  </si>
  <si>
    <t>Sample size 1: 7</t>
  </si>
  <si>
    <t>Frequency 2: 6</t>
  </si>
  <si>
    <t>Sample size 2: 10</t>
  </si>
  <si>
    <t>Variance: p1q1/n1+p2q2/n2</t>
  </si>
  <si>
    <t>z-test for two proportions / Two-tailed test:</t>
  </si>
  <si>
    <t>95% confidence interval on the difference between the proportions:</t>
  </si>
  <si>
    <t>z (Observed value)</t>
  </si>
  <si>
    <t>z (Critical value)</t>
  </si>
  <si>
    <t>H0: The difference between the proportions is equal to 0.</t>
  </si>
  <si>
    <t>Ha: The difference between the proportions is different from 0.</t>
  </si>
  <si>
    <t>The risk to reject the null hypothesis H0 while it is true is 25,21%.</t>
  </si>
  <si>
    <t>XLSTAT 2014.5.03 - Repeated measures ANOVA - on 26/03/2020 at 12:01:11</t>
  </si>
  <si>
    <t>Y / Quantitative: Workbook = Souris UVN-ULv9.xlsx / Sheet = Gains / Range = Gains!$BV$1:$BV$121 / 120 rows and 1 column</t>
  </si>
  <si>
    <t>X / Qualitative: Workbook = Souris UVN-ULv9.xlsx / Sheet = Gains / Range = Gains!$BL$1:$BO$121 / 120 rows and 4 columns</t>
  </si>
  <si>
    <t>Regression of variable Tau:</t>
  </si>
  <si>
    <t>Side-Contra*Type-UL*Day-BL vs Side-Ipsi*Type-UVN*Day-BL</t>
  </si>
  <si>
    <t>Side-Contra*Type-UVN*Day-BL vs Side-Ipsi*Type-UVN*Day-BL</t>
  </si>
  <si>
    <t>Side-Contra*Type-UVN*Day-BL vs Side-Ipsi*Type-UL*Day-BL</t>
  </si>
  <si>
    <t>Side-Ipsi*Type-UL*Day-BL vs Side-Ipsi*Type-UVN*Day-BL</t>
  </si>
  <si>
    <t>Side-Contra*Type-UL*Day-28d vs Side-Contra*Type-UVN*Day-1d</t>
  </si>
  <si>
    <t>Side-Contra*Type-UL*Day-28d vs Side-Contra*Type-UL*Day-1d</t>
  </si>
  <si>
    <t>Side-Contra*Type-UVN*Day-7d vs Side-Contra*Type-UVN*Day-1d</t>
  </si>
  <si>
    <t>Side-Contra*Type-UVN*Day-7d vs Side-Ipsi*Type-UVN*Day-1d</t>
  </si>
  <si>
    <t>Side-Contra*Type-UVN*Day-7d vs Side-Contra*Type-UL*Day-1d</t>
  </si>
  <si>
    <t>Side-Contra*Type-UVN*Day-7d vs Side-Contra*Type-UVN*Day-4d</t>
  </si>
  <si>
    <t>Side-Contra*Type-UVN*Day-7d vs Side-Ipsi*Type-UVN*Day-4d</t>
  </si>
  <si>
    <t>Side-Contra*Type-UVN*Day-7d vs Side-Ipsi*Type-UVN*Day-28d</t>
  </si>
  <si>
    <t>Side-Contra*Type-UVN*Day-7d vs Side-Contra*Type-UL*Day-4d</t>
  </si>
  <si>
    <t>Side-Contra*Type-UVN*Day-7d vs Side-Contra*Type-UL*Day-7d</t>
  </si>
  <si>
    <t>Side-Contra*Type-UVN*Day-28d vs Side-Contra*Type-UL*Day-1d</t>
  </si>
  <si>
    <t>Side-Contra*Type-UL*Day-7d vs Side-Contra*Type-UVN*Day-1d</t>
  </si>
  <si>
    <t>Side-Contra*Type-UL*Day-7d vs Side-Contra*Type-UL*Day-1d</t>
  </si>
  <si>
    <t>Side-Ipsi*Type-UL*Day-28d vs Side-Contra*Type-UVN*Day-1d</t>
  </si>
  <si>
    <t>Side-Ipsi*Type-UL*Day-28d vs Side-Ipsi*Type-UVN*Day-1d</t>
  </si>
  <si>
    <t>Side-Ipsi*Type-UL*Day-28d vs Side-Contra*Type-UVN*Day-4d</t>
  </si>
  <si>
    <t>Side-Ipsi*Type-UL*Day-28d vs Side-Ipsi*Type-UVN*Day-4d</t>
  </si>
  <si>
    <t>Side-Ipsi*Type-UL*Day-28d vs Side-Ipsi*Type-UVN*Day-28d</t>
  </si>
  <si>
    <t>Side-Ipsi*Type-UL*Day-28d vs Side-Ipsi*Type-UVN*Day-7d</t>
  </si>
  <si>
    <t>Side-Contra*Type-UL*Day-4d vs Side-Contra*Type-UVN*Day-1d</t>
  </si>
  <si>
    <t>Side-Contra*Type-UL*Day-4d vs Side-Ipsi*Type-UVN*Day-1d</t>
  </si>
  <si>
    <t>Side-Contra*Type-UL*Day-4d vs Side-Contra*Type-UL*Day-1d</t>
  </si>
  <si>
    <t>Side-Contra*Type-UL*Day-4d vs Side-Contra*Type-UVN*Day-4d</t>
  </si>
  <si>
    <t>Side-Contra*Type-UL*Day-4d vs Side-Ipsi*Type-UVN*Day-28d</t>
  </si>
  <si>
    <t>Side-Ipsi*Type-UVN*Day-7d vs Side-Contra*Type-UVN*Day-4d</t>
  </si>
  <si>
    <t>Side-Ipsi*Type-UVN*Day-4d vs Side-Contra*Type-UVN*Day-4d</t>
  </si>
  <si>
    <t>Side-Ipsi*Type-UL*Day-4d vs Side-Contra*Type-UVN*Day-1d</t>
  </si>
  <si>
    <t>Side-Ipsi*Type-UL*Day-4d vs Side-Ipsi*Type-UVN*Day-1d</t>
  </si>
  <si>
    <t>Side-Ipsi*Type-UL*Day-4d vs Side-Ipsi*Type-UL*Day-7d</t>
  </si>
  <si>
    <t>Side-Ipsi*Type-UL*Day-7d vs Side-Contra*Type-UVN*Day-1d</t>
  </si>
  <si>
    <t>Side-Ipsi*Type-UL*Day-7d vs Side-Ipsi*Type-UVN*Day-1d</t>
  </si>
  <si>
    <t>Side-Ipsi*Type-UL*Day-1d vs Side-Contra*Type-UVN*Day-1d</t>
  </si>
  <si>
    <t>Side-Ipsi*Type-UL*Day-1d vs Side-Ipsi*Type-UVN*Day-1d</t>
  </si>
  <si>
    <t>SD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</si>
</sst>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0.000"/>
    <numFmt numFmtId="166" formatCode="&quot;( &quot;0.000&quot;;&quot;;&quot;( &quot;\-0.000&quot; ;&quot;"/>
    <numFmt numFmtId="167" formatCode="0.000&quot; )&quot;;\-0.000&quot; )&quot;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rgb="FF00B400"/>
      <name val="Calibri"/>
      <family val="2"/>
      <scheme val="minor"/>
    </font>
    <font>
      <sz val="11"/>
      <color rgb="FF0000FF"/>
      <name val="Calibri"/>
      <family val="2"/>
      <scheme val="minor"/>
    </font>
    <font>
      <b/>
      <sz val="11"/>
      <color rgb="FF00B400"/>
      <name val="Calibri"/>
      <family val="2"/>
      <scheme val="minor"/>
    </font>
    <font>
      <b/>
      <sz val="11"/>
      <color rgb="FF0000FF"/>
      <name val="Calibri"/>
      <family val="2"/>
      <scheme val="minor"/>
    </font>
  </fonts>
  <fills count="1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B3B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7">
    <xf numFmtId="0" fontId="0" fillId="0" borderId="0" xfId="0"/>
    <xf numFmtId="0" fontId="0" fillId="0" borderId="0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0" xfId="0" applyNumberFormat="1" applyBorder="1" applyAlignment="1">
      <alignment horizontal="center" vertical="center" wrapText="1"/>
    </xf>
    <xf numFmtId="14" fontId="0" fillId="0" borderId="0" xfId="0" applyNumberFormat="1" applyBorder="1" applyAlignment="1">
      <alignment horizontal="center" vertical="center" wrapText="1"/>
    </xf>
    <xf numFmtId="0" fontId="0" fillId="0" borderId="0" xfId="0" applyNumberForma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4" fillId="3" borderId="0" xfId="0" applyFont="1" applyFill="1" applyBorder="1" applyAlignment="1">
      <alignment horizontal="center" vertical="center" wrapText="1"/>
    </xf>
    <xf numFmtId="0" fontId="0" fillId="3" borderId="0" xfId="0" applyFill="1" applyBorder="1" applyAlignment="1">
      <alignment horizontal="center" vertical="center" wrapText="1"/>
    </xf>
    <xf numFmtId="0" fontId="0" fillId="3" borderId="0" xfId="0" applyNumberFormat="1" applyFill="1" applyBorder="1" applyAlignment="1">
      <alignment horizontal="center" vertical="center" wrapText="1"/>
    </xf>
    <xf numFmtId="0" fontId="0" fillId="0" borderId="0" xfId="0" quotePrefix="1" applyFill="1" applyBorder="1" applyAlignment="1">
      <alignment horizontal="center" vertical="center" wrapText="1"/>
    </xf>
    <xf numFmtId="0" fontId="0" fillId="4" borderId="0" xfId="0" applyFill="1" applyBorder="1" applyAlignment="1">
      <alignment horizontal="center" vertical="center" wrapText="1"/>
    </xf>
    <xf numFmtId="0" fontId="0" fillId="4" borderId="0" xfId="0" applyNumberForma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14" fontId="0" fillId="3" borderId="0" xfId="0" applyNumberFormat="1" applyFill="1" applyBorder="1" applyAlignment="1">
      <alignment horizontal="center" vertical="center" wrapText="1"/>
    </xf>
    <xf numFmtId="0" fontId="0" fillId="0" borderId="1" xfId="0" quotePrefix="1" applyFill="1" applyBorder="1" applyAlignment="1">
      <alignment horizontal="center" vertical="center" wrapText="1"/>
    </xf>
    <xf numFmtId="0" fontId="0" fillId="0" borderId="6" xfId="0" applyNumberForma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14" fontId="0" fillId="0" borderId="7" xfId="0" applyNumberForma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0" fillId="0" borderId="7" xfId="0" quotePrefix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0" fillId="0" borderId="10" xfId="0" applyFill="1" applyBorder="1" applyAlignment="1">
      <alignment horizontal="center" vertical="center" wrapText="1"/>
    </xf>
    <xf numFmtId="14" fontId="0" fillId="0" borderId="6" xfId="0" applyNumberFormat="1" applyBorder="1" applyAlignment="1">
      <alignment horizontal="center" vertical="center" wrapText="1"/>
    </xf>
    <xf numFmtId="0" fontId="0" fillId="3" borderId="6" xfId="0" applyFill="1" applyBorder="1" applyAlignment="1">
      <alignment horizontal="center" vertical="center" wrapText="1"/>
    </xf>
    <xf numFmtId="0" fontId="0" fillId="3" borderId="7" xfId="0" applyNumberFormat="1" applyFill="1" applyBorder="1" applyAlignment="1">
      <alignment horizontal="center" vertical="center" wrapText="1"/>
    </xf>
    <xf numFmtId="0" fontId="0" fillId="4" borderId="6" xfId="0" applyFill="1" applyBorder="1" applyAlignment="1">
      <alignment horizontal="center" vertical="center" wrapText="1"/>
    </xf>
    <xf numFmtId="0" fontId="0" fillId="4" borderId="7" xfId="0" applyNumberFormat="1" applyFill="1" applyBorder="1" applyAlignment="1">
      <alignment horizontal="center" vertical="center" wrapText="1"/>
    </xf>
    <xf numFmtId="0" fontId="0" fillId="4" borderId="8" xfId="0" applyFill="1" applyBorder="1" applyAlignment="1">
      <alignment horizontal="center" vertical="center" wrapText="1"/>
    </xf>
    <xf numFmtId="0" fontId="0" fillId="4" borderId="9" xfId="0" applyFill="1" applyBorder="1" applyAlignment="1">
      <alignment horizontal="center" vertical="center" wrapText="1"/>
    </xf>
    <xf numFmtId="0" fontId="0" fillId="4" borderId="9" xfId="0" applyNumberFormat="1" applyFill="1" applyBorder="1" applyAlignment="1">
      <alignment horizontal="center" vertical="center" wrapText="1"/>
    </xf>
    <xf numFmtId="0" fontId="0" fillId="4" borderId="10" xfId="0" applyNumberFormat="1" applyFill="1" applyBorder="1" applyAlignment="1">
      <alignment horizontal="center" vertical="center" wrapText="1"/>
    </xf>
    <xf numFmtId="0" fontId="0" fillId="4" borderId="3" xfId="0" applyFill="1" applyBorder="1" applyAlignment="1">
      <alignment horizontal="center" vertical="center" wrapText="1"/>
    </xf>
    <xf numFmtId="0" fontId="0" fillId="4" borderId="4" xfId="0" applyFill="1" applyBorder="1" applyAlignment="1">
      <alignment horizontal="center" vertical="center" wrapText="1"/>
    </xf>
    <xf numFmtId="0" fontId="0" fillId="4" borderId="4" xfId="0" applyNumberFormat="1" applyFill="1" applyBorder="1" applyAlignment="1">
      <alignment horizontal="center" vertical="center" wrapText="1"/>
    </xf>
    <xf numFmtId="0" fontId="0" fillId="4" borderId="5" xfId="0" applyNumberForma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4" xfId="0" applyNumberForma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3" xfId="0" applyNumberFormat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11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5" borderId="8" xfId="0" applyFill="1" applyBorder="1" applyAlignment="1">
      <alignment horizontal="center" vertical="center" wrapText="1"/>
    </xf>
    <xf numFmtId="0" fontId="0" fillId="5" borderId="9" xfId="0" applyFill="1" applyBorder="1" applyAlignment="1">
      <alignment horizontal="center" vertical="center" wrapText="1"/>
    </xf>
    <xf numFmtId="0" fontId="0" fillId="5" borderId="12" xfId="0" applyFill="1" applyBorder="1" applyAlignment="1">
      <alignment horizontal="center" vertical="center" wrapText="1"/>
    </xf>
    <xf numFmtId="0" fontId="0" fillId="5" borderId="10" xfId="0" applyFill="1" applyBorder="1" applyAlignment="1">
      <alignment horizontal="center" vertical="center" wrapText="1"/>
    </xf>
    <xf numFmtId="0" fontId="0" fillId="6" borderId="8" xfId="0" applyFill="1" applyBorder="1" applyAlignment="1">
      <alignment horizontal="center" vertical="center" wrapText="1"/>
    </xf>
    <xf numFmtId="0" fontId="0" fillId="6" borderId="9" xfId="0" applyFill="1" applyBorder="1" applyAlignment="1">
      <alignment horizontal="center" vertical="center" wrapText="1"/>
    </xf>
    <xf numFmtId="0" fontId="0" fillId="6" borderId="12" xfId="0" applyFill="1" applyBorder="1" applyAlignment="1">
      <alignment horizontal="center" vertical="center" wrapText="1"/>
    </xf>
    <xf numFmtId="0" fontId="0" fillId="6" borderId="10" xfId="0" applyFill="1" applyBorder="1" applyAlignment="1">
      <alignment horizontal="center" vertical="center" wrapText="1"/>
    </xf>
    <xf numFmtId="0" fontId="0" fillId="7" borderId="8" xfId="0" applyFill="1" applyBorder="1" applyAlignment="1">
      <alignment horizontal="center" vertical="center" wrapText="1"/>
    </xf>
    <xf numFmtId="0" fontId="0" fillId="7" borderId="9" xfId="0" applyFill="1" applyBorder="1" applyAlignment="1">
      <alignment horizontal="center" vertical="center" wrapText="1"/>
    </xf>
    <xf numFmtId="0" fontId="0" fillId="7" borderId="9" xfId="0" applyNumberFormat="1" applyFill="1" applyBorder="1" applyAlignment="1">
      <alignment horizontal="center" vertical="center" wrapText="1"/>
    </xf>
    <xf numFmtId="0" fontId="0" fillId="7" borderId="10" xfId="0" applyFill="1" applyBorder="1" applyAlignment="1">
      <alignment horizontal="center" vertical="center" wrapText="1"/>
    </xf>
    <xf numFmtId="0" fontId="0" fillId="7" borderId="8" xfId="0" applyNumberFormat="1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 wrapText="1"/>
    </xf>
    <xf numFmtId="0" fontId="0" fillId="2" borderId="9" xfId="0" applyFill="1" applyBorder="1" applyAlignment="1">
      <alignment horizontal="center" vertical="center" wrapText="1"/>
    </xf>
    <xf numFmtId="0" fontId="0" fillId="2" borderId="9" xfId="0" applyNumberFormat="1" applyFill="1" applyBorder="1" applyAlignment="1">
      <alignment horizontal="center" vertical="center" wrapText="1"/>
    </xf>
    <xf numFmtId="0" fontId="0" fillId="2" borderId="10" xfId="0" applyNumberFormat="1" applyFill="1" applyBorder="1" applyAlignment="1">
      <alignment horizontal="center" vertical="center" wrapText="1"/>
    </xf>
    <xf numFmtId="0" fontId="3" fillId="0" borderId="0" xfId="0" quotePrefix="1" applyFont="1" applyFill="1" applyBorder="1" applyAlignment="1">
      <alignment vertical="center" wrapText="1"/>
    </xf>
    <xf numFmtId="0" fontId="3" fillId="3" borderId="0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vertical="center" wrapText="1"/>
    </xf>
    <xf numFmtId="0" fontId="3" fillId="3" borderId="4" xfId="0" quotePrefix="1" applyFont="1" applyFill="1" applyBorder="1" applyAlignment="1">
      <alignment vertical="center" wrapText="1"/>
    </xf>
    <xf numFmtId="0" fontId="3" fillId="3" borderId="5" xfId="0" quotePrefix="1" applyFont="1" applyFill="1" applyBorder="1" applyAlignment="1">
      <alignment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vertical="center" wrapText="1"/>
    </xf>
    <xf numFmtId="0" fontId="3" fillId="4" borderId="4" xfId="0" quotePrefix="1" applyFont="1" applyFill="1" applyBorder="1" applyAlignment="1">
      <alignment vertical="center" wrapText="1"/>
    </xf>
    <xf numFmtId="0" fontId="3" fillId="4" borderId="5" xfId="0" quotePrefix="1" applyFont="1" applyFill="1" applyBorder="1" applyAlignment="1">
      <alignment vertical="center" wrapText="1"/>
    </xf>
    <xf numFmtId="0" fontId="3" fillId="4" borderId="0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left" vertical="center"/>
    </xf>
    <xf numFmtId="0" fontId="2" fillId="0" borderId="7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3" fillId="5" borderId="13" xfId="0" applyFont="1" applyFill="1" applyBorder="1" applyAlignment="1">
      <alignment horizontal="center" vertical="center" wrapText="1"/>
    </xf>
    <xf numFmtId="0" fontId="3" fillId="5" borderId="15" xfId="0" quotePrefix="1" applyFont="1" applyFill="1" applyBorder="1" applyAlignment="1">
      <alignment horizontal="center" vertical="center" wrapText="1"/>
    </xf>
    <xf numFmtId="0" fontId="3" fillId="5" borderId="2" xfId="0" applyFont="1" applyFill="1" applyBorder="1" applyAlignment="1">
      <alignment horizontal="center" vertical="center" wrapText="1"/>
    </xf>
    <xf numFmtId="0" fontId="3" fillId="5" borderId="16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3" fillId="5" borderId="17" xfId="0" applyFont="1" applyFill="1" applyBorder="1" applyAlignment="1">
      <alignment horizontal="center" vertical="center"/>
    </xf>
    <xf numFmtId="0" fontId="2" fillId="5" borderId="16" xfId="0" applyFont="1" applyFill="1" applyBorder="1" applyAlignment="1">
      <alignment horizontal="center" vertical="center" wrapText="1"/>
    </xf>
    <xf numFmtId="14" fontId="0" fillId="0" borderId="3" xfId="0" applyNumberFormat="1" applyBorder="1" applyAlignment="1">
      <alignment horizontal="center" vertical="center" wrapText="1"/>
    </xf>
    <xf numFmtId="0" fontId="1" fillId="0" borderId="0" xfId="0" applyFont="1"/>
    <xf numFmtId="14" fontId="0" fillId="4" borderId="4" xfId="0" applyNumberFormat="1" applyFill="1" applyBorder="1" applyAlignment="1">
      <alignment horizontal="center" vertical="center" wrapText="1"/>
    </xf>
    <xf numFmtId="14" fontId="0" fillId="4" borderId="0" xfId="0" applyNumberForma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/>
    </xf>
    <xf numFmtId="0" fontId="3" fillId="4" borderId="6" xfId="0" applyFont="1" applyFill="1" applyBorder="1" applyAlignment="1">
      <alignment horizontal="center" vertical="center"/>
    </xf>
    <xf numFmtId="164" fontId="2" fillId="0" borderId="0" xfId="0" applyNumberFormat="1" applyFont="1" applyFill="1" applyBorder="1" applyAlignment="1">
      <alignment horizontal="center" vertical="center" wrapText="1"/>
    </xf>
    <xf numFmtId="164" fontId="2" fillId="0" borderId="0" xfId="0" applyNumberFormat="1" applyFont="1" applyFill="1" applyBorder="1" applyAlignment="1">
      <alignment vertical="center" wrapText="1"/>
    </xf>
    <xf numFmtId="164" fontId="2" fillId="0" borderId="9" xfId="0" applyNumberFormat="1" applyFont="1" applyFill="1" applyBorder="1" applyAlignment="1">
      <alignment horizontal="center" vertical="center" wrapText="1"/>
    </xf>
    <xf numFmtId="164" fontId="2" fillId="0" borderId="9" xfId="0" applyNumberFormat="1" applyFont="1" applyFill="1" applyBorder="1" applyAlignment="1">
      <alignment vertical="center" wrapText="1"/>
    </xf>
    <xf numFmtId="164" fontId="2" fillId="0" borderId="7" xfId="0" applyNumberFormat="1" applyFont="1" applyFill="1" applyBorder="1" applyAlignment="1">
      <alignment vertical="center" wrapText="1"/>
    </xf>
    <xf numFmtId="164" fontId="2" fillId="0" borderId="10" xfId="0" applyNumberFormat="1" applyFont="1" applyFill="1" applyBorder="1" applyAlignment="1">
      <alignment vertical="center" wrapText="1"/>
    </xf>
    <xf numFmtId="0" fontId="2" fillId="4" borderId="0" xfId="0" applyFont="1" applyFill="1" applyBorder="1" applyAlignment="1">
      <alignment horizontal="center" vertical="center" wrapText="1"/>
    </xf>
    <xf numFmtId="0" fontId="2" fillId="4" borderId="7" xfId="0" applyFont="1" applyFill="1" applyBorder="1" applyAlignment="1">
      <alignment horizontal="center" vertical="center" wrapText="1"/>
    </xf>
    <xf numFmtId="164" fontId="2" fillId="3" borderId="0" xfId="0" applyNumberFormat="1" applyFont="1" applyFill="1" applyBorder="1" applyAlignment="1">
      <alignment horizontal="center" vertical="center" wrapText="1"/>
    </xf>
    <xf numFmtId="164" fontId="2" fillId="3" borderId="7" xfId="0" applyNumberFormat="1" applyFont="1" applyFill="1" applyBorder="1" applyAlignment="1">
      <alignment horizontal="center" vertical="center" wrapText="1"/>
    </xf>
    <xf numFmtId="0" fontId="1" fillId="6" borderId="18" xfId="0" applyFont="1" applyFill="1" applyBorder="1" applyAlignment="1">
      <alignment horizontal="center" vertical="center" wrapText="1"/>
    </xf>
    <xf numFmtId="0" fontId="1" fillId="6" borderId="20" xfId="0" applyFont="1" applyFill="1" applyBorder="1" applyAlignment="1">
      <alignment horizontal="center" vertical="center" wrapText="1"/>
    </xf>
    <xf numFmtId="0" fontId="1" fillId="6" borderId="21" xfId="0" applyFont="1" applyFill="1" applyBorder="1" applyAlignment="1">
      <alignment horizontal="center" vertical="center" wrapText="1"/>
    </xf>
    <xf numFmtId="2" fontId="4" fillId="0" borderId="22" xfId="0" applyNumberFormat="1" applyFont="1" applyBorder="1" applyAlignment="1">
      <alignment horizontal="center" vertical="center" wrapText="1"/>
    </xf>
    <xf numFmtId="2" fontId="6" fillId="8" borderId="4" xfId="0" applyNumberFormat="1" applyFont="1" applyFill="1" applyBorder="1" applyAlignment="1">
      <alignment horizontal="center" vertical="center" wrapText="1"/>
    </xf>
    <xf numFmtId="2" fontId="6" fillId="8" borderId="23" xfId="0" applyNumberFormat="1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2" fontId="4" fillId="0" borderId="0" xfId="0" applyNumberFormat="1" applyFont="1" applyAlignment="1">
      <alignment horizontal="center" vertical="center" wrapText="1"/>
    </xf>
    <xf numFmtId="0" fontId="4" fillId="0" borderId="0" xfId="0" applyFont="1"/>
    <xf numFmtId="2" fontId="4" fillId="0" borderId="0" xfId="0" applyNumberFormat="1" applyFont="1"/>
    <xf numFmtId="0" fontId="4" fillId="4" borderId="0" xfId="0" applyFont="1" applyFill="1" applyBorder="1" applyAlignment="1">
      <alignment horizontal="center" vertical="center" wrapText="1"/>
    </xf>
    <xf numFmtId="164" fontId="0" fillId="0" borderId="0" xfId="0" applyNumberFormat="1" applyBorder="1" applyAlignment="1">
      <alignment horizontal="center" vertical="center" wrapText="1"/>
    </xf>
    <xf numFmtId="164" fontId="0" fillId="0" borderId="4" xfId="0" applyNumberFormat="1" applyBorder="1" applyAlignment="1">
      <alignment horizontal="center" vertical="center" wrapText="1"/>
    </xf>
    <xf numFmtId="14" fontId="0" fillId="4" borderId="9" xfId="0" applyNumberFormat="1" applyFill="1" applyBorder="1" applyAlignment="1">
      <alignment horizontal="center" vertical="center" wrapText="1"/>
    </xf>
    <xf numFmtId="14" fontId="0" fillId="0" borderId="8" xfId="0" applyNumberFormat="1" applyBorder="1" applyAlignment="1">
      <alignment horizontal="center" vertical="center" wrapText="1"/>
    </xf>
    <xf numFmtId="164" fontId="0" fillId="0" borderId="9" xfId="0" applyNumberFormat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9" xfId="0" applyNumberForma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8" xfId="0" applyNumberFormat="1" applyBorder="1" applyAlignment="1">
      <alignment horizontal="center" vertical="center" wrapText="1"/>
    </xf>
    <xf numFmtId="0" fontId="0" fillId="0" borderId="8" xfId="0" applyFill="1" applyBorder="1" applyAlignment="1">
      <alignment horizontal="center" vertical="center" wrapText="1"/>
    </xf>
    <xf numFmtId="0" fontId="0" fillId="0" borderId="9" xfId="0" applyFill="1" applyBorder="1" applyAlignment="1">
      <alignment horizontal="center" vertical="center" wrapText="1"/>
    </xf>
    <xf numFmtId="0" fontId="0" fillId="0" borderId="12" xfId="0" applyFill="1" applyBorder="1" applyAlignment="1">
      <alignment horizontal="center" vertical="center" wrapText="1"/>
    </xf>
    <xf numFmtId="2" fontId="6" fillId="9" borderId="4" xfId="0" applyNumberFormat="1" applyFont="1" applyFill="1" applyBorder="1" applyAlignment="1">
      <alignment horizontal="center" vertical="center" wrapText="1"/>
    </xf>
    <xf numFmtId="2" fontId="6" fillId="9" borderId="23" xfId="0" applyNumberFormat="1" applyFont="1" applyFill="1" applyBorder="1" applyAlignment="1">
      <alignment horizontal="center" vertical="center" wrapText="1"/>
    </xf>
    <xf numFmtId="2" fontId="6" fillId="9" borderId="5" xfId="0" applyNumberFormat="1" applyFont="1" applyFill="1" applyBorder="1" applyAlignment="1">
      <alignment horizontal="center" vertical="center" wrapText="1"/>
    </xf>
    <xf numFmtId="2" fontId="6" fillId="8" borderId="5" xfId="0" applyNumberFormat="1" applyFont="1" applyFill="1" applyBorder="1" applyAlignment="1">
      <alignment horizontal="center" vertical="center" wrapText="1"/>
    </xf>
    <xf numFmtId="0" fontId="4" fillId="0" borderId="0" xfId="0" applyNumberFormat="1" applyFont="1"/>
    <xf numFmtId="0" fontId="4" fillId="0" borderId="0" xfId="0" applyFont="1" applyAlignment="1">
      <alignment horizontal="right" vertical="center"/>
    </xf>
    <xf numFmtId="0" fontId="4" fillId="0" borderId="6" xfId="0" applyFont="1" applyBorder="1" applyAlignment="1">
      <alignment horizontal="right" vertical="center"/>
    </xf>
    <xf numFmtId="0" fontId="4" fillId="0" borderId="7" xfId="0" applyFont="1" applyBorder="1" applyAlignment="1">
      <alignment horizontal="right" vertical="center"/>
    </xf>
    <xf numFmtId="2" fontId="4" fillId="0" borderId="6" xfId="0" applyNumberFormat="1" applyFont="1" applyBorder="1" applyAlignment="1">
      <alignment horizontal="center" vertical="center" wrapText="1"/>
    </xf>
    <xf numFmtId="0" fontId="1" fillId="11" borderId="19" xfId="0" applyFont="1" applyFill="1" applyBorder="1" applyAlignment="1">
      <alignment horizontal="center" vertical="center" wrapText="1"/>
    </xf>
    <xf numFmtId="2" fontId="4" fillId="11" borderId="22" xfId="0" applyNumberFormat="1" applyFont="1" applyFill="1" applyBorder="1" applyAlignment="1">
      <alignment horizontal="center" vertical="center" wrapText="1"/>
    </xf>
    <xf numFmtId="2" fontId="6" fillId="11" borderId="22" xfId="0" applyNumberFormat="1" applyFont="1" applyFill="1" applyBorder="1" applyAlignment="1">
      <alignment horizontal="center" vertical="center" wrapText="1"/>
    </xf>
    <xf numFmtId="0" fontId="1" fillId="11" borderId="22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right" vertical="center"/>
    </xf>
    <xf numFmtId="0" fontId="1" fillId="6" borderId="25" xfId="0" applyFont="1" applyFill="1" applyBorder="1" applyAlignment="1">
      <alignment horizontal="center" vertical="center" wrapText="1"/>
    </xf>
    <xf numFmtId="0" fontId="1" fillId="6" borderId="26" xfId="0" applyFont="1" applyFill="1" applyBorder="1" applyAlignment="1">
      <alignment horizontal="center" vertical="center" wrapText="1"/>
    </xf>
    <xf numFmtId="0" fontId="1" fillId="6" borderId="27" xfId="0" applyFont="1" applyFill="1" applyBorder="1" applyAlignment="1">
      <alignment horizontal="center" vertical="center" wrapText="1"/>
    </xf>
    <xf numFmtId="0" fontId="1" fillId="6" borderId="28" xfId="0" applyFont="1" applyFill="1" applyBorder="1" applyAlignment="1">
      <alignment horizontal="center" vertical="center" wrapText="1"/>
    </xf>
    <xf numFmtId="2" fontId="6" fillId="9" borderId="3" xfId="0" applyNumberFormat="1" applyFont="1" applyFill="1" applyBorder="1" applyAlignment="1">
      <alignment horizontal="center" vertical="center" wrapText="1"/>
    </xf>
    <xf numFmtId="2" fontId="6" fillId="8" borderId="3" xfId="0" applyNumberFormat="1" applyFont="1" applyFill="1" applyBorder="1" applyAlignment="1">
      <alignment horizontal="center" vertical="center" wrapText="1"/>
    </xf>
    <xf numFmtId="2" fontId="4" fillId="0" borderId="0" xfId="0" applyNumberFormat="1" applyFont="1" applyBorder="1"/>
    <xf numFmtId="2" fontId="4" fillId="0" borderId="7" xfId="0" applyNumberFormat="1" applyFont="1" applyBorder="1"/>
    <xf numFmtId="0" fontId="1" fillId="6" borderId="24" xfId="0" applyFont="1" applyFill="1" applyBorder="1" applyAlignment="1">
      <alignment horizontal="center" vertical="center" wrapText="1"/>
    </xf>
    <xf numFmtId="0" fontId="1" fillId="6" borderId="29" xfId="0" applyFont="1" applyFill="1" applyBorder="1" applyAlignment="1">
      <alignment horizontal="center" vertical="center" wrapText="1"/>
    </xf>
    <xf numFmtId="0" fontId="1" fillId="6" borderId="15" xfId="0" applyFont="1" applyFill="1" applyBorder="1" applyAlignment="1">
      <alignment horizontal="center" vertical="center" wrapText="1"/>
    </xf>
    <xf numFmtId="2" fontId="4" fillId="0" borderId="0" xfId="0" applyNumberFormat="1" applyFont="1" applyAlignment="1">
      <alignment horizontal="right" vertical="center"/>
    </xf>
    <xf numFmtId="2" fontId="4" fillId="0" borderId="6" xfId="0" applyNumberFormat="1" applyFont="1" applyBorder="1"/>
    <xf numFmtId="0" fontId="4" fillId="0" borderId="0" xfId="0" applyFont="1" applyAlignment="1">
      <alignment horizontal="right"/>
    </xf>
    <xf numFmtId="0" fontId="1" fillId="4" borderId="8" xfId="0" applyFont="1" applyFill="1" applyBorder="1" applyAlignment="1">
      <alignment horizontal="center" vertical="center" wrapText="1"/>
    </xf>
    <xf numFmtId="164" fontId="1" fillId="0" borderId="0" xfId="0" applyNumberFormat="1" applyFont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0" fillId="0" borderId="0" xfId="0" applyAlignment="1"/>
    <xf numFmtId="0" fontId="0" fillId="0" borderId="4" xfId="0" applyFont="1" applyBorder="1" applyAlignment="1">
      <alignment horizontal="center"/>
    </xf>
    <xf numFmtId="49" fontId="0" fillId="0" borderId="4" xfId="0" applyNumberFormat="1" applyFont="1" applyBorder="1" applyAlignment="1">
      <alignment horizontal="center"/>
    </xf>
    <xf numFmtId="0" fontId="0" fillId="0" borderId="30" xfId="0" applyBorder="1" applyAlignment="1"/>
    <xf numFmtId="0" fontId="0" fillId="0" borderId="23" xfId="0" applyBorder="1" applyAlignment="1"/>
    <xf numFmtId="0" fontId="0" fillId="0" borderId="23" xfId="0" applyNumberFormat="1" applyBorder="1" applyAlignment="1"/>
    <xf numFmtId="165" fontId="0" fillId="0" borderId="23" xfId="0" applyNumberFormat="1" applyBorder="1" applyAlignment="1"/>
    <xf numFmtId="0" fontId="0" fillId="0" borderId="9" xfId="0" applyBorder="1" applyAlignment="1"/>
    <xf numFmtId="165" fontId="0" fillId="0" borderId="30" xfId="0" applyNumberFormat="1" applyBorder="1" applyAlignment="1"/>
    <xf numFmtId="165" fontId="0" fillId="0" borderId="0" xfId="0" applyNumberFormat="1" applyAlignment="1"/>
    <xf numFmtId="165" fontId="0" fillId="0" borderId="9" xfId="0" applyNumberFormat="1" applyBorder="1" applyAlignment="1"/>
    <xf numFmtId="0" fontId="7" fillId="0" borderId="0" xfId="0" applyFont="1" applyAlignment="1"/>
    <xf numFmtId="49" fontId="7" fillId="0" borderId="4" xfId="0" applyNumberFormat="1" applyFont="1" applyBorder="1" applyAlignment="1">
      <alignment horizontal="center"/>
    </xf>
    <xf numFmtId="49" fontId="8" fillId="0" borderId="4" xfId="0" applyNumberFormat="1" applyFont="1" applyBorder="1" applyAlignment="1">
      <alignment horizontal="center"/>
    </xf>
    <xf numFmtId="0" fontId="7" fillId="0" borderId="30" xfId="0" applyFont="1" applyBorder="1" applyAlignment="1"/>
    <xf numFmtId="0" fontId="8" fillId="0" borderId="9" xfId="0" applyFont="1" applyBorder="1" applyAlignment="1"/>
    <xf numFmtId="165" fontId="7" fillId="0" borderId="30" xfId="0" applyNumberFormat="1" applyFont="1" applyBorder="1" applyAlignment="1"/>
    <xf numFmtId="165" fontId="8" fillId="0" borderId="30" xfId="0" applyNumberFormat="1" applyFont="1" applyBorder="1" applyAlignment="1"/>
    <xf numFmtId="165" fontId="7" fillId="0" borderId="0" xfId="0" applyNumberFormat="1" applyFont="1" applyAlignment="1"/>
    <xf numFmtId="165" fontId="8" fillId="0" borderId="0" xfId="0" applyNumberFormat="1" applyFont="1" applyAlignment="1"/>
    <xf numFmtId="165" fontId="8" fillId="0" borderId="9" xfId="0" applyNumberFormat="1" applyFont="1" applyBorder="1" applyAlignment="1"/>
    <xf numFmtId="165" fontId="9" fillId="0" borderId="30" xfId="0" applyNumberFormat="1" applyFont="1" applyBorder="1" applyAlignment="1"/>
    <xf numFmtId="165" fontId="9" fillId="0" borderId="0" xfId="0" applyNumberFormat="1" applyFont="1" applyAlignment="1"/>
    <xf numFmtId="165" fontId="10" fillId="0" borderId="9" xfId="0" applyNumberFormat="1" applyFont="1" applyBorder="1" applyAlignment="1"/>
    <xf numFmtId="0" fontId="0" fillId="0" borderId="4" xfId="0" applyBorder="1" applyAlignment="1"/>
    <xf numFmtId="0" fontId="0" fillId="0" borderId="4" xfId="0" applyNumberFormat="1" applyBorder="1" applyAlignment="1"/>
    <xf numFmtId="0" fontId="0" fillId="0" borderId="0" xfId="0" applyNumberFormat="1" applyAlignment="1"/>
    <xf numFmtId="0" fontId="0" fillId="0" borderId="9" xfId="0" applyNumberFormat="1" applyBorder="1" applyAlignment="1"/>
    <xf numFmtId="165" fontId="0" fillId="0" borderId="30" xfId="0" applyNumberFormat="1" applyBorder="1" applyAlignment="1">
      <alignment horizontal="right"/>
    </xf>
    <xf numFmtId="165" fontId="0" fillId="0" borderId="23" xfId="0" applyNumberFormat="1" applyBorder="1" applyAlignment="1">
      <alignment horizontal="right"/>
    </xf>
    <xf numFmtId="165" fontId="0" fillId="0" borderId="0" xfId="0" applyNumberFormat="1" applyAlignment="1">
      <alignment horizontal="right"/>
    </xf>
    <xf numFmtId="165" fontId="0" fillId="0" borderId="9" xfId="0" applyNumberFormat="1" applyBorder="1" applyAlignment="1">
      <alignment horizontal="right"/>
    </xf>
    <xf numFmtId="0" fontId="0" fillId="0" borderId="30" xfId="0" applyNumberFormat="1" applyBorder="1" applyAlignment="1">
      <alignment horizontal="right"/>
    </xf>
    <xf numFmtId="0" fontId="0" fillId="0" borderId="0" xfId="0" applyNumberFormat="1" applyAlignment="1">
      <alignment horizontal="right"/>
    </xf>
    <xf numFmtId="0" fontId="0" fillId="0" borderId="0" xfId="0" applyFont="1"/>
    <xf numFmtId="165" fontId="0" fillId="0" borderId="0" xfId="0" applyNumberFormat="1"/>
    <xf numFmtId="165" fontId="0" fillId="0" borderId="30" xfId="0" applyNumberFormat="1" applyBorder="1" applyAlignment="1">
      <alignment horizontal="center"/>
    </xf>
    <xf numFmtId="165" fontId="0" fillId="0" borderId="0" xfId="0" applyNumberFormat="1" applyAlignment="1">
      <alignment horizontal="center"/>
    </xf>
    <xf numFmtId="165" fontId="0" fillId="0" borderId="9" xfId="0" applyNumberFormat="1" applyBorder="1" applyAlignment="1">
      <alignment horizontal="center"/>
    </xf>
    <xf numFmtId="0" fontId="0" fillId="12" borderId="0" xfId="0" applyNumberFormat="1" applyFill="1" applyAlignment="1">
      <alignment horizontal="right"/>
    </xf>
    <xf numFmtId="0" fontId="0" fillId="12" borderId="9" xfId="0" applyNumberFormat="1" applyFill="1" applyBorder="1" applyAlignment="1">
      <alignment horizontal="right"/>
    </xf>
    <xf numFmtId="0" fontId="4" fillId="0" borderId="6" xfId="0" applyNumberFormat="1" applyFont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/>
    </xf>
    <xf numFmtId="0" fontId="4" fillId="0" borderId="6" xfId="0" applyNumberFormat="1" applyFont="1" applyBorder="1" applyAlignment="1">
      <alignment horizontal="right" vertical="center"/>
    </xf>
    <xf numFmtId="0" fontId="4" fillId="0" borderId="1" xfId="0" applyNumberFormat="1" applyFont="1" applyBorder="1" applyAlignment="1">
      <alignment horizontal="right" vertical="center"/>
    </xf>
    <xf numFmtId="0" fontId="4" fillId="0" borderId="0" xfId="0" applyNumberFormat="1" applyFont="1" applyAlignment="1">
      <alignment horizontal="right"/>
    </xf>
    <xf numFmtId="0" fontId="0" fillId="0" borderId="9" xfId="0" applyNumberFormat="1" applyBorder="1" applyAlignment="1">
      <alignment horizontal="right"/>
    </xf>
    <xf numFmtId="1" fontId="6" fillId="9" borderId="4" xfId="0" applyNumberFormat="1" applyFont="1" applyFill="1" applyBorder="1" applyAlignment="1">
      <alignment horizontal="center" vertical="center" wrapText="1"/>
    </xf>
    <xf numFmtId="1" fontId="6" fillId="9" borderId="23" xfId="0" applyNumberFormat="1" applyFont="1" applyFill="1" applyBorder="1" applyAlignment="1">
      <alignment horizontal="center" vertical="center" wrapText="1"/>
    </xf>
    <xf numFmtId="1" fontId="6" fillId="8" borderId="4" xfId="0" applyNumberFormat="1" applyFont="1" applyFill="1" applyBorder="1" applyAlignment="1">
      <alignment horizontal="center" vertical="center" wrapText="1"/>
    </xf>
    <xf numFmtId="1" fontId="6" fillId="8" borderId="23" xfId="0" applyNumberFormat="1" applyFont="1" applyFill="1" applyBorder="1" applyAlignment="1">
      <alignment horizontal="center" vertical="center" wrapText="1"/>
    </xf>
    <xf numFmtId="0" fontId="0" fillId="0" borderId="0" xfId="0" applyNumberFormat="1" applyFill="1" applyAlignment="1">
      <alignment horizontal="right"/>
    </xf>
    <xf numFmtId="0" fontId="0" fillId="13" borderId="0" xfId="0" applyNumberFormat="1" applyFill="1" applyAlignment="1">
      <alignment horizontal="right"/>
    </xf>
    <xf numFmtId="0" fontId="0" fillId="14" borderId="0" xfId="0" applyNumberFormat="1" applyFill="1" applyAlignment="1">
      <alignment horizontal="right"/>
    </xf>
    <xf numFmtId="0" fontId="0" fillId="0" borderId="30" xfId="0" applyNumberFormat="1" applyBorder="1" applyAlignment="1"/>
    <xf numFmtId="165" fontId="0" fillId="0" borderId="4" xfId="0" applyNumberFormat="1" applyBorder="1" applyAlignment="1">
      <alignment horizontal="right"/>
    </xf>
    <xf numFmtId="166" fontId="0" fillId="0" borderId="0" xfId="0" applyNumberFormat="1" applyAlignment="1">
      <alignment horizontal="right"/>
    </xf>
    <xf numFmtId="167" fontId="0" fillId="0" borderId="0" xfId="0" applyNumberFormat="1" applyAlignment="1">
      <alignment horizontal="left"/>
    </xf>
    <xf numFmtId="0" fontId="0" fillId="15" borderId="0" xfId="0" applyNumberFormat="1" applyFill="1" applyAlignment="1">
      <alignment horizontal="right"/>
    </xf>
    <xf numFmtId="0" fontId="0" fillId="2" borderId="13" xfId="0" applyFont="1" applyFill="1" applyBorder="1" applyAlignment="1">
      <alignment horizontal="center" vertical="center" wrapText="1"/>
    </xf>
    <xf numFmtId="0" fontId="0" fillId="2" borderId="14" xfId="0" applyFont="1" applyFill="1" applyBorder="1" applyAlignment="1">
      <alignment horizontal="center" vertical="center" wrapText="1"/>
    </xf>
    <xf numFmtId="0" fontId="0" fillId="2" borderId="14" xfId="0" applyNumberFormat="1" applyFont="1" applyFill="1" applyBorder="1" applyAlignment="1">
      <alignment horizontal="center" vertical="center" wrapText="1"/>
    </xf>
    <xf numFmtId="0" fontId="0" fillId="2" borderId="15" xfId="0" applyNumberFormat="1" applyFont="1" applyFill="1" applyBorder="1" applyAlignment="1">
      <alignment horizontal="center" vertical="center" wrapText="1"/>
    </xf>
    <xf numFmtId="0" fontId="0" fillId="2" borderId="13" xfId="0" applyNumberFormat="1" applyFont="1" applyFill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0" fontId="0" fillId="3" borderId="6" xfId="0" applyFont="1" applyFill="1" applyBorder="1" applyAlignment="1">
      <alignment horizontal="center" vertical="center" wrapText="1"/>
    </xf>
    <xf numFmtId="0" fontId="0" fillId="3" borderId="0" xfId="0" applyFont="1" applyFill="1" applyBorder="1" applyAlignment="1">
      <alignment horizontal="center" vertical="center" wrapText="1"/>
    </xf>
    <xf numFmtId="14" fontId="0" fillId="3" borderId="0" xfId="0" applyNumberFormat="1" applyFont="1" applyFill="1" applyBorder="1" applyAlignment="1">
      <alignment horizontal="center" vertical="center" wrapText="1"/>
    </xf>
    <xf numFmtId="0" fontId="0" fillId="3" borderId="0" xfId="0" applyNumberFormat="1" applyFont="1" applyFill="1" applyBorder="1" applyAlignment="1">
      <alignment horizontal="center" vertical="center" wrapText="1"/>
    </xf>
    <xf numFmtId="0" fontId="0" fillId="3" borderId="7" xfId="0" applyNumberFormat="1" applyFont="1" applyFill="1" applyBorder="1" applyAlignment="1">
      <alignment horizontal="center" vertical="center" wrapText="1"/>
    </xf>
    <xf numFmtId="0" fontId="0" fillId="9" borderId="3" xfId="0" applyFont="1" applyFill="1" applyBorder="1" applyAlignment="1">
      <alignment horizontal="center" vertical="center" wrapText="1"/>
    </xf>
    <xf numFmtId="0" fontId="0" fillId="9" borderId="4" xfId="0" applyFont="1" applyFill="1" applyBorder="1" applyAlignment="1">
      <alignment horizontal="center" vertical="center" wrapText="1"/>
    </xf>
    <xf numFmtId="14" fontId="0" fillId="9" borderId="4" xfId="0" applyNumberFormat="1" applyFont="1" applyFill="1" applyBorder="1" applyAlignment="1">
      <alignment horizontal="center" vertical="center" wrapText="1"/>
    </xf>
    <xf numFmtId="0" fontId="0" fillId="9" borderId="4" xfId="0" applyNumberFormat="1" applyFont="1" applyFill="1" applyBorder="1" applyAlignment="1">
      <alignment horizontal="center" vertical="center" wrapText="1"/>
    </xf>
    <xf numFmtId="0" fontId="0" fillId="9" borderId="5" xfId="0" applyNumberFormat="1" applyFont="1" applyFill="1" applyBorder="1" applyAlignment="1">
      <alignment horizontal="center" vertical="center" wrapText="1"/>
    </xf>
    <xf numFmtId="0" fontId="0" fillId="9" borderId="8" xfId="0" applyFont="1" applyFill="1" applyBorder="1" applyAlignment="1">
      <alignment horizontal="center" vertical="center" wrapText="1"/>
    </xf>
    <xf numFmtId="0" fontId="0" fillId="9" borderId="9" xfId="0" applyFont="1" applyFill="1" applyBorder="1" applyAlignment="1">
      <alignment horizontal="center" vertical="center" wrapText="1"/>
    </xf>
    <xf numFmtId="14" fontId="0" fillId="9" borderId="9" xfId="0" applyNumberFormat="1" applyFont="1" applyFill="1" applyBorder="1" applyAlignment="1">
      <alignment horizontal="center" vertical="center" wrapText="1"/>
    </xf>
    <xf numFmtId="0" fontId="0" fillId="9" borderId="9" xfId="0" applyNumberFormat="1" applyFont="1" applyFill="1" applyBorder="1" applyAlignment="1">
      <alignment horizontal="center" vertical="center" wrapText="1"/>
    </xf>
    <xf numFmtId="0" fontId="0" fillId="9" borderId="10" xfId="0" applyNumberFormat="1" applyFont="1" applyFill="1" applyBorder="1" applyAlignment="1">
      <alignment horizontal="center" vertical="center" wrapText="1"/>
    </xf>
    <xf numFmtId="0" fontId="0" fillId="4" borderId="3" xfId="0" applyFont="1" applyFill="1" applyBorder="1" applyAlignment="1">
      <alignment horizontal="center" vertical="center" wrapText="1"/>
    </xf>
    <xf numFmtId="0" fontId="0" fillId="4" borderId="4" xfId="0" applyFont="1" applyFill="1" applyBorder="1" applyAlignment="1">
      <alignment horizontal="center" vertical="center" wrapText="1"/>
    </xf>
    <xf numFmtId="14" fontId="0" fillId="4" borderId="4" xfId="0" applyNumberFormat="1" applyFont="1" applyFill="1" applyBorder="1" applyAlignment="1">
      <alignment horizontal="center" vertical="center" wrapText="1"/>
    </xf>
    <xf numFmtId="0" fontId="0" fillId="4" borderId="4" xfId="0" applyNumberFormat="1" applyFont="1" applyFill="1" applyBorder="1" applyAlignment="1">
      <alignment horizontal="center" vertical="center" wrapText="1"/>
    </xf>
    <xf numFmtId="0" fontId="0" fillId="4" borderId="5" xfId="0" applyNumberFormat="1" applyFont="1" applyFill="1" applyBorder="1" applyAlignment="1">
      <alignment horizontal="center" vertical="center" wrapText="1"/>
    </xf>
    <xf numFmtId="0" fontId="0" fillId="4" borderId="0" xfId="0" applyNumberFormat="1" applyFont="1" applyFill="1" applyBorder="1" applyAlignment="1">
      <alignment horizontal="center" vertical="center" wrapText="1"/>
    </xf>
    <xf numFmtId="0" fontId="0" fillId="4" borderId="6" xfId="0" applyFont="1" applyFill="1" applyBorder="1" applyAlignment="1">
      <alignment horizontal="center" vertical="center" wrapText="1"/>
    </xf>
    <xf numFmtId="0" fontId="0" fillId="4" borderId="0" xfId="0" applyFont="1" applyFill="1" applyBorder="1" applyAlignment="1">
      <alignment horizontal="center" vertical="center" wrapText="1"/>
    </xf>
    <xf numFmtId="14" fontId="0" fillId="4" borderId="0" xfId="0" applyNumberFormat="1" applyFont="1" applyFill="1" applyBorder="1" applyAlignment="1">
      <alignment horizontal="center" vertical="center" wrapText="1"/>
    </xf>
    <xf numFmtId="0" fontId="0" fillId="4" borderId="7" xfId="0" applyNumberFormat="1" applyFont="1" applyFill="1" applyBorder="1" applyAlignment="1">
      <alignment horizontal="center" vertical="center" wrapText="1"/>
    </xf>
    <xf numFmtId="2" fontId="4" fillId="0" borderId="0" xfId="0" applyNumberFormat="1" applyFont="1" applyAlignment="1">
      <alignment horizontal="right"/>
    </xf>
    <xf numFmtId="0" fontId="0" fillId="8" borderId="3" xfId="0" applyFont="1" applyFill="1" applyBorder="1"/>
    <xf numFmtId="0" fontId="0" fillId="8" borderId="4" xfId="0" applyFont="1" applyFill="1" applyBorder="1"/>
    <xf numFmtId="0" fontId="0" fillId="8" borderId="8" xfId="0" applyFont="1" applyFill="1" applyBorder="1" applyAlignment="1">
      <alignment horizontal="center"/>
    </xf>
    <xf numFmtId="0" fontId="0" fillId="8" borderId="9" xfId="0" applyFont="1" applyFill="1" applyBorder="1"/>
    <xf numFmtId="0" fontId="0" fillId="10" borderId="0" xfId="0" applyFont="1" applyFill="1"/>
    <xf numFmtId="0" fontId="0" fillId="11" borderId="22" xfId="0" applyFont="1" applyFill="1" applyBorder="1"/>
    <xf numFmtId="0" fontId="0" fillId="0" borderId="14" xfId="0" applyFont="1" applyBorder="1" applyAlignment="1">
      <alignment horizontal="center" vertical="center" wrapText="1"/>
    </xf>
    <xf numFmtId="0" fontId="0" fillId="0" borderId="13" xfId="0" applyFont="1" applyBorder="1" applyAlignment="1">
      <alignment horizontal="center" vertical="center" wrapText="1"/>
    </xf>
    <xf numFmtId="0" fontId="0" fillId="0" borderId="15" xfId="0" applyFont="1" applyBorder="1" applyAlignment="1">
      <alignment horizontal="center" vertical="center" wrapText="1"/>
    </xf>
    <xf numFmtId="1" fontId="0" fillId="4" borderId="0" xfId="0" applyNumberFormat="1" applyFont="1" applyFill="1" applyBorder="1" applyAlignment="1">
      <alignment horizontal="center" vertical="center" wrapText="1"/>
    </xf>
    <xf numFmtId="2" fontId="0" fillId="0" borderId="0" xfId="0" applyNumberFormat="1" applyFont="1"/>
    <xf numFmtId="0" fontId="0" fillId="8" borderId="8" xfId="0" applyFont="1" applyFill="1" applyBorder="1"/>
    <xf numFmtId="1" fontId="0" fillId="10" borderId="0" xfId="0" applyNumberFormat="1" applyFont="1" applyFill="1"/>
    <xf numFmtId="1" fontId="0" fillId="2" borderId="15" xfId="0" applyNumberFormat="1" applyFont="1" applyFill="1" applyBorder="1" applyAlignment="1">
      <alignment horizontal="center" vertical="center" wrapText="1"/>
    </xf>
    <xf numFmtId="1" fontId="0" fillId="3" borderId="0" xfId="0" applyNumberFormat="1" applyFont="1" applyFill="1" applyBorder="1" applyAlignment="1">
      <alignment horizontal="center" vertical="center" wrapText="1"/>
    </xf>
    <xf numFmtId="2" fontId="4" fillId="0" borderId="6" xfId="0" applyNumberFormat="1" applyFont="1" applyBorder="1" applyAlignment="1">
      <alignment horizontal="center" vertical="center"/>
    </xf>
    <xf numFmtId="2" fontId="4" fillId="0" borderId="0" xfId="0" applyNumberFormat="1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 vertical="center" wrapText="1"/>
    </xf>
    <xf numFmtId="164" fontId="0" fillId="0" borderId="0" xfId="0" applyNumberFormat="1" applyFont="1" applyBorder="1" applyAlignment="1">
      <alignment horizontal="center" vertical="center" wrapText="1"/>
    </xf>
    <xf numFmtId="0" fontId="0" fillId="4" borderId="8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/>
    </xf>
    <xf numFmtId="0" fontId="3" fillId="4" borderId="0" xfId="0" applyFont="1" applyFill="1" applyBorder="1" applyAlignment="1">
      <alignment horizontal="center" vertical="center"/>
    </xf>
    <xf numFmtId="0" fontId="3" fillId="4" borderId="8" xfId="0" applyFont="1" applyFill="1" applyBorder="1" applyAlignment="1">
      <alignment horizontal="center" vertical="center"/>
    </xf>
    <xf numFmtId="0" fontId="3" fillId="4" borderId="9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5" borderId="14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3" fillId="5" borderId="14" xfId="0" quotePrefix="1" applyFont="1" applyFill="1" applyBorder="1" applyAlignment="1">
      <alignment horizontal="center" vertical="center" wrapText="1"/>
    </xf>
    <xf numFmtId="0" fontId="1" fillId="5" borderId="11" xfId="0" applyFont="1" applyFill="1" applyBorder="1" applyAlignment="1">
      <alignment horizontal="center" vertical="center" wrapText="1"/>
    </xf>
    <xf numFmtId="0" fontId="1" fillId="5" borderId="4" xfId="0" applyFont="1" applyFill="1" applyBorder="1" applyAlignment="1">
      <alignment horizontal="center" vertical="center" wrapText="1"/>
    </xf>
    <xf numFmtId="0" fontId="1" fillId="5" borderId="5" xfId="0" applyFont="1" applyFill="1" applyBorder="1" applyAlignment="1">
      <alignment horizontal="center" vertical="center" wrapText="1"/>
    </xf>
    <xf numFmtId="0" fontId="1" fillId="6" borderId="3" xfId="0" applyFont="1" applyFill="1" applyBorder="1" applyAlignment="1">
      <alignment horizontal="center" vertical="center" wrapText="1"/>
    </xf>
    <xf numFmtId="0" fontId="1" fillId="6" borderId="4" xfId="0" applyFont="1" applyFill="1" applyBorder="1" applyAlignment="1">
      <alignment horizontal="center" vertical="center" wrapText="1"/>
    </xf>
    <xf numFmtId="0" fontId="1" fillId="5" borderId="3" xfId="0" applyFont="1" applyFill="1" applyBorder="1" applyAlignment="1">
      <alignment horizontal="center" vertical="center" wrapText="1"/>
    </xf>
    <xf numFmtId="0" fontId="1" fillId="7" borderId="3" xfId="0" applyFont="1" applyFill="1" applyBorder="1" applyAlignment="1">
      <alignment horizontal="center" vertical="center" wrapText="1"/>
    </xf>
    <xf numFmtId="0" fontId="1" fillId="7" borderId="4" xfId="0" applyFont="1" applyFill="1" applyBorder="1" applyAlignment="1">
      <alignment horizontal="center" vertical="center" wrapText="1"/>
    </xf>
    <xf numFmtId="0" fontId="1" fillId="7" borderId="5" xfId="0" applyFont="1" applyFill="1" applyBorder="1" applyAlignment="1">
      <alignment horizontal="center" vertical="center" wrapText="1"/>
    </xf>
    <xf numFmtId="0" fontId="3" fillId="5" borderId="13" xfId="0" applyFont="1" applyFill="1" applyBorder="1" applyAlignment="1">
      <alignment horizontal="center" vertical="center" wrapText="1"/>
    </xf>
    <xf numFmtId="0" fontId="3" fillId="5" borderId="15" xfId="0" applyFont="1" applyFill="1" applyBorder="1" applyAlignment="1">
      <alignment horizontal="center" vertical="center" wrapText="1"/>
    </xf>
    <xf numFmtId="0" fontId="1" fillId="6" borderId="11" xfId="0" applyFont="1" applyFill="1" applyBorder="1" applyAlignment="1">
      <alignment horizontal="center" vertical="center" wrapText="1"/>
    </xf>
    <xf numFmtId="0" fontId="1" fillId="6" borderId="5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/>
    </xf>
    <xf numFmtId="0" fontId="0" fillId="0" borderId="0" xfId="0" applyFont="1" applyAlignment="1">
      <alignment vertical="center" wrapText="1"/>
    </xf>
    <xf numFmtId="49" fontId="0" fillId="0" borderId="31" xfId="0" applyNumberFormat="1" applyFont="1" applyBorder="1" applyAlignment="1">
      <alignment horizontal="center"/>
    </xf>
    <xf numFmtId="0" fontId="0" fillId="0" borderId="3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B3B3"/>
      <color rgb="FFFF6600"/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/>
              <a:t>UVN Behaviour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Ability to Swim</c:v>
          </c:tx>
          <c:spPr>
            <a:ln w="28575" cap="rnd">
              <a:solidFill>
                <a:schemeClr val="accent1"/>
              </a:solidFill>
              <a:prstDash val="dash"/>
              <a:round/>
            </a:ln>
            <a:effectLst/>
          </c:spPr>
          <c:marker>
            <c:symbol val="none"/>
          </c:marker>
          <c:cat>
            <c:numRef>
              <c:extLst>
                <c:ext xmlns:c15="http://schemas.microsoft.com/office/drawing/2012/chart" uri="{02D57815-91ED-43cb-92C2-25804820EDAC}">
                  <c15:fullRef>
                    <c15:sqref>Behaviour!$AM$19:$AR$19</c15:sqref>
                  </c15:fullRef>
                </c:ext>
              </c:extLst>
              <c:f>Behaviour!$AM$19:$AR$19</c:f>
              <c:numCache>
                <c:formatCode>General</c:formatCode>
                <c:ptCount val="6"/>
                <c:pt idx="0">
                  <c:v>2</c:v>
                </c:pt>
                <c:pt idx="1">
                  <c:v>24</c:v>
                </c:pt>
                <c:pt idx="2">
                  <c:v>48</c:v>
                </c:pt>
                <c:pt idx="3">
                  <c:v>96</c:v>
                </c:pt>
                <c:pt idx="4">
                  <c:v>168</c:v>
                </c:pt>
                <c:pt idx="5">
                  <c:v>672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Behaviour!$AM$21:$AT$21</c15:sqref>
                  </c15:fullRef>
                </c:ext>
              </c:extLst>
              <c:f>Behaviour!$AM$21:$AR$21</c:f>
              <c:numCache>
                <c:formatCode>0.0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0.16666666666666666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categoryFilterExceptions>
                <c15:categoryFilterException>
                  <c15:sqref>Behaviour!$AT$21</c15:sqref>
                  <c15:spPr xmlns:c15="http://schemas.microsoft.com/office/drawing/2012/chart">
                    <a:ln w="28575" cap="rnd">
                      <a:solidFill>
                        <a:schemeClr val="accent1"/>
                      </a:solidFill>
                      <a:prstDash val="dash"/>
                      <a:round/>
                    </a:ln>
                    <a:effectLst/>
                  </c15:spPr>
                  <c15:bubble3D val="0"/>
                  <c15:marker>
                    <c:symbol val="none"/>
                  </c15:marker>
                </c15:categoryFilterException>
              </c15:categoryFilterExceptions>
            </c:ext>
            <c:ext xmlns:c16="http://schemas.microsoft.com/office/drawing/2014/chart" uri="{C3380CC4-5D6E-409C-BE32-E72D297353CC}">
              <c16:uniqueId val="{00000001-ECD7-4144-87C2-6AABC09167CC}"/>
            </c:ext>
          </c:extLst>
        </c:ser>
        <c:ser>
          <c:idx val="1"/>
          <c:order val="1"/>
          <c:tx>
            <c:v>Ability to groom</c:v>
          </c:tx>
          <c:spPr>
            <a:ln w="28575" cap="rnd">
              <a:solidFill>
                <a:srgbClr val="00B050"/>
              </a:solidFill>
              <a:prstDash val="dash"/>
              <a:round/>
            </a:ln>
            <a:effectLst/>
          </c:spPr>
          <c:marker>
            <c:symbol val="none"/>
          </c:marker>
          <c:cat>
            <c:numRef>
              <c:extLst>
                <c:ext xmlns:c15="http://schemas.microsoft.com/office/drawing/2012/chart" uri="{02D57815-91ED-43cb-92C2-25804820EDAC}">
                  <c15:fullRef>
                    <c15:sqref>Behaviour!$AM$19:$AR$19</c15:sqref>
                  </c15:fullRef>
                </c:ext>
              </c:extLst>
              <c:f>Behaviour!$AM$19:$AR$19</c:f>
              <c:numCache>
                <c:formatCode>General</c:formatCode>
                <c:ptCount val="6"/>
                <c:pt idx="0">
                  <c:v>2</c:v>
                </c:pt>
                <c:pt idx="1">
                  <c:v>24</c:v>
                </c:pt>
                <c:pt idx="2">
                  <c:v>48</c:v>
                </c:pt>
                <c:pt idx="3">
                  <c:v>96</c:v>
                </c:pt>
                <c:pt idx="4">
                  <c:v>168</c:v>
                </c:pt>
                <c:pt idx="5">
                  <c:v>672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Behaviour!$AM$22:$AT$22</c15:sqref>
                  </c15:fullRef>
                </c:ext>
              </c:extLst>
              <c:f>Behaviour!$AM$22:$AR$22</c:f>
              <c:numCache>
                <c:formatCode>0.0</c:formatCode>
                <c:ptCount val="6"/>
                <c:pt idx="0">
                  <c:v>0</c:v>
                </c:pt>
                <c:pt idx="1">
                  <c:v>0.16666666666666666</c:v>
                </c:pt>
                <c:pt idx="2">
                  <c:v>1</c:v>
                </c:pt>
                <c:pt idx="3">
                  <c:v>1</c:v>
                </c:pt>
                <c:pt idx="4">
                  <c:v>2</c:v>
                </c:pt>
                <c:pt idx="5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CD7-4144-87C2-6AABC09167CC}"/>
            </c:ext>
          </c:extLst>
        </c:ser>
        <c:ser>
          <c:idx val="2"/>
          <c:order val="2"/>
          <c:tx>
            <c:v>Ability to move in the cage</c:v>
          </c:tx>
          <c:spPr>
            <a:ln w="28575" cap="rnd">
              <a:solidFill>
                <a:schemeClr val="accent6">
                  <a:lumMod val="50000"/>
                </a:schemeClr>
              </a:solidFill>
              <a:prstDash val="dash"/>
              <a:round/>
            </a:ln>
            <a:effectLst/>
          </c:spPr>
          <c:marker>
            <c:symbol val="none"/>
          </c:marker>
          <c:cat>
            <c:numRef>
              <c:extLst>
                <c:ext xmlns:c15="http://schemas.microsoft.com/office/drawing/2012/chart" uri="{02D57815-91ED-43cb-92C2-25804820EDAC}">
                  <c15:fullRef>
                    <c15:sqref>Behaviour!$AM$19:$AR$19</c15:sqref>
                  </c15:fullRef>
                </c:ext>
              </c:extLst>
              <c:f>Behaviour!$AM$19:$AR$19</c:f>
              <c:numCache>
                <c:formatCode>General</c:formatCode>
                <c:ptCount val="6"/>
                <c:pt idx="0">
                  <c:v>2</c:v>
                </c:pt>
                <c:pt idx="1">
                  <c:v>24</c:v>
                </c:pt>
                <c:pt idx="2">
                  <c:v>48</c:v>
                </c:pt>
                <c:pt idx="3">
                  <c:v>96</c:v>
                </c:pt>
                <c:pt idx="4">
                  <c:v>168</c:v>
                </c:pt>
                <c:pt idx="5">
                  <c:v>672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Behaviour!$AM$23:$AT$23</c15:sqref>
                  </c15:fullRef>
                </c:ext>
              </c:extLst>
              <c:f>Behaviour!$AM$23:$AR$23</c:f>
              <c:numCache>
                <c:formatCode>0.0</c:formatCode>
                <c:ptCount val="6"/>
                <c:pt idx="0">
                  <c:v>0</c:v>
                </c:pt>
                <c:pt idx="1">
                  <c:v>1.1666666666666667</c:v>
                </c:pt>
                <c:pt idx="2">
                  <c:v>1.3333333333333333</c:v>
                </c:pt>
                <c:pt idx="3">
                  <c:v>1.6666666666666667</c:v>
                </c:pt>
                <c:pt idx="4">
                  <c:v>2</c:v>
                </c:pt>
                <c:pt idx="5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ECD7-4144-87C2-6AABC09167CC}"/>
            </c:ext>
          </c:extLst>
        </c:ser>
        <c:ser>
          <c:idx val="3"/>
          <c:order val="3"/>
          <c:tx>
            <c:v>Ability to reach for food</c:v>
          </c:tx>
          <c:spPr>
            <a:ln w="28575" cap="rnd">
              <a:solidFill>
                <a:schemeClr val="accent6">
                  <a:lumMod val="60000"/>
                  <a:lumOff val="40000"/>
                </a:schemeClr>
              </a:solidFill>
              <a:prstDash val="dash"/>
              <a:round/>
            </a:ln>
            <a:effectLst/>
          </c:spPr>
          <c:marker>
            <c:symbol val="none"/>
          </c:marker>
          <c:cat>
            <c:numRef>
              <c:extLst>
                <c:ext xmlns:c15="http://schemas.microsoft.com/office/drawing/2012/chart" uri="{02D57815-91ED-43cb-92C2-25804820EDAC}">
                  <c15:fullRef>
                    <c15:sqref>Behaviour!$AM$19:$AR$19</c15:sqref>
                  </c15:fullRef>
                </c:ext>
              </c:extLst>
              <c:f>Behaviour!$AM$19:$AR$19</c:f>
              <c:numCache>
                <c:formatCode>General</c:formatCode>
                <c:ptCount val="6"/>
                <c:pt idx="0">
                  <c:v>2</c:v>
                </c:pt>
                <c:pt idx="1">
                  <c:v>24</c:v>
                </c:pt>
                <c:pt idx="2">
                  <c:v>48</c:v>
                </c:pt>
                <c:pt idx="3">
                  <c:v>96</c:v>
                </c:pt>
                <c:pt idx="4">
                  <c:v>168</c:v>
                </c:pt>
                <c:pt idx="5">
                  <c:v>672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Behaviour!$AM$24:$AT$24</c15:sqref>
                  </c15:fullRef>
                </c:ext>
              </c:extLst>
              <c:f>Behaviour!$AM$24:$AR$24</c:f>
              <c:numCache>
                <c:formatCode>0.0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0.5</c:v>
                </c:pt>
                <c:pt idx="3">
                  <c:v>1.3333333333333333</c:v>
                </c:pt>
                <c:pt idx="4">
                  <c:v>2</c:v>
                </c:pt>
                <c:pt idx="5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ECD7-4144-87C2-6AABC09167CC}"/>
            </c:ext>
          </c:extLst>
        </c:ser>
        <c:ser>
          <c:idx val="5"/>
          <c:order val="4"/>
          <c:tx>
            <c:v>Head Tilt</c:v>
          </c:tx>
          <c:spPr>
            <a:ln w="28575" cap="rnd">
              <a:solidFill>
                <a:schemeClr val="accent2">
                  <a:lumMod val="60000"/>
                  <a:lumOff val="4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extLst>
                <c:ext xmlns:c15="http://schemas.microsoft.com/office/drawing/2012/chart" uri="{02D57815-91ED-43cb-92C2-25804820EDAC}">
                  <c15:fullRef>
                    <c15:sqref>Behaviour!$AM$19:$AR$19</c15:sqref>
                  </c15:fullRef>
                </c:ext>
              </c:extLst>
              <c:f>Behaviour!$AM$19:$AR$19</c:f>
              <c:numCache>
                <c:formatCode>General</c:formatCode>
                <c:ptCount val="6"/>
                <c:pt idx="0">
                  <c:v>2</c:v>
                </c:pt>
                <c:pt idx="1">
                  <c:v>24</c:v>
                </c:pt>
                <c:pt idx="2">
                  <c:v>48</c:v>
                </c:pt>
                <c:pt idx="3">
                  <c:v>96</c:v>
                </c:pt>
                <c:pt idx="4">
                  <c:v>168</c:v>
                </c:pt>
                <c:pt idx="5">
                  <c:v>672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Behaviour!$AM$26:$AT$26</c15:sqref>
                  </c15:fullRef>
                </c:ext>
              </c:extLst>
              <c:f>Behaviour!$AM$26:$AR$26</c:f>
              <c:numCache>
                <c:formatCode>0.0</c:formatCode>
                <c:ptCount val="6"/>
                <c:pt idx="0">
                  <c:v>3</c:v>
                </c:pt>
                <c:pt idx="1">
                  <c:v>3</c:v>
                </c:pt>
                <c:pt idx="2">
                  <c:v>3</c:v>
                </c:pt>
                <c:pt idx="3">
                  <c:v>2.5</c:v>
                </c:pt>
                <c:pt idx="4">
                  <c:v>2.3333333333333335</c:v>
                </c:pt>
                <c:pt idx="5">
                  <c:v>1.1666666666666667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ECD7-4144-87C2-6AABC09167CC}"/>
            </c:ext>
          </c:extLst>
        </c:ser>
        <c:ser>
          <c:idx val="6"/>
          <c:order val="5"/>
          <c:tx>
            <c:v>Tumbling</c:v>
          </c:tx>
          <c:spPr>
            <a:ln w="28575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cat>
            <c:numRef>
              <c:extLst>
                <c:ext xmlns:c15="http://schemas.microsoft.com/office/drawing/2012/chart" uri="{02D57815-91ED-43cb-92C2-25804820EDAC}">
                  <c15:fullRef>
                    <c15:sqref>Behaviour!$AM$19:$AR$19</c15:sqref>
                  </c15:fullRef>
                </c:ext>
              </c:extLst>
              <c:f>Behaviour!$AM$19:$AR$19</c:f>
              <c:numCache>
                <c:formatCode>General</c:formatCode>
                <c:ptCount val="6"/>
                <c:pt idx="0">
                  <c:v>2</c:v>
                </c:pt>
                <c:pt idx="1">
                  <c:v>24</c:v>
                </c:pt>
                <c:pt idx="2">
                  <c:v>48</c:v>
                </c:pt>
                <c:pt idx="3">
                  <c:v>96</c:v>
                </c:pt>
                <c:pt idx="4">
                  <c:v>168</c:v>
                </c:pt>
                <c:pt idx="5">
                  <c:v>672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Behaviour!$AM$27:$AT$27</c15:sqref>
                  </c15:fullRef>
                </c:ext>
              </c:extLst>
              <c:f>Behaviour!$AM$27:$AR$27</c:f>
              <c:numCache>
                <c:formatCode>0.0</c:formatCode>
                <c:ptCount val="6"/>
                <c:pt idx="0">
                  <c:v>3</c:v>
                </c:pt>
                <c:pt idx="1">
                  <c:v>2.3333333333333335</c:v>
                </c:pt>
                <c:pt idx="2">
                  <c:v>1.6666666666666667</c:v>
                </c:pt>
                <c:pt idx="3">
                  <c:v>0.16666666666666666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ECD7-4144-87C2-6AABC09167CC}"/>
            </c:ext>
          </c:extLst>
        </c:ser>
        <c:ser>
          <c:idx val="7"/>
          <c:order val="6"/>
          <c:tx>
            <c:v>Twirl (holding from the tail)</c:v>
          </c:tx>
          <c:spPr>
            <a:ln w="28575" cap="rnd">
              <a:solidFill>
                <a:srgbClr val="FFC000"/>
              </a:solidFill>
              <a:round/>
            </a:ln>
            <a:effectLst/>
          </c:spPr>
          <c:marker>
            <c:symbol val="none"/>
          </c:marker>
          <c:cat>
            <c:numRef>
              <c:extLst>
                <c:ext xmlns:c15="http://schemas.microsoft.com/office/drawing/2012/chart" uri="{02D57815-91ED-43cb-92C2-25804820EDAC}">
                  <c15:fullRef>
                    <c15:sqref>Behaviour!$AM$19:$AR$19</c15:sqref>
                  </c15:fullRef>
                </c:ext>
              </c:extLst>
              <c:f>Behaviour!$AM$19:$AR$19</c:f>
              <c:numCache>
                <c:formatCode>General</c:formatCode>
                <c:ptCount val="6"/>
                <c:pt idx="0">
                  <c:v>2</c:v>
                </c:pt>
                <c:pt idx="1">
                  <c:v>24</c:v>
                </c:pt>
                <c:pt idx="2">
                  <c:v>48</c:v>
                </c:pt>
                <c:pt idx="3">
                  <c:v>96</c:v>
                </c:pt>
                <c:pt idx="4">
                  <c:v>168</c:v>
                </c:pt>
                <c:pt idx="5">
                  <c:v>672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Behaviour!$AM$28:$AT$28</c15:sqref>
                  </c15:fullRef>
                </c:ext>
              </c:extLst>
              <c:f>Behaviour!$AM$28:$AR$28</c:f>
              <c:numCache>
                <c:formatCode>0.0</c:formatCode>
                <c:ptCount val="6"/>
                <c:pt idx="0">
                  <c:v>3</c:v>
                </c:pt>
                <c:pt idx="1">
                  <c:v>2.6666666666666665</c:v>
                </c:pt>
                <c:pt idx="2">
                  <c:v>2.5</c:v>
                </c:pt>
                <c:pt idx="3">
                  <c:v>2.3333333333333335</c:v>
                </c:pt>
                <c:pt idx="4">
                  <c:v>2.1666666666666665</c:v>
                </c:pt>
                <c:pt idx="5">
                  <c:v>1.5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ECD7-4144-87C2-6AABC09167CC}"/>
            </c:ext>
          </c:extLst>
        </c:ser>
        <c:ser>
          <c:idx val="8"/>
          <c:order val="7"/>
          <c:tx>
            <c:v>Circling</c:v>
          </c:tx>
          <c:spPr>
            <a:ln w="28575" cap="rnd">
              <a:solidFill>
                <a:srgbClr val="C00000"/>
              </a:solidFill>
              <a:round/>
            </a:ln>
            <a:effectLst/>
          </c:spPr>
          <c:marker>
            <c:symbol val="none"/>
          </c:marker>
          <c:cat>
            <c:numRef>
              <c:extLst>
                <c:ext xmlns:c15="http://schemas.microsoft.com/office/drawing/2012/chart" uri="{02D57815-91ED-43cb-92C2-25804820EDAC}">
                  <c15:fullRef>
                    <c15:sqref>Behaviour!$AM$19:$AR$19</c15:sqref>
                  </c15:fullRef>
                </c:ext>
              </c:extLst>
              <c:f>Behaviour!$AM$19:$AR$19</c:f>
              <c:numCache>
                <c:formatCode>General</c:formatCode>
                <c:ptCount val="6"/>
                <c:pt idx="0">
                  <c:v>2</c:v>
                </c:pt>
                <c:pt idx="1">
                  <c:v>24</c:v>
                </c:pt>
                <c:pt idx="2">
                  <c:v>48</c:v>
                </c:pt>
                <c:pt idx="3">
                  <c:v>96</c:v>
                </c:pt>
                <c:pt idx="4">
                  <c:v>168</c:v>
                </c:pt>
                <c:pt idx="5">
                  <c:v>672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Behaviour!$AM$29:$AT$29</c15:sqref>
                  </c15:fullRef>
                </c:ext>
              </c:extLst>
              <c:f>Behaviour!$AM$29:$AR$29</c:f>
              <c:numCache>
                <c:formatCode>0.0</c:formatCode>
                <c:ptCount val="6"/>
                <c:pt idx="0">
                  <c:v>2.8333333333333335</c:v>
                </c:pt>
                <c:pt idx="1">
                  <c:v>2.6666666666666665</c:v>
                </c:pt>
                <c:pt idx="2">
                  <c:v>2.3333333333333335</c:v>
                </c:pt>
                <c:pt idx="3">
                  <c:v>1.8333333333333333</c:v>
                </c:pt>
                <c:pt idx="4">
                  <c:v>1.3333333333333333</c:v>
                </c:pt>
                <c:pt idx="5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ECD7-4144-87C2-6AABC09167C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96029520"/>
        <c:axId val="396031160"/>
      </c:lineChart>
      <c:catAx>
        <c:axId val="3960295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96031160"/>
        <c:crosses val="autoZero"/>
        <c:auto val="1"/>
        <c:lblAlgn val="ctr"/>
        <c:lblOffset val="100"/>
        <c:noMultiLvlLbl val="0"/>
      </c:catAx>
      <c:valAx>
        <c:axId val="396031160"/>
        <c:scaling>
          <c:orientation val="minMax"/>
          <c:max val="3.1"/>
          <c:min val="0"/>
        </c:scaling>
        <c:delete val="0"/>
        <c:axPos val="r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96029520"/>
        <c:crosses val="max"/>
        <c:crossBetween val="between"/>
        <c:majorUnit val="1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/>
              <a:t>UL Behaviour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Ability to Swim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Pt>
            <c:idx val="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9-8FA8-4E9F-BB43-FF44114FDFDF}"/>
              </c:ext>
            </c:extLst>
          </c:dPt>
          <c:cat>
            <c:numRef>
              <c:f>Behaviour!$AM$19:$AR$19</c:f>
              <c:numCache>
                <c:formatCode>General</c:formatCode>
                <c:ptCount val="6"/>
                <c:pt idx="0">
                  <c:v>2</c:v>
                </c:pt>
                <c:pt idx="1">
                  <c:v>24</c:v>
                </c:pt>
                <c:pt idx="2">
                  <c:v>48</c:v>
                </c:pt>
                <c:pt idx="3">
                  <c:v>96</c:v>
                </c:pt>
                <c:pt idx="4">
                  <c:v>168</c:v>
                </c:pt>
                <c:pt idx="5">
                  <c:v>672</c:v>
                </c:pt>
              </c:numCache>
            </c:numRef>
          </c:cat>
          <c:val>
            <c:numRef>
              <c:f>Behaviour!$AM$34:$AR$34</c:f>
              <c:numCache>
                <c:formatCode>0.0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0.33333333333333331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FA8-4E9F-BB43-FF44114FDFDF}"/>
            </c:ext>
          </c:extLst>
        </c:ser>
        <c:ser>
          <c:idx val="1"/>
          <c:order val="1"/>
          <c:tx>
            <c:v>Ability to groom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Behaviour!$AM$19:$AR$19</c:f>
              <c:numCache>
                <c:formatCode>General</c:formatCode>
                <c:ptCount val="6"/>
                <c:pt idx="0">
                  <c:v>2</c:v>
                </c:pt>
                <c:pt idx="1">
                  <c:v>24</c:v>
                </c:pt>
                <c:pt idx="2">
                  <c:v>48</c:v>
                </c:pt>
                <c:pt idx="3">
                  <c:v>96</c:v>
                </c:pt>
                <c:pt idx="4">
                  <c:v>168</c:v>
                </c:pt>
                <c:pt idx="5">
                  <c:v>672</c:v>
                </c:pt>
              </c:numCache>
            </c:numRef>
          </c:cat>
          <c:val>
            <c:numRef>
              <c:f>Behaviour!$AM$35:$AR$35</c:f>
              <c:numCache>
                <c:formatCode>0.0</c:formatCode>
                <c:ptCount val="6"/>
                <c:pt idx="0">
                  <c:v>0</c:v>
                </c:pt>
                <c:pt idx="1">
                  <c:v>0.2857142857142857</c:v>
                </c:pt>
                <c:pt idx="2">
                  <c:v>1.2857142857142858</c:v>
                </c:pt>
                <c:pt idx="3">
                  <c:v>2.5714285714285716</c:v>
                </c:pt>
                <c:pt idx="4">
                  <c:v>3</c:v>
                </c:pt>
                <c:pt idx="5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FA8-4E9F-BB43-FF44114FDFDF}"/>
            </c:ext>
          </c:extLst>
        </c:ser>
        <c:ser>
          <c:idx val="2"/>
          <c:order val="2"/>
          <c:tx>
            <c:v>Ability to move in the cage</c:v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Behaviour!$AM$19:$AR$19</c:f>
              <c:numCache>
                <c:formatCode>General</c:formatCode>
                <c:ptCount val="6"/>
                <c:pt idx="0">
                  <c:v>2</c:v>
                </c:pt>
                <c:pt idx="1">
                  <c:v>24</c:v>
                </c:pt>
                <c:pt idx="2">
                  <c:v>48</c:v>
                </c:pt>
                <c:pt idx="3">
                  <c:v>96</c:v>
                </c:pt>
                <c:pt idx="4">
                  <c:v>168</c:v>
                </c:pt>
                <c:pt idx="5">
                  <c:v>672</c:v>
                </c:pt>
              </c:numCache>
            </c:numRef>
          </c:cat>
          <c:val>
            <c:numRef>
              <c:f>Behaviour!$AM$36:$AR$36</c:f>
              <c:numCache>
                <c:formatCode>0.0</c:formatCode>
                <c:ptCount val="6"/>
                <c:pt idx="0">
                  <c:v>0</c:v>
                </c:pt>
                <c:pt idx="1">
                  <c:v>1</c:v>
                </c:pt>
                <c:pt idx="2">
                  <c:v>1.4285714285714286</c:v>
                </c:pt>
                <c:pt idx="3">
                  <c:v>2</c:v>
                </c:pt>
                <c:pt idx="4">
                  <c:v>3</c:v>
                </c:pt>
                <c:pt idx="5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FA8-4E9F-BB43-FF44114FDFDF}"/>
            </c:ext>
          </c:extLst>
        </c:ser>
        <c:ser>
          <c:idx val="3"/>
          <c:order val="3"/>
          <c:tx>
            <c:v>Ability to reach for food</c:v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numRef>
              <c:f>Behaviour!$AM$19:$AR$19</c:f>
              <c:numCache>
                <c:formatCode>General</c:formatCode>
                <c:ptCount val="6"/>
                <c:pt idx="0">
                  <c:v>2</c:v>
                </c:pt>
                <c:pt idx="1">
                  <c:v>24</c:v>
                </c:pt>
                <c:pt idx="2">
                  <c:v>48</c:v>
                </c:pt>
                <c:pt idx="3">
                  <c:v>96</c:v>
                </c:pt>
                <c:pt idx="4">
                  <c:v>168</c:v>
                </c:pt>
                <c:pt idx="5">
                  <c:v>672</c:v>
                </c:pt>
              </c:numCache>
            </c:numRef>
          </c:cat>
          <c:val>
            <c:numRef>
              <c:f>Behaviour!$AM$37:$AR$37</c:f>
              <c:numCache>
                <c:formatCode>0.0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0.7142857142857143</c:v>
                </c:pt>
                <c:pt idx="3">
                  <c:v>2</c:v>
                </c:pt>
                <c:pt idx="4">
                  <c:v>3</c:v>
                </c:pt>
                <c:pt idx="5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FA8-4E9F-BB43-FF44114FDFDF}"/>
            </c:ext>
          </c:extLst>
        </c:ser>
        <c:ser>
          <c:idx val="5"/>
          <c:order val="4"/>
          <c:tx>
            <c:v>Head Tilt</c:v>
          </c:tx>
          <c:spPr>
            <a:ln w="28575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cat>
            <c:numRef>
              <c:f>Behaviour!$AM$19:$AR$19</c:f>
              <c:numCache>
                <c:formatCode>General</c:formatCode>
                <c:ptCount val="6"/>
                <c:pt idx="0">
                  <c:v>2</c:v>
                </c:pt>
                <c:pt idx="1">
                  <c:v>24</c:v>
                </c:pt>
                <c:pt idx="2">
                  <c:v>48</c:v>
                </c:pt>
                <c:pt idx="3">
                  <c:v>96</c:v>
                </c:pt>
                <c:pt idx="4">
                  <c:v>168</c:v>
                </c:pt>
                <c:pt idx="5">
                  <c:v>672</c:v>
                </c:pt>
              </c:numCache>
            </c:numRef>
          </c:cat>
          <c:val>
            <c:numRef>
              <c:f>Behaviour!$AM$39:$AR$39</c:f>
              <c:numCache>
                <c:formatCode>0.0</c:formatCode>
                <c:ptCount val="6"/>
                <c:pt idx="0">
                  <c:v>3</c:v>
                </c:pt>
                <c:pt idx="1">
                  <c:v>3</c:v>
                </c:pt>
                <c:pt idx="2">
                  <c:v>2.8571428571428572</c:v>
                </c:pt>
                <c:pt idx="3">
                  <c:v>2.8571428571428572</c:v>
                </c:pt>
                <c:pt idx="4">
                  <c:v>2.1666666666666665</c:v>
                </c:pt>
                <c:pt idx="5">
                  <c:v>1.1666666666666667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8FA8-4E9F-BB43-FF44114FDFDF}"/>
            </c:ext>
          </c:extLst>
        </c:ser>
        <c:ser>
          <c:idx val="6"/>
          <c:order val="5"/>
          <c:tx>
            <c:v>Tumbling</c:v>
          </c:tx>
          <c:spPr>
            <a:ln w="28575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Behaviour!$AM$19:$AR$19</c:f>
              <c:numCache>
                <c:formatCode>General</c:formatCode>
                <c:ptCount val="6"/>
                <c:pt idx="0">
                  <c:v>2</c:v>
                </c:pt>
                <c:pt idx="1">
                  <c:v>24</c:v>
                </c:pt>
                <c:pt idx="2">
                  <c:v>48</c:v>
                </c:pt>
                <c:pt idx="3">
                  <c:v>96</c:v>
                </c:pt>
                <c:pt idx="4">
                  <c:v>168</c:v>
                </c:pt>
                <c:pt idx="5">
                  <c:v>672</c:v>
                </c:pt>
              </c:numCache>
            </c:numRef>
          </c:cat>
          <c:val>
            <c:numRef>
              <c:f>Behaviour!$AM$40:$AR$40</c:f>
              <c:numCache>
                <c:formatCode>0.0</c:formatCode>
                <c:ptCount val="6"/>
                <c:pt idx="0">
                  <c:v>3</c:v>
                </c:pt>
                <c:pt idx="1">
                  <c:v>2.5714285714285716</c:v>
                </c:pt>
                <c:pt idx="2">
                  <c:v>1.5714285714285714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8FA8-4E9F-BB43-FF44114FDFDF}"/>
            </c:ext>
          </c:extLst>
        </c:ser>
        <c:ser>
          <c:idx val="7"/>
          <c:order val="6"/>
          <c:tx>
            <c:v>Twirl (holding from the tail)</c:v>
          </c:tx>
          <c:spPr>
            <a:ln w="28575" cap="rnd">
              <a:solidFill>
                <a:schemeClr val="accent2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Behaviour!$AM$19:$AR$19</c:f>
              <c:numCache>
                <c:formatCode>General</c:formatCode>
                <c:ptCount val="6"/>
                <c:pt idx="0">
                  <c:v>2</c:v>
                </c:pt>
                <c:pt idx="1">
                  <c:v>24</c:v>
                </c:pt>
                <c:pt idx="2">
                  <c:v>48</c:v>
                </c:pt>
                <c:pt idx="3">
                  <c:v>96</c:v>
                </c:pt>
                <c:pt idx="4">
                  <c:v>168</c:v>
                </c:pt>
                <c:pt idx="5">
                  <c:v>672</c:v>
                </c:pt>
              </c:numCache>
            </c:numRef>
          </c:cat>
          <c:val>
            <c:numRef>
              <c:f>Behaviour!$AM$41:$AR$41</c:f>
              <c:numCache>
                <c:formatCode>0.0</c:formatCode>
                <c:ptCount val="6"/>
                <c:pt idx="0">
                  <c:v>3</c:v>
                </c:pt>
                <c:pt idx="1">
                  <c:v>2.7142857142857144</c:v>
                </c:pt>
                <c:pt idx="2">
                  <c:v>2.7142857142857144</c:v>
                </c:pt>
                <c:pt idx="3">
                  <c:v>2.5714285714285716</c:v>
                </c:pt>
                <c:pt idx="4">
                  <c:v>1.6666666666666667</c:v>
                </c:pt>
                <c:pt idx="5">
                  <c:v>1.1666666666666667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8FA8-4E9F-BB43-FF44114FDFDF}"/>
            </c:ext>
          </c:extLst>
        </c:ser>
        <c:ser>
          <c:idx val="8"/>
          <c:order val="7"/>
          <c:tx>
            <c:v>Circling</c:v>
          </c:tx>
          <c:spPr>
            <a:ln w="28575" cap="rnd">
              <a:solidFill>
                <a:schemeClr val="accent3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Behaviour!$AM$19:$AR$19</c:f>
              <c:numCache>
                <c:formatCode>General</c:formatCode>
                <c:ptCount val="6"/>
                <c:pt idx="0">
                  <c:v>2</c:v>
                </c:pt>
                <c:pt idx="1">
                  <c:v>24</c:v>
                </c:pt>
                <c:pt idx="2">
                  <c:v>48</c:v>
                </c:pt>
                <c:pt idx="3">
                  <c:v>96</c:v>
                </c:pt>
                <c:pt idx="4">
                  <c:v>168</c:v>
                </c:pt>
                <c:pt idx="5">
                  <c:v>672</c:v>
                </c:pt>
              </c:numCache>
            </c:numRef>
          </c:cat>
          <c:val>
            <c:numRef>
              <c:f>Behaviour!$AM$42:$AR$42</c:f>
              <c:numCache>
                <c:formatCode>0.0</c:formatCode>
                <c:ptCount val="6"/>
                <c:pt idx="0">
                  <c:v>3</c:v>
                </c:pt>
                <c:pt idx="1">
                  <c:v>2.8571428571428572</c:v>
                </c:pt>
                <c:pt idx="2">
                  <c:v>1.4285714285714286</c:v>
                </c:pt>
                <c:pt idx="3">
                  <c:v>0.8571428571428571</c:v>
                </c:pt>
                <c:pt idx="4">
                  <c:v>0.33333333333333331</c:v>
                </c:pt>
                <c:pt idx="5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8FA8-4E9F-BB43-FF44114FDF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96029520"/>
        <c:axId val="396031160"/>
      </c:lineChart>
      <c:catAx>
        <c:axId val="3960295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96031160"/>
        <c:crosses val="autoZero"/>
        <c:auto val="1"/>
        <c:lblAlgn val="ctr"/>
        <c:lblOffset val="100"/>
        <c:noMultiLvlLbl val="0"/>
      </c:catAx>
      <c:valAx>
        <c:axId val="396031160"/>
        <c:scaling>
          <c:orientation val="minMax"/>
          <c:max val="3.1"/>
          <c:min val="0"/>
        </c:scaling>
        <c:delete val="0"/>
        <c:axPos val="r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96029520"/>
        <c:crosses val="max"/>
        <c:crossBetween val="between"/>
        <c:majorUnit val="1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/>
              <a:t>Mouse behaviour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Ability to Swim</c:v>
          </c:tx>
          <c:spPr>
            <a:ln w="28575" cap="rnd">
              <a:solidFill>
                <a:schemeClr val="accent1"/>
              </a:solidFill>
              <a:prstDash val="dash"/>
              <a:round/>
            </a:ln>
            <a:effectLst/>
          </c:spPr>
          <c:marker>
            <c:symbol val="none"/>
          </c:marker>
          <c:cat>
            <c:numRef>
              <c:extLst>
                <c:ext xmlns:c15="http://schemas.microsoft.com/office/drawing/2012/chart" uri="{02D57815-91ED-43cb-92C2-25804820EDAC}">
                  <c15:fullRef>
                    <c15:sqref>Behaviour!$AM$19:$AR$19</c15:sqref>
                  </c15:fullRef>
                </c:ext>
              </c:extLst>
              <c:f>Behaviour!$AM$19:$AR$19</c:f>
              <c:numCache>
                <c:formatCode>General</c:formatCode>
                <c:ptCount val="6"/>
                <c:pt idx="0">
                  <c:v>2</c:v>
                </c:pt>
                <c:pt idx="1">
                  <c:v>24</c:v>
                </c:pt>
                <c:pt idx="2">
                  <c:v>48</c:v>
                </c:pt>
                <c:pt idx="3">
                  <c:v>96</c:v>
                </c:pt>
                <c:pt idx="4">
                  <c:v>168</c:v>
                </c:pt>
                <c:pt idx="5">
                  <c:v>672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Behaviour!$AM$21:$AT$21</c15:sqref>
                  </c15:fullRef>
                </c:ext>
              </c:extLst>
              <c:f>Behaviour!$AM$21:$AR$21</c:f>
              <c:numCache>
                <c:formatCode>0.0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0.16666666666666666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categoryFilterExceptions>
                <c15:categoryFilterException>
                  <c15:sqref>Behaviour!$AT$21</c15:sqref>
                  <c15:spPr xmlns:c15="http://schemas.microsoft.com/office/drawing/2012/chart">
                    <a:ln w="28575" cap="rnd">
                      <a:solidFill>
                        <a:schemeClr val="accent1"/>
                      </a:solidFill>
                      <a:prstDash val="dash"/>
                      <a:round/>
                    </a:ln>
                    <a:effectLst/>
                  </c15:spPr>
                  <c15:bubble3D val="0"/>
                  <c15:marker>
                    <c:symbol val="none"/>
                  </c15:marker>
                </c15:categoryFilterException>
              </c15:categoryFilterExceptions>
            </c:ext>
            <c:ext xmlns:c16="http://schemas.microsoft.com/office/drawing/2014/chart" uri="{C3380CC4-5D6E-409C-BE32-E72D297353CC}">
              <c16:uniqueId val="{00000000-7D00-4561-A0DC-740AD10B611C}"/>
            </c:ext>
          </c:extLst>
        </c:ser>
        <c:ser>
          <c:idx val="1"/>
          <c:order val="1"/>
          <c:tx>
            <c:v>Ability to groom</c:v>
          </c:tx>
          <c:spPr>
            <a:ln w="28575" cap="rnd">
              <a:solidFill>
                <a:srgbClr val="00B050"/>
              </a:solidFill>
              <a:prstDash val="dash"/>
              <a:round/>
            </a:ln>
            <a:effectLst/>
          </c:spPr>
          <c:marker>
            <c:symbol val="none"/>
          </c:marker>
          <c:cat>
            <c:numRef>
              <c:extLst>
                <c:ext xmlns:c15="http://schemas.microsoft.com/office/drawing/2012/chart" uri="{02D57815-91ED-43cb-92C2-25804820EDAC}">
                  <c15:fullRef>
                    <c15:sqref>Behaviour!$AM$19:$AR$19</c15:sqref>
                  </c15:fullRef>
                </c:ext>
              </c:extLst>
              <c:f>Behaviour!$AM$19:$AR$19</c:f>
              <c:numCache>
                <c:formatCode>General</c:formatCode>
                <c:ptCount val="6"/>
                <c:pt idx="0">
                  <c:v>2</c:v>
                </c:pt>
                <c:pt idx="1">
                  <c:v>24</c:v>
                </c:pt>
                <c:pt idx="2">
                  <c:v>48</c:v>
                </c:pt>
                <c:pt idx="3">
                  <c:v>96</c:v>
                </c:pt>
                <c:pt idx="4">
                  <c:v>168</c:v>
                </c:pt>
                <c:pt idx="5">
                  <c:v>672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Behaviour!$AM$22:$AT$22</c15:sqref>
                  </c15:fullRef>
                </c:ext>
              </c:extLst>
              <c:f>Behaviour!$AM$22:$AR$22</c:f>
              <c:numCache>
                <c:formatCode>0.0</c:formatCode>
                <c:ptCount val="6"/>
                <c:pt idx="0">
                  <c:v>0</c:v>
                </c:pt>
                <c:pt idx="1">
                  <c:v>0.16666666666666666</c:v>
                </c:pt>
                <c:pt idx="2">
                  <c:v>1</c:v>
                </c:pt>
                <c:pt idx="3">
                  <c:v>1</c:v>
                </c:pt>
                <c:pt idx="4">
                  <c:v>2</c:v>
                </c:pt>
                <c:pt idx="5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D00-4561-A0DC-740AD10B611C}"/>
            </c:ext>
          </c:extLst>
        </c:ser>
        <c:ser>
          <c:idx val="2"/>
          <c:order val="2"/>
          <c:tx>
            <c:v>Ability to move in the cage</c:v>
          </c:tx>
          <c:spPr>
            <a:ln w="28575" cap="rnd">
              <a:solidFill>
                <a:schemeClr val="accent6">
                  <a:lumMod val="50000"/>
                </a:schemeClr>
              </a:solidFill>
              <a:prstDash val="dash"/>
              <a:round/>
            </a:ln>
            <a:effectLst/>
          </c:spPr>
          <c:marker>
            <c:symbol val="none"/>
          </c:marker>
          <c:cat>
            <c:numRef>
              <c:extLst>
                <c:ext xmlns:c15="http://schemas.microsoft.com/office/drawing/2012/chart" uri="{02D57815-91ED-43cb-92C2-25804820EDAC}">
                  <c15:fullRef>
                    <c15:sqref>Behaviour!$AM$19:$AR$19</c15:sqref>
                  </c15:fullRef>
                </c:ext>
              </c:extLst>
              <c:f>Behaviour!$AM$19:$AR$19</c:f>
              <c:numCache>
                <c:formatCode>General</c:formatCode>
                <c:ptCount val="6"/>
                <c:pt idx="0">
                  <c:v>2</c:v>
                </c:pt>
                <c:pt idx="1">
                  <c:v>24</c:v>
                </c:pt>
                <c:pt idx="2">
                  <c:v>48</c:v>
                </c:pt>
                <c:pt idx="3">
                  <c:v>96</c:v>
                </c:pt>
                <c:pt idx="4">
                  <c:v>168</c:v>
                </c:pt>
                <c:pt idx="5">
                  <c:v>672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Behaviour!$AM$23:$AT$23</c15:sqref>
                  </c15:fullRef>
                </c:ext>
              </c:extLst>
              <c:f>Behaviour!$AM$23:$AR$23</c:f>
              <c:numCache>
                <c:formatCode>0.0</c:formatCode>
                <c:ptCount val="6"/>
                <c:pt idx="0">
                  <c:v>0</c:v>
                </c:pt>
                <c:pt idx="1">
                  <c:v>1.1666666666666667</c:v>
                </c:pt>
                <c:pt idx="2">
                  <c:v>1.3333333333333333</c:v>
                </c:pt>
                <c:pt idx="3">
                  <c:v>1.6666666666666667</c:v>
                </c:pt>
                <c:pt idx="4">
                  <c:v>2</c:v>
                </c:pt>
                <c:pt idx="5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D00-4561-A0DC-740AD10B611C}"/>
            </c:ext>
          </c:extLst>
        </c:ser>
        <c:ser>
          <c:idx val="3"/>
          <c:order val="3"/>
          <c:tx>
            <c:v>Ability to reach for food</c:v>
          </c:tx>
          <c:spPr>
            <a:ln w="28575" cap="rnd">
              <a:solidFill>
                <a:schemeClr val="accent6">
                  <a:lumMod val="60000"/>
                  <a:lumOff val="40000"/>
                </a:schemeClr>
              </a:solidFill>
              <a:prstDash val="dash"/>
              <a:round/>
            </a:ln>
            <a:effectLst/>
          </c:spPr>
          <c:marker>
            <c:symbol val="none"/>
          </c:marker>
          <c:cat>
            <c:numRef>
              <c:extLst>
                <c:ext xmlns:c15="http://schemas.microsoft.com/office/drawing/2012/chart" uri="{02D57815-91ED-43cb-92C2-25804820EDAC}">
                  <c15:fullRef>
                    <c15:sqref>Behaviour!$AM$19:$AR$19</c15:sqref>
                  </c15:fullRef>
                </c:ext>
              </c:extLst>
              <c:f>Behaviour!$AM$19:$AR$19</c:f>
              <c:numCache>
                <c:formatCode>General</c:formatCode>
                <c:ptCount val="6"/>
                <c:pt idx="0">
                  <c:v>2</c:v>
                </c:pt>
                <c:pt idx="1">
                  <c:v>24</c:v>
                </c:pt>
                <c:pt idx="2">
                  <c:v>48</c:v>
                </c:pt>
                <c:pt idx="3">
                  <c:v>96</c:v>
                </c:pt>
                <c:pt idx="4">
                  <c:v>168</c:v>
                </c:pt>
                <c:pt idx="5">
                  <c:v>672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Behaviour!$AM$24:$AT$24</c15:sqref>
                  </c15:fullRef>
                </c:ext>
              </c:extLst>
              <c:f>Behaviour!$AM$24:$AR$24</c:f>
              <c:numCache>
                <c:formatCode>0.0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0.5</c:v>
                </c:pt>
                <c:pt idx="3">
                  <c:v>1.3333333333333333</c:v>
                </c:pt>
                <c:pt idx="4">
                  <c:v>2</c:v>
                </c:pt>
                <c:pt idx="5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7D00-4561-A0DC-740AD10B611C}"/>
            </c:ext>
          </c:extLst>
        </c:ser>
        <c:ser>
          <c:idx val="5"/>
          <c:order val="4"/>
          <c:tx>
            <c:v>Head Tilt</c:v>
          </c:tx>
          <c:spPr>
            <a:ln w="28575" cap="rnd">
              <a:solidFill>
                <a:schemeClr val="accent2">
                  <a:lumMod val="60000"/>
                  <a:lumOff val="4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extLst>
                <c:ext xmlns:c15="http://schemas.microsoft.com/office/drawing/2012/chart" uri="{02D57815-91ED-43cb-92C2-25804820EDAC}">
                  <c15:fullRef>
                    <c15:sqref>Behaviour!$AM$19:$AR$19</c15:sqref>
                  </c15:fullRef>
                </c:ext>
              </c:extLst>
              <c:f>Behaviour!$AM$19:$AR$19</c:f>
              <c:numCache>
                <c:formatCode>General</c:formatCode>
                <c:ptCount val="6"/>
                <c:pt idx="0">
                  <c:v>2</c:v>
                </c:pt>
                <c:pt idx="1">
                  <c:v>24</c:v>
                </c:pt>
                <c:pt idx="2">
                  <c:v>48</c:v>
                </c:pt>
                <c:pt idx="3">
                  <c:v>96</c:v>
                </c:pt>
                <c:pt idx="4">
                  <c:v>168</c:v>
                </c:pt>
                <c:pt idx="5">
                  <c:v>672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Behaviour!$AM$26:$AT$26</c15:sqref>
                  </c15:fullRef>
                </c:ext>
              </c:extLst>
              <c:f>Behaviour!$AM$26:$AR$26</c:f>
              <c:numCache>
                <c:formatCode>0.0</c:formatCode>
                <c:ptCount val="6"/>
                <c:pt idx="0">
                  <c:v>3</c:v>
                </c:pt>
                <c:pt idx="1">
                  <c:v>3</c:v>
                </c:pt>
                <c:pt idx="2">
                  <c:v>3</c:v>
                </c:pt>
                <c:pt idx="3">
                  <c:v>2.5</c:v>
                </c:pt>
                <c:pt idx="4">
                  <c:v>2.3333333333333335</c:v>
                </c:pt>
                <c:pt idx="5">
                  <c:v>1.1666666666666667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7D00-4561-A0DC-740AD10B611C}"/>
            </c:ext>
          </c:extLst>
        </c:ser>
        <c:ser>
          <c:idx val="6"/>
          <c:order val="5"/>
          <c:tx>
            <c:v>Tumbling</c:v>
          </c:tx>
          <c:spPr>
            <a:ln w="28575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cat>
            <c:numRef>
              <c:extLst>
                <c:ext xmlns:c15="http://schemas.microsoft.com/office/drawing/2012/chart" uri="{02D57815-91ED-43cb-92C2-25804820EDAC}">
                  <c15:fullRef>
                    <c15:sqref>Behaviour!$AM$19:$AR$19</c15:sqref>
                  </c15:fullRef>
                </c:ext>
              </c:extLst>
              <c:f>Behaviour!$AM$19:$AR$19</c:f>
              <c:numCache>
                <c:formatCode>General</c:formatCode>
                <c:ptCount val="6"/>
                <c:pt idx="0">
                  <c:v>2</c:v>
                </c:pt>
                <c:pt idx="1">
                  <c:v>24</c:v>
                </c:pt>
                <c:pt idx="2">
                  <c:v>48</c:v>
                </c:pt>
                <c:pt idx="3">
                  <c:v>96</c:v>
                </c:pt>
                <c:pt idx="4">
                  <c:v>168</c:v>
                </c:pt>
                <c:pt idx="5">
                  <c:v>672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Behaviour!$AM$27:$AT$27</c15:sqref>
                  </c15:fullRef>
                </c:ext>
              </c:extLst>
              <c:f>Behaviour!$AM$27:$AR$27</c:f>
              <c:numCache>
                <c:formatCode>0.0</c:formatCode>
                <c:ptCount val="6"/>
                <c:pt idx="0">
                  <c:v>3</c:v>
                </c:pt>
                <c:pt idx="1">
                  <c:v>2.3333333333333335</c:v>
                </c:pt>
                <c:pt idx="2">
                  <c:v>1.6666666666666667</c:v>
                </c:pt>
                <c:pt idx="3">
                  <c:v>0.16666666666666666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7D00-4561-A0DC-740AD10B611C}"/>
            </c:ext>
          </c:extLst>
        </c:ser>
        <c:ser>
          <c:idx val="7"/>
          <c:order val="6"/>
          <c:tx>
            <c:v>Twirl (holding from the tail)</c:v>
          </c:tx>
          <c:spPr>
            <a:ln w="28575" cap="rnd">
              <a:solidFill>
                <a:srgbClr val="FFC000"/>
              </a:solidFill>
              <a:round/>
            </a:ln>
            <a:effectLst/>
          </c:spPr>
          <c:marker>
            <c:symbol val="none"/>
          </c:marker>
          <c:cat>
            <c:numRef>
              <c:extLst>
                <c:ext xmlns:c15="http://schemas.microsoft.com/office/drawing/2012/chart" uri="{02D57815-91ED-43cb-92C2-25804820EDAC}">
                  <c15:fullRef>
                    <c15:sqref>Behaviour!$AM$19:$AR$19</c15:sqref>
                  </c15:fullRef>
                </c:ext>
              </c:extLst>
              <c:f>Behaviour!$AM$19:$AR$19</c:f>
              <c:numCache>
                <c:formatCode>General</c:formatCode>
                <c:ptCount val="6"/>
                <c:pt idx="0">
                  <c:v>2</c:v>
                </c:pt>
                <c:pt idx="1">
                  <c:v>24</c:v>
                </c:pt>
                <c:pt idx="2">
                  <c:v>48</c:v>
                </c:pt>
                <c:pt idx="3">
                  <c:v>96</c:v>
                </c:pt>
                <c:pt idx="4">
                  <c:v>168</c:v>
                </c:pt>
                <c:pt idx="5">
                  <c:v>672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Behaviour!$AM$28:$AT$28</c15:sqref>
                  </c15:fullRef>
                </c:ext>
              </c:extLst>
              <c:f>Behaviour!$AM$28:$AR$28</c:f>
              <c:numCache>
                <c:formatCode>0.0</c:formatCode>
                <c:ptCount val="6"/>
                <c:pt idx="0">
                  <c:v>3</c:v>
                </c:pt>
                <c:pt idx="1">
                  <c:v>2.6666666666666665</c:v>
                </c:pt>
                <c:pt idx="2">
                  <c:v>2.5</c:v>
                </c:pt>
                <c:pt idx="3">
                  <c:v>2.3333333333333335</c:v>
                </c:pt>
                <c:pt idx="4">
                  <c:v>2.1666666666666665</c:v>
                </c:pt>
                <c:pt idx="5">
                  <c:v>1.5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7D00-4561-A0DC-740AD10B611C}"/>
            </c:ext>
          </c:extLst>
        </c:ser>
        <c:ser>
          <c:idx val="8"/>
          <c:order val="7"/>
          <c:tx>
            <c:v>Circling</c:v>
          </c:tx>
          <c:spPr>
            <a:ln w="28575" cap="rnd">
              <a:solidFill>
                <a:srgbClr val="C00000"/>
              </a:solidFill>
              <a:round/>
            </a:ln>
            <a:effectLst/>
          </c:spPr>
          <c:marker>
            <c:symbol val="none"/>
          </c:marker>
          <c:cat>
            <c:numRef>
              <c:extLst>
                <c:ext xmlns:c15="http://schemas.microsoft.com/office/drawing/2012/chart" uri="{02D57815-91ED-43cb-92C2-25804820EDAC}">
                  <c15:fullRef>
                    <c15:sqref>Behaviour!$AM$19:$AR$19</c15:sqref>
                  </c15:fullRef>
                </c:ext>
              </c:extLst>
              <c:f>Behaviour!$AM$19:$AR$19</c:f>
              <c:numCache>
                <c:formatCode>General</c:formatCode>
                <c:ptCount val="6"/>
                <c:pt idx="0">
                  <c:v>2</c:v>
                </c:pt>
                <c:pt idx="1">
                  <c:v>24</c:v>
                </c:pt>
                <c:pt idx="2">
                  <c:v>48</c:v>
                </c:pt>
                <c:pt idx="3">
                  <c:v>96</c:v>
                </c:pt>
                <c:pt idx="4">
                  <c:v>168</c:v>
                </c:pt>
                <c:pt idx="5">
                  <c:v>672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Behaviour!$AM$29:$AT$29</c15:sqref>
                  </c15:fullRef>
                </c:ext>
              </c:extLst>
              <c:f>Behaviour!$AM$29:$AR$29</c:f>
              <c:numCache>
                <c:formatCode>0.0</c:formatCode>
                <c:ptCount val="6"/>
                <c:pt idx="0">
                  <c:v>2.8333333333333335</c:v>
                </c:pt>
                <c:pt idx="1">
                  <c:v>2.6666666666666665</c:v>
                </c:pt>
                <c:pt idx="2">
                  <c:v>2.3333333333333335</c:v>
                </c:pt>
                <c:pt idx="3">
                  <c:v>1.8333333333333333</c:v>
                </c:pt>
                <c:pt idx="4">
                  <c:v>1.3333333333333333</c:v>
                </c:pt>
                <c:pt idx="5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7D00-4561-A0DC-740AD10B61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96029520"/>
        <c:axId val="396031160"/>
      </c:lineChart>
      <c:catAx>
        <c:axId val="3960295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96031160"/>
        <c:crosses val="autoZero"/>
        <c:auto val="1"/>
        <c:lblAlgn val="ctr"/>
        <c:lblOffset val="100"/>
        <c:noMultiLvlLbl val="0"/>
      </c:catAx>
      <c:valAx>
        <c:axId val="396031160"/>
        <c:scaling>
          <c:orientation val="minMax"/>
          <c:max val="3.1"/>
          <c:min val="0"/>
        </c:scaling>
        <c:delete val="0"/>
        <c:axPos val="r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96029520"/>
        <c:crosses val="max"/>
        <c:crossBetween val="between"/>
        <c:majorUnit val="1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45</xdr:col>
      <xdr:colOff>2117</xdr:colOff>
      <xdr:row>18</xdr:row>
      <xdr:rowOff>182992</xdr:rowOff>
    </xdr:from>
    <xdr:to>
      <xdr:col>53</xdr:col>
      <xdr:colOff>130849</xdr:colOff>
      <xdr:row>28</xdr:row>
      <xdr:rowOff>246304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5360AA34-F30A-481D-B54F-A9712534D09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45</xdr:col>
      <xdr:colOff>0</xdr:colOff>
      <xdr:row>32</xdr:row>
      <xdr:rowOff>0</xdr:rowOff>
    </xdr:from>
    <xdr:to>
      <xdr:col>53</xdr:col>
      <xdr:colOff>128732</xdr:colOff>
      <xdr:row>41</xdr:row>
      <xdr:rowOff>253812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302C20A5-9D45-4625-842F-202268FEA42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70</xdr:col>
      <xdr:colOff>577273</xdr:colOff>
      <xdr:row>19</xdr:row>
      <xdr:rowOff>84666</xdr:rowOff>
    </xdr:from>
    <xdr:to>
      <xdr:col>80</xdr:col>
      <xdr:colOff>436612</xdr:colOff>
      <xdr:row>28</xdr:row>
      <xdr:rowOff>332705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47C7D209-7727-41A6-A910-7ADD5FBB2A7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CG44"/>
  <sheetViews>
    <sheetView zoomScale="55" zoomScaleNormal="55" workbookViewId="0">
      <pane xSplit="1" ySplit="2" topLeftCell="B3" activePane="bottomRight" state="frozen"/>
      <selection pane="topRight" activeCell="C1" sqref="C1"/>
      <selection pane="bottomLeft" activeCell="A3" sqref="A3"/>
      <selection pane="bottomRight" activeCell="CI21" sqref="CI21"/>
    </sheetView>
  </sheetViews>
  <sheetFormatPr defaultRowHeight="14.35" x14ac:dyDescent="0.5"/>
  <cols>
    <col min="1" max="2" width="8.9375" style="1"/>
    <col min="3" max="3" width="14" style="1" customWidth="1"/>
    <col min="4" max="4" width="8.1171875" style="1" customWidth="1"/>
    <col min="5" max="5" width="9.87890625" style="1" customWidth="1"/>
    <col min="6" max="6" width="12.17578125" style="1" customWidth="1"/>
    <col min="7" max="8" width="12.17578125" style="4" customWidth="1"/>
    <col min="9" max="9" width="13.234375" style="1" customWidth="1"/>
    <col min="10" max="10" width="10.46875" style="1" customWidth="1"/>
    <col min="11" max="11" width="9.87890625" style="1" customWidth="1"/>
    <col min="12" max="12" width="11.8203125" style="4" customWidth="1"/>
    <col min="13" max="14" width="13.64453125" style="4" customWidth="1"/>
    <col min="15" max="15" width="11.76171875" style="4" customWidth="1"/>
    <col min="16" max="16" width="8.9375" style="1"/>
    <col min="17" max="17" width="16.52734375" style="4" customWidth="1"/>
    <col min="18" max="18" width="10.8203125" style="4" customWidth="1"/>
    <col min="19" max="19" width="8.9375" style="1"/>
    <col min="20" max="21" width="8.9375" style="3"/>
    <col min="22" max="22" width="14.29296875" style="3" customWidth="1"/>
    <col min="23" max="23" width="19.9375" style="3" customWidth="1"/>
    <col min="24" max="29" width="8.9375" style="3"/>
    <col min="30" max="30" width="14.29296875" style="3" customWidth="1"/>
    <col min="31" max="31" width="19.9375" style="3" customWidth="1"/>
    <col min="32" max="37" width="8.9375" style="3"/>
    <col min="38" max="38" width="14.29296875" style="3" customWidth="1"/>
    <col min="39" max="39" width="19.9375" style="3" customWidth="1"/>
    <col min="40" max="44" width="10.1171875" style="3" bestFit="1" customWidth="1"/>
    <col min="45" max="45" width="8.9375" style="3"/>
    <col min="46" max="46" width="12.64453125" style="3" bestFit="1" customWidth="1"/>
    <col min="47" max="47" width="19.52734375" style="3" bestFit="1" customWidth="1"/>
    <col min="48" max="53" width="8.9375" style="3"/>
    <col min="54" max="54" width="11" style="3" customWidth="1"/>
    <col min="55" max="55" width="15.8203125" style="3" customWidth="1"/>
    <col min="56" max="56" width="8.9375" style="3"/>
    <col min="57" max="57" width="8.9375" style="1"/>
    <col min="58" max="58" width="11.234375" style="1" bestFit="1" customWidth="1"/>
    <col min="59" max="59" width="8.9375" style="1"/>
    <col min="60" max="60" width="10.17578125" style="1" customWidth="1"/>
    <col min="61" max="62" width="8.9375" style="1"/>
    <col min="63" max="63" width="14.05859375" style="1" customWidth="1"/>
    <col min="64" max="65" width="8.9375" style="1"/>
    <col min="66" max="66" width="11.234375" style="1" bestFit="1" customWidth="1"/>
    <col min="67" max="16384" width="8.9375" style="1"/>
  </cols>
  <sheetData>
    <row r="1" spans="1:85" s="17" customFormat="1" ht="14.35" customHeight="1" x14ac:dyDescent="0.5">
      <c r="A1" s="291" t="s">
        <v>5</v>
      </c>
      <c r="B1" s="292"/>
      <c r="C1" s="292"/>
      <c r="D1" s="292"/>
      <c r="E1" s="292"/>
      <c r="F1" s="292"/>
      <c r="G1" s="292"/>
      <c r="H1" s="293"/>
      <c r="I1" s="301" t="s">
        <v>19</v>
      </c>
      <c r="J1" s="302"/>
      <c r="K1" s="302"/>
      <c r="L1" s="302"/>
      <c r="M1" s="302"/>
      <c r="N1" s="302"/>
      <c r="O1" s="302"/>
      <c r="P1" s="303"/>
      <c r="Q1" s="301" t="s">
        <v>13</v>
      </c>
      <c r="R1" s="302"/>
      <c r="S1" s="303"/>
      <c r="T1" s="300" t="s">
        <v>30</v>
      </c>
      <c r="U1" s="296"/>
      <c r="V1" s="296"/>
      <c r="W1" s="296"/>
      <c r="X1" s="295" t="s">
        <v>31</v>
      </c>
      <c r="Y1" s="296"/>
      <c r="Z1" s="296"/>
      <c r="AA1" s="297"/>
      <c r="AB1" s="298" t="s">
        <v>32</v>
      </c>
      <c r="AC1" s="299"/>
      <c r="AD1" s="299"/>
      <c r="AE1" s="299"/>
      <c r="AF1" s="306" t="s">
        <v>33</v>
      </c>
      <c r="AG1" s="299"/>
      <c r="AH1" s="299"/>
      <c r="AI1" s="307"/>
      <c r="AJ1" s="300" t="s">
        <v>48</v>
      </c>
      <c r="AK1" s="296"/>
      <c r="AL1" s="296"/>
      <c r="AM1" s="296"/>
      <c r="AN1" s="295" t="s">
        <v>49</v>
      </c>
      <c r="AO1" s="296"/>
      <c r="AP1" s="296"/>
      <c r="AQ1" s="297"/>
      <c r="AR1" s="298" t="s">
        <v>53</v>
      </c>
      <c r="AS1" s="299"/>
      <c r="AT1" s="299"/>
      <c r="AU1" s="299"/>
      <c r="AV1" s="306" t="s">
        <v>54</v>
      </c>
      <c r="AW1" s="299"/>
      <c r="AX1" s="299"/>
      <c r="AY1" s="307"/>
      <c r="AZ1" s="300" t="s">
        <v>58</v>
      </c>
      <c r="BA1" s="296"/>
      <c r="BB1" s="296"/>
      <c r="BC1" s="296"/>
      <c r="BD1" s="295" t="s">
        <v>59</v>
      </c>
      <c r="BE1" s="296"/>
      <c r="BF1" s="296"/>
      <c r="BG1" s="297"/>
      <c r="BH1" s="300" t="s">
        <v>60</v>
      </c>
      <c r="BI1" s="296"/>
      <c r="BJ1" s="296"/>
      <c r="BK1" s="296"/>
      <c r="BL1" s="295" t="s">
        <v>61</v>
      </c>
      <c r="BM1" s="296"/>
      <c r="BN1" s="296"/>
      <c r="BO1" s="297"/>
    </row>
    <row r="2" spans="1:85" ht="52" customHeight="1" thickBot="1" x14ac:dyDescent="0.55000000000000004">
      <c r="A2" s="62"/>
      <c r="B2" s="63" t="s">
        <v>12</v>
      </c>
      <c r="C2" s="63" t="s">
        <v>85</v>
      </c>
      <c r="D2" s="63" t="s">
        <v>84</v>
      </c>
      <c r="E2" s="63" t="s">
        <v>3</v>
      </c>
      <c r="F2" s="63" t="s">
        <v>0</v>
      </c>
      <c r="G2" s="64" t="s">
        <v>7</v>
      </c>
      <c r="H2" s="65" t="s">
        <v>8</v>
      </c>
      <c r="I2" s="57" t="s">
        <v>6</v>
      </c>
      <c r="J2" s="58" t="s">
        <v>21</v>
      </c>
      <c r="K2" s="58" t="s">
        <v>9</v>
      </c>
      <c r="L2" s="59" t="s">
        <v>20</v>
      </c>
      <c r="M2" s="59" t="s">
        <v>10</v>
      </c>
      <c r="N2" s="59" t="s">
        <v>15</v>
      </c>
      <c r="O2" s="59" t="s">
        <v>16</v>
      </c>
      <c r="P2" s="60" t="s">
        <v>1</v>
      </c>
      <c r="Q2" s="61" t="s">
        <v>14</v>
      </c>
      <c r="R2" s="59" t="s">
        <v>11</v>
      </c>
      <c r="S2" s="60" t="s">
        <v>17</v>
      </c>
      <c r="T2" s="49" t="s">
        <v>22</v>
      </c>
      <c r="U2" s="50" t="s">
        <v>23</v>
      </c>
      <c r="V2" s="50" t="s">
        <v>24</v>
      </c>
      <c r="W2" s="50" t="s">
        <v>25</v>
      </c>
      <c r="X2" s="51" t="s">
        <v>26</v>
      </c>
      <c r="Y2" s="50" t="s">
        <v>27</v>
      </c>
      <c r="Z2" s="50" t="s">
        <v>28</v>
      </c>
      <c r="AA2" s="52" t="s">
        <v>29</v>
      </c>
      <c r="AB2" s="53" t="s">
        <v>22</v>
      </c>
      <c r="AC2" s="54" t="s">
        <v>23</v>
      </c>
      <c r="AD2" s="54" t="s">
        <v>24</v>
      </c>
      <c r="AE2" s="54" t="s">
        <v>25</v>
      </c>
      <c r="AF2" s="55" t="s">
        <v>26</v>
      </c>
      <c r="AG2" s="54" t="s">
        <v>27</v>
      </c>
      <c r="AH2" s="54" t="s">
        <v>28</v>
      </c>
      <c r="AI2" s="56" t="s">
        <v>29</v>
      </c>
      <c r="AJ2" s="49" t="s">
        <v>22</v>
      </c>
      <c r="AK2" s="50" t="s">
        <v>23</v>
      </c>
      <c r="AL2" s="50" t="s">
        <v>24</v>
      </c>
      <c r="AM2" s="50" t="s">
        <v>25</v>
      </c>
      <c r="AN2" s="51" t="s">
        <v>26</v>
      </c>
      <c r="AO2" s="50" t="s">
        <v>27</v>
      </c>
      <c r="AP2" s="50" t="s">
        <v>28</v>
      </c>
      <c r="AQ2" s="52" t="s">
        <v>29</v>
      </c>
      <c r="AR2" s="53" t="s">
        <v>22</v>
      </c>
      <c r="AS2" s="54" t="s">
        <v>23</v>
      </c>
      <c r="AT2" s="54" t="s">
        <v>24</v>
      </c>
      <c r="AU2" s="54" t="s">
        <v>25</v>
      </c>
      <c r="AV2" s="55" t="s">
        <v>26</v>
      </c>
      <c r="AW2" s="54" t="s">
        <v>27</v>
      </c>
      <c r="AX2" s="54" t="s">
        <v>28</v>
      </c>
      <c r="AY2" s="56" t="s">
        <v>29</v>
      </c>
      <c r="AZ2" s="49" t="s">
        <v>22</v>
      </c>
      <c r="BA2" s="50" t="s">
        <v>23</v>
      </c>
      <c r="BB2" s="50" t="s">
        <v>24</v>
      </c>
      <c r="BC2" s="50" t="s">
        <v>25</v>
      </c>
      <c r="BD2" s="51" t="s">
        <v>26</v>
      </c>
      <c r="BE2" s="50" t="s">
        <v>27</v>
      </c>
      <c r="BF2" s="50" t="s">
        <v>28</v>
      </c>
      <c r="BG2" s="52" t="s">
        <v>29</v>
      </c>
      <c r="BH2" s="49" t="s">
        <v>22</v>
      </c>
      <c r="BI2" s="50" t="s">
        <v>23</v>
      </c>
      <c r="BJ2" s="50" t="s">
        <v>24</v>
      </c>
      <c r="BK2" s="50" t="s">
        <v>25</v>
      </c>
      <c r="BL2" s="51" t="s">
        <v>26</v>
      </c>
      <c r="BM2" s="50" t="s">
        <v>27</v>
      </c>
      <c r="BN2" s="50" t="s">
        <v>28</v>
      </c>
      <c r="BO2" s="52" t="s">
        <v>29</v>
      </c>
      <c r="CF2" s="4"/>
      <c r="CG2" s="4"/>
    </row>
    <row r="3" spans="1:85" ht="30" customHeight="1" x14ac:dyDescent="0.5">
      <c r="A3" s="29">
        <v>1</v>
      </c>
      <c r="B3" s="9">
        <v>3729060</v>
      </c>
      <c r="C3" s="9"/>
      <c r="D3" s="9" t="s">
        <v>86</v>
      </c>
      <c r="E3" s="10" t="s">
        <v>4</v>
      </c>
      <c r="F3" s="18">
        <v>43430</v>
      </c>
      <c r="G3" s="11">
        <v>1</v>
      </c>
      <c r="H3" s="30">
        <v>0</v>
      </c>
      <c r="I3" s="28">
        <v>43591</v>
      </c>
      <c r="J3" s="117">
        <f t="shared" ref="J3:J17" si="0">(I3-F3)/31</f>
        <v>5.193548387096774</v>
      </c>
      <c r="K3" s="4">
        <v>0</v>
      </c>
      <c r="L3" s="4">
        <v>1</v>
      </c>
      <c r="M3" s="4">
        <v>18</v>
      </c>
      <c r="N3" s="4">
        <v>0</v>
      </c>
      <c r="O3" s="4">
        <v>0</v>
      </c>
      <c r="P3" s="21" t="s">
        <v>2</v>
      </c>
      <c r="Q3" s="20">
        <v>1</v>
      </c>
      <c r="R3" s="4">
        <v>0</v>
      </c>
      <c r="S3" s="22" t="s">
        <v>18</v>
      </c>
      <c r="T3" s="24">
        <v>0</v>
      </c>
      <c r="U3" s="3">
        <v>0</v>
      </c>
      <c r="V3" s="3">
        <v>0</v>
      </c>
      <c r="W3" s="3">
        <v>0</v>
      </c>
      <c r="X3" s="19">
        <v>3</v>
      </c>
      <c r="Y3" s="12">
        <v>3</v>
      </c>
      <c r="Z3" s="12">
        <v>3</v>
      </c>
      <c r="AA3" s="25">
        <v>2</v>
      </c>
      <c r="AB3" s="24">
        <v>0</v>
      </c>
      <c r="AC3" s="3">
        <v>1</v>
      </c>
      <c r="AD3" s="3">
        <v>1</v>
      </c>
      <c r="AE3" s="3">
        <v>0</v>
      </c>
      <c r="AF3" s="19">
        <v>3</v>
      </c>
      <c r="AG3" s="12">
        <v>2</v>
      </c>
      <c r="AH3" s="12">
        <v>3</v>
      </c>
      <c r="AI3" s="25">
        <v>3</v>
      </c>
      <c r="AJ3" s="24">
        <v>0</v>
      </c>
      <c r="AK3" s="3">
        <v>1</v>
      </c>
      <c r="AL3" s="3">
        <v>1</v>
      </c>
      <c r="AM3" s="3">
        <v>1</v>
      </c>
      <c r="AN3" s="19">
        <v>3</v>
      </c>
      <c r="AO3" s="12">
        <v>2</v>
      </c>
      <c r="AP3" s="12">
        <v>2</v>
      </c>
      <c r="AQ3" s="25">
        <v>2</v>
      </c>
      <c r="AR3" s="24">
        <v>0</v>
      </c>
      <c r="AS3" s="3">
        <v>1</v>
      </c>
      <c r="AT3" s="3">
        <v>1</v>
      </c>
      <c r="AU3" s="3">
        <v>1</v>
      </c>
      <c r="AV3" s="19">
        <v>2</v>
      </c>
      <c r="AW3" s="12">
        <v>1</v>
      </c>
      <c r="AX3" s="12">
        <v>2</v>
      </c>
      <c r="AY3" s="25">
        <v>1</v>
      </c>
      <c r="AZ3" s="24">
        <v>0</v>
      </c>
      <c r="BA3" s="12">
        <v>2</v>
      </c>
      <c r="BB3" s="12">
        <v>2</v>
      </c>
      <c r="BC3" s="12">
        <v>2</v>
      </c>
      <c r="BD3" s="19">
        <v>2</v>
      </c>
      <c r="BE3" s="12">
        <v>0</v>
      </c>
      <c r="BF3" s="12">
        <v>2</v>
      </c>
      <c r="BG3" s="25">
        <v>1</v>
      </c>
      <c r="BH3" s="24">
        <v>1</v>
      </c>
      <c r="BI3" s="12">
        <v>3</v>
      </c>
      <c r="BJ3" s="12">
        <v>3</v>
      </c>
      <c r="BK3" s="12">
        <v>3</v>
      </c>
      <c r="BL3" s="19">
        <v>1</v>
      </c>
      <c r="BM3" s="12">
        <v>0</v>
      </c>
      <c r="BN3" s="12">
        <v>2</v>
      </c>
      <c r="BO3" s="25">
        <v>0</v>
      </c>
      <c r="CF3" s="4"/>
      <c r="CG3" s="4"/>
    </row>
    <row r="4" spans="1:85" ht="30" customHeight="1" x14ac:dyDescent="0.5">
      <c r="A4" s="29">
        <v>2</v>
      </c>
      <c r="B4" s="9">
        <v>3729172</v>
      </c>
      <c r="C4" s="9" t="s">
        <v>63</v>
      </c>
      <c r="D4" s="9" t="s">
        <v>87</v>
      </c>
      <c r="E4" s="10" t="s">
        <v>62</v>
      </c>
      <c r="F4" s="18">
        <v>43555</v>
      </c>
      <c r="G4" s="11">
        <v>1</v>
      </c>
      <c r="H4" s="30">
        <v>0</v>
      </c>
      <c r="I4" s="28">
        <v>43633</v>
      </c>
      <c r="J4" s="117">
        <f t="shared" si="0"/>
        <v>2.5161290322580645</v>
      </c>
      <c r="K4" s="5" t="s">
        <v>64</v>
      </c>
      <c r="L4" s="4">
        <v>1</v>
      </c>
      <c r="M4" s="4">
        <v>19</v>
      </c>
      <c r="N4" s="4">
        <v>0</v>
      </c>
      <c r="O4" s="4">
        <v>0</v>
      </c>
      <c r="P4" s="21" t="s">
        <v>2</v>
      </c>
      <c r="Q4" s="20">
        <v>1</v>
      </c>
      <c r="R4" s="4">
        <v>0</v>
      </c>
      <c r="S4" s="22" t="s">
        <v>18</v>
      </c>
      <c r="T4" s="24">
        <v>0</v>
      </c>
      <c r="U4" s="3">
        <v>0</v>
      </c>
      <c r="V4" s="3">
        <v>0</v>
      </c>
      <c r="W4" s="3">
        <v>0</v>
      </c>
      <c r="X4" s="19">
        <v>3</v>
      </c>
      <c r="Y4" s="12">
        <v>3</v>
      </c>
      <c r="Z4" s="12">
        <v>3</v>
      </c>
      <c r="AA4" s="25">
        <v>3</v>
      </c>
      <c r="AB4" s="24">
        <v>0</v>
      </c>
      <c r="AC4" s="3">
        <v>0</v>
      </c>
      <c r="AD4" s="3">
        <v>1</v>
      </c>
      <c r="AE4" s="3">
        <v>0</v>
      </c>
      <c r="AF4" s="19">
        <v>3</v>
      </c>
      <c r="AG4" s="12">
        <v>3</v>
      </c>
      <c r="AH4" s="12">
        <v>2</v>
      </c>
      <c r="AI4" s="25">
        <v>3</v>
      </c>
      <c r="AJ4" s="24">
        <v>0</v>
      </c>
      <c r="AK4" s="3">
        <v>1</v>
      </c>
      <c r="AL4" s="3">
        <v>1</v>
      </c>
      <c r="AM4" s="3">
        <v>0</v>
      </c>
      <c r="AN4" s="8">
        <v>3</v>
      </c>
      <c r="AO4" s="3">
        <v>2</v>
      </c>
      <c r="AP4" s="3">
        <v>2</v>
      </c>
      <c r="AQ4" s="26">
        <v>2</v>
      </c>
      <c r="AR4" s="24">
        <v>0</v>
      </c>
      <c r="AS4" s="3">
        <v>1</v>
      </c>
      <c r="AT4" s="3">
        <v>1</v>
      </c>
      <c r="AU4" s="3">
        <v>1</v>
      </c>
      <c r="AV4" s="8">
        <v>2</v>
      </c>
      <c r="AW4" s="3">
        <v>0</v>
      </c>
      <c r="AX4" s="3">
        <v>2</v>
      </c>
      <c r="AY4" s="26">
        <v>2</v>
      </c>
      <c r="AZ4" s="24">
        <v>0</v>
      </c>
      <c r="BA4" s="3">
        <v>2</v>
      </c>
      <c r="BB4" s="3">
        <v>2</v>
      </c>
      <c r="BC4" s="3">
        <v>2</v>
      </c>
      <c r="BD4" s="8">
        <v>2</v>
      </c>
      <c r="BE4" s="1">
        <v>0</v>
      </c>
      <c r="BF4" s="1">
        <v>1</v>
      </c>
      <c r="BG4" s="21">
        <v>1</v>
      </c>
      <c r="BH4" s="23">
        <v>0</v>
      </c>
      <c r="BI4" s="1">
        <v>3</v>
      </c>
      <c r="BJ4" s="1">
        <v>3</v>
      </c>
      <c r="BK4" s="1">
        <v>3</v>
      </c>
      <c r="BL4" s="2">
        <v>2</v>
      </c>
      <c r="BM4" s="1">
        <v>0</v>
      </c>
      <c r="BN4" s="1">
        <v>1</v>
      </c>
      <c r="BO4" s="21">
        <v>0</v>
      </c>
      <c r="CF4" s="4"/>
      <c r="CG4" s="4"/>
    </row>
    <row r="5" spans="1:85" ht="30" customHeight="1" x14ac:dyDescent="0.5">
      <c r="A5" s="29">
        <v>3</v>
      </c>
      <c r="B5" s="10" t="s">
        <v>18</v>
      </c>
      <c r="C5" s="10" t="s">
        <v>83</v>
      </c>
      <c r="D5" s="10" t="s">
        <v>88</v>
      </c>
      <c r="E5" s="10" t="s">
        <v>62</v>
      </c>
      <c r="F5" s="18">
        <v>43606</v>
      </c>
      <c r="G5" s="11">
        <v>1</v>
      </c>
      <c r="H5" s="30">
        <v>0</v>
      </c>
      <c r="I5" s="28">
        <v>43696</v>
      </c>
      <c r="J5" s="117">
        <f t="shared" si="0"/>
        <v>2.903225806451613</v>
      </c>
      <c r="K5" s="1">
        <v>0</v>
      </c>
      <c r="L5" s="4">
        <v>1</v>
      </c>
      <c r="M5" s="4">
        <v>21</v>
      </c>
      <c r="N5" s="4">
        <v>0</v>
      </c>
      <c r="O5" s="4">
        <v>0</v>
      </c>
      <c r="P5" s="21" t="s">
        <v>2</v>
      </c>
      <c r="Q5" s="20">
        <v>1</v>
      </c>
      <c r="R5" s="4">
        <v>0</v>
      </c>
      <c r="S5" s="21" t="s">
        <v>18</v>
      </c>
      <c r="T5" s="24">
        <v>0</v>
      </c>
      <c r="U5" s="3">
        <v>0</v>
      </c>
      <c r="V5" s="3">
        <v>0</v>
      </c>
      <c r="W5" s="3">
        <v>0</v>
      </c>
      <c r="X5" s="19">
        <v>3</v>
      </c>
      <c r="Y5" s="12">
        <v>3</v>
      </c>
      <c r="Z5" s="12">
        <v>3</v>
      </c>
      <c r="AA5" s="25">
        <v>3</v>
      </c>
      <c r="AB5" s="24">
        <v>0</v>
      </c>
      <c r="AC5" s="3">
        <v>0</v>
      </c>
      <c r="AD5" s="3">
        <v>1</v>
      </c>
      <c r="AE5" s="3">
        <v>0</v>
      </c>
      <c r="AF5" s="8">
        <v>3</v>
      </c>
      <c r="AG5" s="3">
        <v>2</v>
      </c>
      <c r="AH5" s="3">
        <v>3</v>
      </c>
      <c r="AI5" s="26">
        <v>2</v>
      </c>
      <c r="AJ5" s="24">
        <v>0</v>
      </c>
      <c r="AK5" s="3">
        <v>1</v>
      </c>
      <c r="AL5" s="3">
        <v>2</v>
      </c>
      <c r="AM5" s="3">
        <v>1</v>
      </c>
      <c r="AN5" s="8">
        <v>3</v>
      </c>
      <c r="AO5" s="3">
        <v>1</v>
      </c>
      <c r="AP5" s="3">
        <v>2</v>
      </c>
      <c r="AQ5" s="26">
        <v>2</v>
      </c>
      <c r="AR5" s="24">
        <v>0</v>
      </c>
      <c r="AS5" s="3">
        <v>1</v>
      </c>
      <c r="AT5" s="3">
        <v>2</v>
      </c>
      <c r="AU5" s="3">
        <v>1</v>
      </c>
      <c r="AV5" s="8">
        <v>2</v>
      </c>
      <c r="AW5" s="3">
        <v>0</v>
      </c>
      <c r="AX5" s="3">
        <v>3</v>
      </c>
      <c r="AY5" s="26">
        <v>2</v>
      </c>
      <c r="AZ5" s="24">
        <v>0</v>
      </c>
      <c r="BA5" s="3">
        <v>2</v>
      </c>
      <c r="BB5" s="3">
        <v>2</v>
      </c>
      <c r="BC5" s="3">
        <v>2</v>
      </c>
      <c r="BD5" s="8">
        <v>2</v>
      </c>
      <c r="BE5" s="1">
        <v>0</v>
      </c>
      <c r="BF5" s="1">
        <v>3</v>
      </c>
      <c r="BG5" s="21">
        <v>1</v>
      </c>
      <c r="BH5" s="23">
        <v>0</v>
      </c>
      <c r="BI5" s="1">
        <v>3</v>
      </c>
      <c r="BJ5" s="1">
        <v>3</v>
      </c>
      <c r="BK5" s="1">
        <v>3</v>
      </c>
      <c r="BL5" s="2">
        <v>1</v>
      </c>
      <c r="BM5" s="1">
        <v>0</v>
      </c>
      <c r="BN5" s="1">
        <v>2</v>
      </c>
      <c r="BO5" s="21">
        <v>0</v>
      </c>
      <c r="BP5" s="78" t="s">
        <v>89</v>
      </c>
      <c r="CF5" s="4"/>
      <c r="CG5" s="4"/>
    </row>
    <row r="6" spans="1:85" ht="30" customHeight="1" x14ac:dyDescent="0.5">
      <c r="A6" s="29">
        <v>4</v>
      </c>
      <c r="B6" s="10"/>
      <c r="C6" s="10" t="s">
        <v>82</v>
      </c>
      <c r="D6" s="10" t="s">
        <v>90</v>
      </c>
      <c r="E6" s="10" t="s">
        <v>4</v>
      </c>
      <c r="F6" s="18">
        <v>43606</v>
      </c>
      <c r="G6" s="11">
        <v>1</v>
      </c>
      <c r="H6" s="30">
        <v>0</v>
      </c>
      <c r="I6" s="28">
        <v>43801</v>
      </c>
      <c r="J6" s="117">
        <f t="shared" si="0"/>
        <v>6.290322580645161</v>
      </c>
      <c r="K6" s="1">
        <v>0</v>
      </c>
      <c r="L6" s="4">
        <v>1</v>
      </c>
      <c r="M6" s="4">
        <v>25</v>
      </c>
      <c r="N6" s="4">
        <v>0</v>
      </c>
      <c r="O6" s="4">
        <v>0</v>
      </c>
      <c r="P6" s="21" t="s">
        <v>2</v>
      </c>
      <c r="Q6" s="20">
        <v>1</v>
      </c>
      <c r="R6" s="4">
        <v>0</v>
      </c>
      <c r="S6" s="21" t="s">
        <v>18</v>
      </c>
      <c r="T6" s="24">
        <v>0</v>
      </c>
      <c r="U6" s="3">
        <v>0</v>
      </c>
      <c r="V6" s="3">
        <v>0</v>
      </c>
      <c r="W6" s="3">
        <v>0</v>
      </c>
      <c r="X6" s="19">
        <v>3</v>
      </c>
      <c r="Y6" s="12">
        <v>3</v>
      </c>
      <c r="Z6" s="12">
        <v>3</v>
      </c>
      <c r="AA6" s="25">
        <v>3</v>
      </c>
      <c r="AB6" s="24">
        <v>0</v>
      </c>
      <c r="AC6" s="3">
        <v>0</v>
      </c>
      <c r="AD6" s="3">
        <v>1</v>
      </c>
      <c r="AE6" s="3">
        <v>0</v>
      </c>
      <c r="AF6" s="8">
        <v>3</v>
      </c>
      <c r="AG6" s="3">
        <v>2</v>
      </c>
      <c r="AH6" s="3">
        <v>3</v>
      </c>
      <c r="AI6" s="26">
        <v>3</v>
      </c>
      <c r="AJ6" s="24">
        <v>0</v>
      </c>
      <c r="AK6" s="3">
        <v>1</v>
      </c>
      <c r="AL6" s="3">
        <v>1</v>
      </c>
      <c r="AM6" s="3">
        <v>0</v>
      </c>
      <c r="AN6" s="8">
        <v>3</v>
      </c>
      <c r="AO6" s="3">
        <v>2</v>
      </c>
      <c r="AP6" s="3">
        <v>3</v>
      </c>
      <c r="AQ6" s="26">
        <v>3</v>
      </c>
      <c r="AR6" s="24">
        <v>0</v>
      </c>
      <c r="AS6" s="3">
        <v>1</v>
      </c>
      <c r="AT6" s="3">
        <v>2</v>
      </c>
      <c r="AU6" s="3">
        <v>2</v>
      </c>
      <c r="AV6" s="8">
        <v>3</v>
      </c>
      <c r="AW6" s="3">
        <v>0</v>
      </c>
      <c r="AX6" s="3">
        <v>2</v>
      </c>
      <c r="AY6" s="26">
        <v>2</v>
      </c>
      <c r="AZ6" s="24">
        <v>0</v>
      </c>
      <c r="BA6" s="3">
        <v>2</v>
      </c>
      <c r="BB6" s="3">
        <v>2</v>
      </c>
      <c r="BC6" s="3">
        <v>2</v>
      </c>
      <c r="BD6" s="8">
        <v>3</v>
      </c>
      <c r="BE6" s="1">
        <v>0</v>
      </c>
      <c r="BF6" s="1">
        <v>2</v>
      </c>
      <c r="BG6" s="21">
        <v>2</v>
      </c>
      <c r="BH6" s="23">
        <v>0</v>
      </c>
      <c r="BI6" s="1">
        <v>3</v>
      </c>
      <c r="BJ6" s="1">
        <v>3</v>
      </c>
      <c r="BK6" s="1">
        <v>3</v>
      </c>
      <c r="BL6" s="2">
        <v>1</v>
      </c>
      <c r="BM6" s="1">
        <v>0</v>
      </c>
      <c r="BN6" s="1">
        <v>1</v>
      </c>
      <c r="BO6" s="21">
        <v>0</v>
      </c>
      <c r="CF6" s="4"/>
      <c r="CG6" s="4"/>
    </row>
    <row r="7" spans="1:85" ht="30" customHeight="1" x14ac:dyDescent="0.5">
      <c r="A7" s="29">
        <v>5</v>
      </c>
      <c r="B7" s="10"/>
      <c r="C7" s="10" t="s">
        <v>93</v>
      </c>
      <c r="D7" s="10" t="s">
        <v>91</v>
      </c>
      <c r="E7" s="10" t="s">
        <v>62</v>
      </c>
      <c r="F7" s="18">
        <v>43690</v>
      </c>
      <c r="G7" s="11">
        <v>1</v>
      </c>
      <c r="H7" s="30">
        <v>0</v>
      </c>
      <c r="I7" s="28">
        <v>43850</v>
      </c>
      <c r="J7" s="117">
        <f t="shared" si="0"/>
        <v>5.161290322580645</v>
      </c>
      <c r="K7" s="1" t="s">
        <v>64</v>
      </c>
      <c r="L7" s="4">
        <v>1</v>
      </c>
      <c r="M7" s="4">
        <v>18</v>
      </c>
      <c r="N7" s="4">
        <v>0</v>
      </c>
      <c r="O7" s="4">
        <v>0</v>
      </c>
      <c r="P7" s="21" t="s">
        <v>2</v>
      </c>
      <c r="Q7" s="20">
        <v>1</v>
      </c>
      <c r="R7" s="4">
        <v>0</v>
      </c>
      <c r="S7" s="21" t="s">
        <v>18</v>
      </c>
      <c r="T7" s="24">
        <v>0</v>
      </c>
      <c r="U7" s="3">
        <v>0</v>
      </c>
      <c r="V7" s="3">
        <v>0</v>
      </c>
      <c r="W7" s="3">
        <v>0</v>
      </c>
      <c r="X7" s="19">
        <v>3</v>
      </c>
      <c r="Y7" s="12">
        <v>3</v>
      </c>
      <c r="Z7" s="12">
        <v>3</v>
      </c>
      <c r="AA7" s="25">
        <v>3</v>
      </c>
      <c r="AB7" s="24">
        <v>0</v>
      </c>
      <c r="AC7" s="3">
        <v>0</v>
      </c>
      <c r="AD7" s="3">
        <v>1</v>
      </c>
      <c r="AE7" s="3">
        <v>0</v>
      </c>
      <c r="AF7" s="8">
        <v>3</v>
      </c>
      <c r="AG7" s="3">
        <v>3</v>
      </c>
      <c r="AH7" s="3">
        <v>3</v>
      </c>
      <c r="AI7" s="26">
        <v>3</v>
      </c>
      <c r="AJ7" s="24">
        <v>0</v>
      </c>
      <c r="AK7" s="3">
        <v>1</v>
      </c>
      <c r="AL7" s="3">
        <v>2</v>
      </c>
      <c r="AM7" s="3">
        <v>1</v>
      </c>
      <c r="AN7" s="8">
        <v>3</v>
      </c>
      <c r="AO7" s="3">
        <v>2</v>
      </c>
      <c r="AP7" s="3">
        <v>3</v>
      </c>
      <c r="AQ7" s="26">
        <v>2</v>
      </c>
      <c r="AR7" s="24">
        <v>0</v>
      </c>
      <c r="AS7" s="3">
        <v>1</v>
      </c>
      <c r="AT7" s="3">
        <v>2</v>
      </c>
      <c r="AU7" s="3">
        <v>1</v>
      </c>
      <c r="AV7" s="8">
        <v>3</v>
      </c>
      <c r="AW7" s="3">
        <v>0</v>
      </c>
      <c r="AX7" s="3">
        <v>3</v>
      </c>
      <c r="AY7" s="26">
        <v>2</v>
      </c>
      <c r="AZ7" s="24">
        <v>0</v>
      </c>
      <c r="BA7" s="3">
        <v>2</v>
      </c>
      <c r="BB7" s="3">
        <v>2</v>
      </c>
      <c r="BC7" s="3">
        <v>2</v>
      </c>
      <c r="BD7" s="8">
        <v>2</v>
      </c>
      <c r="BE7" s="1">
        <v>0</v>
      </c>
      <c r="BF7" s="1">
        <v>3</v>
      </c>
      <c r="BG7" s="21">
        <v>1</v>
      </c>
      <c r="BH7" s="23">
        <v>0</v>
      </c>
      <c r="BI7" s="1">
        <v>3</v>
      </c>
      <c r="BJ7" s="1">
        <v>3</v>
      </c>
      <c r="BK7" s="1">
        <v>3</v>
      </c>
      <c r="BL7" s="2">
        <v>1</v>
      </c>
      <c r="BM7" s="1">
        <v>0</v>
      </c>
      <c r="BN7" s="1">
        <v>1</v>
      </c>
      <c r="BO7" s="21">
        <v>0</v>
      </c>
      <c r="CF7" s="4"/>
      <c r="CG7" s="4"/>
    </row>
    <row r="8" spans="1:85" ht="30" customHeight="1" x14ac:dyDescent="0.5">
      <c r="A8" s="29">
        <v>6</v>
      </c>
      <c r="B8" s="10"/>
      <c r="C8" s="10" t="s">
        <v>92</v>
      </c>
      <c r="D8" s="10" t="s">
        <v>91</v>
      </c>
      <c r="E8" s="10" t="s">
        <v>4</v>
      </c>
      <c r="F8" s="18">
        <v>43690</v>
      </c>
      <c r="G8" s="11">
        <v>1</v>
      </c>
      <c r="H8" s="30">
        <v>0</v>
      </c>
      <c r="I8" s="28">
        <v>43850</v>
      </c>
      <c r="J8" s="117">
        <f t="shared" si="0"/>
        <v>5.161290322580645</v>
      </c>
      <c r="K8" s="1">
        <v>1</v>
      </c>
      <c r="L8" s="4">
        <v>1</v>
      </c>
      <c r="M8" s="4">
        <v>22</v>
      </c>
      <c r="N8" s="4">
        <v>0</v>
      </c>
      <c r="O8" s="4">
        <v>0</v>
      </c>
      <c r="P8" s="21" t="s">
        <v>2</v>
      </c>
      <c r="Q8" s="20">
        <v>1</v>
      </c>
      <c r="R8" s="4">
        <v>0</v>
      </c>
      <c r="S8" s="21" t="s">
        <v>18</v>
      </c>
      <c r="T8" s="24">
        <v>0</v>
      </c>
      <c r="U8" s="3">
        <v>0</v>
      </c>
      <c r="V8" s="3">
        <v>0</v>
      </c>
      <c r="W8" s="3">
        <v>0</v>
      </c>
      <c r="X8" s="19">
        <v>3</v>
      </c>
      <c r="Y8" s="12">
        <v>3</v>
      </c>
      <c r="Z8" s="12">
        <v>3</v>
      </c>
      <c r="AA8" s="25">
        <v>3</v>
      </c>
      <c r="AB8" s="24">
        <v>0</v>
      </c>
      <c r="AC8" s="3">
        <v>0</v>
      </c>
      <c r="AD8" s="3">
        <v>2</v>
      </c>
      <c r="AE8" s="3">
        <v>0</v>
      </c>
      <c r="AF8" s="8">
        <v>3</v>
      </c>
      <c r="AG8" s="3">
        <v>2</v>
      </c>
      <c r="AH8" s="3">
        <v>2</v>
      </c>
      <c r="AI8" s="26">
        <v>2</v>
      </c>
      <c r="AJ8" s="24">
        <v>0</v>
      </c>
      <c r="AK8" s="3">
        <v>1</v>
      </c>
      <c r="AL8" s="3">
        <v>1</v>
      </c>
      <c r="AM8" s="3">
        <v>0</v>
      </c>
      <c r="AN8" s="8">
        <v>3</v>
      </c>
      <c r="AO8" s="3">
        <v>1</v>
      </c>
      <c r="AP8" s="3">
        <v>3</v>
      </c>
      <c r="AQ8" s="26">
        <v>3</v>
      </c>
      <c r="AR8" s="24">
        <v>0</v>
      </c>
      <c r="AS8" s="3">
        <v>1</v>
      </c>
      <c r="AT8" s="3">
        <v>2</v>
      </c>
      <c r="AU8" s="3">
        <v>2</v>
      </c>
      <c r="AV8" s="8">
        <v>3</v>
      </c>
      <c r="AW8" s="3">
        <v>0</v>
      </c>
      <c r="AX8" s="3">
        <v>2</v>
      </c>
      <c r="AY8" s="26">
        <v>2</v>
      </c>
      <c r="AZ8" s="24">
        <v>0</v>
      </c>
      <c r="BA8" s="3">
        <v>2</v>
      </c>
      <c r="BB8" s="3">
        <v>2</v>
      </c>
      <c r="BC8" s="3">
        <v>2</v>
      </c>
      <c r="BD8" s="8">
        <v>3</v>
      </c>
      <c r="BE8" s="1">
        <v>0</v>
      </c>
      <c r="BF8" s="1">
        <v>2</v>
      </c>
      <c r="BG8" s="21">
        <v>2</v>
      </c>
      <c r="BH8" s="23">
        <v>0</v>
      </c>
      <c r="BI8" s="1">
        <v>3</v>
      </c>
      <c r="BJ8" s="1">
        <v>3</v>
      </c>
      <c r="BK8" s="1">
        <v>3</v>
      </c>
      <c r="BL8" s="2">
        <v>1</v>
      </c>
      <c r="BM8" s="1">
        <v>0</v>
      </c>
      <c r="BN8" s="1">
        <v>2</v>
      </c>
      <c r="BO8" s="21">
        <v>0</v>
      </c>
    </row>
    <row r="9" spans="1:85" ht="30" customHeight="1" thickBot="1" x14ac:dyDescent="0.55000000000000004">
      <c r="A9" s="29"/>
      <c r="B9" s="10"/>
      <c r="C9" s="10"/>
      <c r="D9" s="10"/>
      <c r="E9" s="10"/>
      <c r="F9" s="18"/>
      <c r="G9" s="11"/>
      <c r="H9" s="30"/>
      <c r="I9" s="28"/>
      <c r="J9" s="4">
        <f>AVERAGE(J3:J8)</f>
        <v>4.5376344086021501</v>
      </c>
      <c r="M9" s="4">
        <f>AVERAGE(M3:M8)</f>
        <v>20.5</v>
      </c>
      <c r="P9" s="21"/>
      <c r="Q9" s="20"/>
      <c r="S9" s="21"/>
      <c r="T9" s="24"/>
      <c r="X9" s="19"/>
      <c r="Y9" s="12"/>
      <c r="Z9" s="12"/>
      <c r="AA9" s="25"/>
      <c r="AB9" s="24"/>
      <c r="AF9" s="8"/>
      <c r="AI9" s="26"/>
      <c r="AJ9" s="24"/>
      <c r="AN9" s="8"/>
      <c r="AQ9" s="26"/>
      <c r="AR9" s="24"/>
      <c r="AV9" s="8"/>
      <c r="AY9" s="26"/>
      <c r="AZ9" s="24"/>
      <c r="BD9" s="8"/>
      <c r="BG9" s="21"/>
      <c r="BH9" s="23"/>
      <c r="BL9" s="2"/>
      <c r="BO9" s="21"/>
    </row>
    <row r="10" spans="1:85" ht="30" customHeight="1" x14ac:dyDescent="0.5">
      <c r="A10" s="37">
        <v>1</v>
      </c>
      <c r="B10" s="38"/>
      <c r="C10" s="38" t="s">
        <v>95</v>
      </c>
      <c r="D10" s="38" t="s">
        <v>94</v>
      </c>
      <c r="E10" s="38" t="s">
        <v>4</v>
      </c>
      <c r="F10" s="90">
        <v>43615</v>
      </c>
      <c r="G10" s="39">
        <v>0</v>
      </c>
      <c r="H10" s="40">
        <v>1</v>
      </c>
      <c r="I10" s="88">
        <v>43851</v>
      </c>
      <c r="J10" s="118">
        <f t="shared" si="0"/>
        <v>7.612903225806452</v>
      </c>
      <c r="K10" s="41">
        <v>0</v>
      </c>
      <c r="L10" s="42" t="s">
        <v>18</v>
      </c>
      <c r="M10" s="42">
        <v>27</v>
      </c>
      <c r="N10" s="42">
        <v>0</v>
      </c>
      <c r="O10" s="42">
        <v>0</v>
      </c>
      <c r="P10" s="43" t="s">
        <v>2</v>
      </c>
      <c r="Q10" s="44">
        <v>0</v>
      </c>
      <c r="R10" s="42">
        <v>0</v>
      </c>
      <c r="S10" s="43" t="s">
        <v>18</v>
      </c>
      <c r="T10" s="45">
        <v>0</v>
      </c>
      <c r="U10" s="46">
        <v>0</v>
      </c>
      <c r="V10" s="46">
        <v>0</v>
      </c>
      <c r="W10" s="46">
        <v>0</v>
      </c>
      <c r="X10" s="47">
        <v>3</v>
      </c>
      <c r="Y10" s="46">
        <v>3</v>
      </c>
      <c r="Z10" s="46">
        <v>3</v>
      </c>
      <c r="AA10" s="48">
        <v>3</v>
      </c>
      <c r="AB10" s="45">
        <v>0</v>
      </c>
      <c r="AC10" s="46">
        <v>0</v>
      </c>
      <c r="AD10" s="46">
        <v>1</v>
      </c>
      <c r="AE10" s="46">
        <v>0</v>
      </c>
      <c r="AF10" s="47">
        <v>3</v>
      </c>
      <c r="AG10" s="46">
        <v>2</v>
      </c>
      <c r="AH10" s="46">
        <v>3</v>
      </c>
      <c r="AI10" s="48">
        <v>2</v>
      </c>
      <c r="AJ10" s="45">
        <v>0</v>
      </c>
      <c r="AK10" s="46">
        <v>1</v>
      </c>
      <c r="AL10" s="46">
        <v>2</v>
      </c>
      <c r="AM10" s="46">
        <v>1</v>
      </c>
      <c r="AN10" s="47">
        <v>2</v>
      </c>
      <c r="AO10" s="41">
        <v>2</v>
      </c>
      <c r="AP10" s="41">
        <v>3</v>
      </c>
      <c r="AQ10" s="43">
        <v>1</v>
      </c>
      <c r="AR10" s="45">
        <v>0</v>
      </c>
      <c r="AS10" s="46">
        <v>2</v>
      </c>
      <c r="AT10" s="46">
        <v>2</v>
      </c>
      <c r="AU10" s="46">
        <v>2</v>
      </c>
      <c r="AV10" s="47">
        <v>2</v>
      </c>
      <c r="AW10" s="41">
        <v>0</v>
      </c>
      <c r="AX10" s="41">
        <v>3</v>
      </c>
      <c r="AY10" s="43">
        <v>0</v>
      </c>
      <c r="AZ10" s="45">
        <v>0</v>
      </c>
      <c r="BA10" s="46">
        <v>3</v>
      </c>
      <c r="BB10" s="46">
        <v>3</v>
      </c>
      <c r="BC10" s="46">
        <v>3</v>
      </c>
      <c r="BD10" s="47">
        <v>2</v>
      </c>
      <c r="BE10" s="41">
        <v>0</v>
      </c>
      <c r="BF10" s="41">
        <v>2</v>
      </c>
      <c r="BG10" s="43">
        <v>0</v>
      </c>
      <c r="BH10" s="45">
        <v>0</v>
      </c>
      <c r="BI10" s="46">
        <v>3</v>
      </c>
      <c r="BJ10" s="46">
        <v>3</v>
      </c>
      <c r="BK10" s="46">
        <v>3</v>
      </c>
      <c r="BL10" s="47">
        <v>1</v>
      </c>
      <c r="BM10" s="41">
        <v>0</v>
      </c>
      <c r="BN10" s="41">
        <v>1</v>
      </c>
      <c r="BO10" s="43">
        <v>0</v>
      </c>
    </row>
    <row r="11" spans="1:85" ht="30" customHeight="1" x14ac:dyDescent="0.5">
      <c r="A11" s="31">
        <v>2</v>
      </c>
      <c r="B11" s="13"/>
      <c r="C11" s="13" t="s">
        <v>96</v>
      </c>
      <c r="D11" s="13" t="s">
        <v>94</v>
      </c>
      <c r="E11" s="13" t="s">
        <v>4</v>
      </c>
      <c r="F11" s="91">
        <v>43615</v>
      </c>
      <c r="G11" s="14">
        <v>0</v>
      </c>
      <c r="H11" s="32">
        <v>1</v>
      </c>
      <c r="I11" s="28">
        <v>43851</v>
      </c>
      <c r="J11" s="117">
        <f t="shared" si="0"/>
        <v>7.612903225806452</v>
      </c>
      <c r="K11" s="1">
        <v>0</v>
      </c>
      <c r="L11" s="4" t="s">
        <v>18</v>
      </c>
      <c r="M11" s="4">
        <v>21</v>
      </c>
      <c r="N11" s="4">
        <v>0</v>
      </c>
      <c r="O11" s="4">
        <v>0</v>
      </c>
      <c r="P11" s="21" t="s">
        <v>2</v>
      </c>
      <c r="Q11" s="20">
        <v>1</v>
      </c>
      <c r="R11" s="4">
        <v>0</v>
      </c>
      <c r="S11" s="21" t="s">
        <v>18</v>
      </c>
      <c r="T11" s="24">
        <v>0</v>
      </c>
      <c r="U11" s="3">
        <v>0</v>
      </c>
      <c r="V11" s="3">
        <v>0</v>
      </c>
      <c r="W11" s="3">
        <v>0</v>
      </c>
      <c r="X11" s="8">
        <v>3</v>
      </c>
      <c r="Y11" s="3">
        <v>3</v>
      </c>
      <c r="Z11" s="3">
        <v>3</v>
      </c>
      <c r="AA11" s="26">
        <v>3</v>
      </c>
      <c r="AB11" s="24">
        <v>0</v>
      </c>
      <c r="AC11" s="3">
        <v>1</v>
      </c>
      <c r="AD11" s="3">
        <v>1</v>
      </c>
      <c r="AE11" s="3">
        <v>0</v>
      </c>
      <c r="AF11" s="8">
        <v>3</v>
      </c>
      <c r="AG11" s="3">
        <v>2</v>
      </c>
      <c r="AH11" s="3">
        <v>2</v>
      </c>
      <c r="AI11" s="26">
        <v>3</v>
      </c>
      <c r="AJ11" s="24">
        <v>0</v>
      </c>
      <c r="AK11" s="3">
        <v>1</v>
      </c>
      <c r="AL11" s="3">
        <v>1</v>
      </c>
      <c r="AM11" s="3">
        <v>1</v>
      </c>
      <c r="AN11" s="8">
        <v>3</v>
      </c>
      <c r="AO11" s="1">
        <v>2</v>
      </c>
      <c r="AP11" s="1">
        <v>3</v>
      </c>
      <c r="AQ11" s="21">
        <v>0</v>
      </c>
      <c r="AR11" s="24">
        <v>0</v>
      </c>
      <c r="AS11" s="3">
        <v>3</v>
      </c>
      <c r="AT11" s="3">
        <v>2</v>
      </c>
      <c r="AU11" s="3">
        <v>3</v>
      </c>
      <c r="AV11" s="8">
        <v>3</v>
      </c>
      <c r="AW11" s="1">
        <v>0</v>
      </c>
      <c r="AX11" s="1">
        <v>3</v>
      </c>
      <c r="AY11" s="21">
        <v>0</v>
      </c>
      <c r="AZ11" s="24">
        <v>0</v>
      </c>
      <c r="BA11" s="3">
        <v>3</v>
      </c>
      <c r="BB11" s="3">
        <v>3</v>
      </c>
      <c r="BC11" s="3">
        <v>3</v>
      </c>
      <c r="BD11" s="8">
        <v>3</v>
      </c>
      <c r="BE11" s="1">
        <v>0</v>
      </c>
      <c r="BF11" s="1">
        <v>2</v>
      </c>
      <c r="BG11" s="21">
        <v>0</v>
      </c>
      <c r="BH11" s="24">
        <v>0</v>
      </c>
      <c r="BI11" s="3">
        <v>3</v>
      </c>
      <c r="BJ11" s="3">
        <v>3</v>
      </c>
      <c r="BK11" s="3">
        <v>3</v>
      </c>
      <c r="BL11" s="8">
        <v>1</v>
      </c>
      <c r="BM11" s="1">
        <v>0</v>
      </c>
      <c r="BN11" s="1">
        <v>1</v>
      </c>
      <c r="BO11" s="21">
        <v>0</v>
      </c>
    </row>
    <row r="12" spans="1:85" ht="30" customHeight="1" x14ac:dyDescent="0.5">
      <c r="A12" s="31">
        <v>5</v>
      </c>
      <c r="B12" s="13" t="s">
        <v>18</v>
      </c>
      <c r="C12" s="13" t="s">
        <v>100</v>
      </c>
      <c r="D12" s="13" t="s">
        <v>99</v>
      </c>
      <c r="E12" s="13" t="s">
        <v>62</v>
      </c>
      <c r="F12" s="91">
        <v>43784</v>
      </c>
      <c r="G12" s="14">
        <v>0</v>
      </c>
      <c r="H12" s="32">
        <v>1</v>
      </c>
      <c r="I12" s="28">
        <v>43871</v>
      </c>
      <c r="J12" s="117">
        <f>(I12-F12)/31</f>
        <v>2.806451612903226</v>
      </c>
      <c r="K12" s="1">
        <v>3</v>
      </c>
      <c r="L12" s="4" t="s">
        <v>18</v>
      </c>
      <c r="M12" s="4">
        <v>12</v>
      </c>
      <c r="N12" s="4">
        <v>0</v>
      </c>
      <c r="O12" s="4">
        <v>0</v>
      </c>
      <c r="P12" s="21" t="s">
        <v>2</v>
      </c>
      <c r="Q12" s="20">
        <v>1</v>
      </c>
      <c r="R12" s="4">
        <v>0</v>
      </c>
      <c r="S12" s="21" t="s">
        <v>18</v>
      </c>
      <c r="T12" s="24">
        <v>0</v>
      </c>
      <c r="U12" s="3">
        <v>0</v>
      </c>
      <c r="V12" s="3">
        <v>0</v>
      </c>
      <c r="W12" s="3">
        <v>0</v>
      </c>
      <c r="X12" s="8">
        <v>3</v>
      </c>
      <c r="Y12" s="3">
        <v>3</v>
      </c>
      <c r="Z12" s="3">
        <v>3</v>
      </c>
      <c r="AA12" s="26">
        <v>3</v>
      </c>
      <c r="AB12" s="24">
        <v>0</v>
      </c>
      <c r="AC12" s="3">
        <v>1</v>
      </c>
      <c r="AD12" s="3">
        <v>1</v>
      </c>
      <c r="AE12" s="3">
        <v>0</v>
      </c>
      <c r="AF12" s="8">
        <v>3</v>
      </c>
      <c r="AG12" s="3">
        <v>3</v>
      </c>
      <c r="AH12" s="3">
        <v>3</v>
      </c>
      <c r="AI12" s="26">
        <v>3</v>
      </c>
      <c r="AJ12" s="24">
        <v>0</v>
      </c>
      <c r="AK12" s="3">
        <v>1</v>
      </c>
      <c r="AL12" s="3">
        <v>1</v>
      </c>
      <c r="AM12" s="3">
        <v>1</v>
      </c>
      <c r="AN12" s="8">
        <v>3</v>
      </c>
      <c r="AO12" s="3">
        <v>1</v>
      </c>
      <c r="AP12" s="3">
        <v>3</v>
      </c>
      <c r="AQ12" s="26">
        <v>2</v>
      </c>
      <c r="AR12" s="24">
        <v>0</v>
      </c>
      <c r="AS12" s="3">
        <v>2</v>
      </c>
      <c r="AT12" s="3">
        <v>2</v>
      </c>
      <c r="AU12" s="3">
        <v>2</v>
      </c>
      <c r="AV12" s="8">
        <v>3</v>
      </c>
      <c r="AW12" s="3">
        <v>0</v>
      </c>
      <c r="AX12" s="3">
        <v>3</v>
      </c>
      <c r="AY12" s="26">
        <v>2</v>
      </c>
      <c r="AZ12" s="24">
        <v>0</v>
      </c>
      <c r="BA12" s="3">
        <v>3</v>
      </c>
      <c r="BB12" s="3">
        <v>3</v>
      </c>
      <c r="BC12" s="3">
        <v>3</v>
      </c>
      <c r="BD12" s="8">
        <v>2</v>
      </c>
      <c r="BE12" s="1">
        <v>0</v>
      </c>
      <c r="BF12" s="1">
        <v>1</v>
      </c>
      <c r="BG12" s="21">
        <v>1</v>
      </c>
      <c r="BH12" s="24">
        <v>1</v>
      </c>
      <c r="BI12" s="3">
        <v>3</v>
      </c>
      <c r="BJ12" s="3">
        <v>3</v>
      </c>
      <c r="BK12" s="3">
        <v>3</v>
      </c>
      <c r="BL12" s="8">
        <v>1</v>
      </c>
      <c r="BM12" s="1">
        <v>0</v>
      </c>
      <c r="BN12" s="1">
        <v>1</v>
      </c>
      <c r="BO12" s="21">
        <v>0</v>
      </c>
    </row>
    <row r="13" spans="1:85" ht="30" customHeight="1" x14ac:dyDescent="0.5">
      <c r="A13" s="31">
        <v>3</v>
      </c>
      <c r="B13" s="13">
        <v>4084374</v>
      </c>
      <c r="C13" s="13" t="s">
        <v>97</v>
      </c>
      <c r="D13" s="13" t="s">
        <v>99</v>
      </c>
      <c r="E13" s="13" t="s">
        <v>62</v>
      </c>
      <c r="F13" s="91">
        <v>43812</v>
      </c>
      <c r="G13" s="14">
        <v>0</v>
      </c>
      <c r="H13" s="32">
        <v>1</v>
      </c>
      <c r="I13" s="28">
        <v>43865</v>
      </c>
      <c r="J13" s="117">
        <f t="shared" si="0"/>
        <v>1.7096774193548387</v>
      </c>
      <c r="K13" s="1">
        <v>1</v>
      </c>
      <c r="L13" s="4" t="s">
        <v>18</v>
      </c>
      <c r="M13" s="4">
        <v>13</v>
      </c>
      <c r="N13" s="4">
        <v>0</v>
      </c>
      <c r="O13" s="4">
        <v>0</v>
      </c>
      <c r="P13" s="21" t="s">
        <v>2</v>
      </c>
      <c r="Q13" s="20">
        <v>0</v>
      </c>
      <c r="R13" s="4">
        <v>0</v>
      </c>
      <c r="S13" s="21" t="s">
        <v>18</v>
      </c>
      <c r="T13" s="24">
        <v>0</v>
      </c>
      <c r="U13" s="3">
        <v>0</v>
      </c>
      <c r="V13" s="3">
        <v>0</v>
      </c>
      <c r="W13" s="3">
        <v>0</v>
      </c>
      <c r="X13" s="8">
        <v>3</v>
      </c>
      <c r="Y13" s="3">
        <v>3</v>
      </c>
      <c r="Z13" s="3">
        <v>3</v>
      </c>
      <c r="AA13" s="26">
        <v>3</v>
      </c>
      <c r="AB13" s="24">
        <v>0</v>
      </c>
      <c r="AC13" s="3">
        <v>0</v>
      </c>
      <c r="AD13" s="3">
        <v>1</v>
      </c>
      <c r="AE13" s="3">
        <v>0</v>
      </c>
      <c r="AF13" s="8">
        <v>3</v>
      </c>
      <c r="AG13" s="3">
        <v>3</v>
      </c>
      <c r="AH13" s="3">
        <v>3</v>
      </c>
      <c r="AI13" s="26">
        <v>3</v>
      </c>
      <c r="AJ13" s="24">
        <v>0</v>
      </c>
      <c r="AK13" s="3">
        <v>2</v>
      </c>
      <c r="AL13" s="3">
        <v>2</v>
      </c>
      <c r="AM13" s="3">
        <v>0</v>
      </c>
      <c r="AN13" s="8">
        <v>3</v>
      </c>
      <c r="AO13" s="1">
        <v>2</v>
      </c>
      <c r="AP13" s="1">
        <v>3</v>
      </c>
      <c r="AQ13" s="21">
        <v>1</v>
      </c>
      <c r="AR13" s="24">
        <v>0</v>
      </c>
      <c r="AS13" s="3">
        <v>2</v>
      </c>
      <c r="AT13" s="3">
        <v>2</v>
      </c>
      <c r="AU13" s="3">
        <v>2</v>
      </c>
      <c r="AV13" s="8">
        <v>3</v>
      </c>
      <c r="AW13" s="1">
        <v>0</v>
      </c>
      <c r="AX13" s="1">
        <v>2</v>
      </c>
      <c r="AY13" s="21">
        <v>0</v>
      </c>
      <c r="AZ13" s="24">
        <v>0</v>
      </c>
      <c r="BA13" s="3">
        <v>3</v>
      </c>
      <c r="BB13" s="3">
        <v>3</v>
      </c>
      <c r="BC13" s="3">
        <v>3</v>
      </c>
      <c r="BD13" s="8">
        <v>2</v>
      </c>
      <c r="BE13" s="1">
        <v>0</v>
      </c>
      <c r="BF13" s="1">
        <v>2</v>
      </c>
      <c r="BG13" s="21">
        <v>0</v>
      </c>
      <c r="BH13" s="24">
        <v>1</v>
      </c>
      <c r="BI13" s="3">
        <v>3</v>
      </c>
      <c r="BJ13" s="3">
        <v>3</v>
      </c>
      <c r="BK13" s="3">
        <v>3</v>
      </c>
      <c r="BL13" s="8">
        <v>2</v>
      </c>
      <c r="BM13" s="1">
        <v>0</v>
      </c>
      <c r="BN13" s="1">
        <v>1</v>
      </c>
      <c r="BO13" s="21">
        <v>0</v>
      </c>
    </row>
    <row r="14" spans="1:85" ht="30" customHeight="1" x14ac:dyDescent="0.5">
      <c r="A14" s="31">
        <v>4</v>
      </c>
      <c r="B14" s="13"/>
      <c r="C14" s="13" t="s">
        <v>98</v>
      </c>
      <c r="D14" s="13" t="s">
        <v>99</v>
      </c>
      <c r="E14" s="13" t="s">
        <v>62</v>
      </c>
      <c r="F14" s="91">
        <v>43812</v>
      </c>
      <c r="G14" s="14">
        <v>0</v>
      </c>
      <c r="H14" s="32">
        <v>1</v>
      </c>
      <c r="I14" s="28">
        <v>43865</v>
      </c>
      <c r="J14" s="117">
        <f t="shared" si="0"/>
        <v>1.7096774193548387</v>
      </c>
      <c r="K14" s="1">
        <v>2</v>
      </c>
      <c r="L14" s="4" t="s">
        <v>18</v>
      </c>
      <c r="M14" s="4">
        <v>14</v>
      </c>
      <c r="N14" s="4">
        <v>0</v>
      </c>
      <c r="O14" s="4">
        <v>0</v>
      </c>
      <c r="P14" s="21" t="s">
        <v>2</v>
      </c>
      <c r="Q14" s="20">
        <v>1</v>
      </c>
      <c r="R14" s="4">
        <v>0</v>
      </c>
      <c r="S14" s="21" t="s">
        <v>18</v>
      </c>
      <c r="T14" s="24">
        <v>0</v>
      </c>
      <c r="U14" s="3">
        <v>0</v>
      </c>
      <c r="V14" s="3">
        <v>0</v>
      </c>
      <c r="W14" s="3">
        <v>0</v>
      </c>
      <c r="X14" s="8">
        <v>3</v>
      </c>
      <c r="Y14" s="3">
        <v>3</v>
      </c>
      <c r="Z14" s="3">
        <v>3</v>
      </c>
      <c r="AA14" s="26">
        <v>3</v>
      </c>
      <c r="AB14" s="24">
        <v>0</v>
      </c>
      <c r="AC14" s="3">
        <v>0</v>
      </c>
      <c r="AD14" s="3">
        <v>1</v>
      </c>
      <c r="AE14" s="3">
        <v>0</v>
      </c>
      <c r="AF14" s="8">
        <v>3</v>
      </c>
      <c r="AG14" s="3">
        <v>3</v>
      </c>
      <c r="AH14" s="3">
        <v>3</v>
      </c>
      <c r="AI14" s="26">
        <v>3</v>
      </c>
      <c r="AJ14" s="24">
        <v>0</v>
      </c>
      <c r="AK14" s="3">
        <v>1</v>
      </c>
      <c r="AL14" s="3">
        <v>1</v>
      </c>
      <c r="AM14" s="3">
        <v>1</v>
      </c>
      <c r="AN14" s="8">
        <v>3</v>
      </c>
      <c r="AO14" s="1">
        <v>1</v>
      </c>
      <c r="AP14" s="1">
        <v>2</v>
      </c>
      <c r="AQ14" s="21">
        <v>2</v>
      </c>
      <c r="AR14" s="24">
        <v>0</v>
      </c>
      <c r="AS14" s="3">
        <v>3</v>
      </c>
      <c r="AT14" s="3">
        <v>2</v>
      </c>
      <c r="AU14" s="3">
        <v>1</v>
      </c>
      <c r="AV14" s="8">
        <v>3</v>
      </c>
      <c r="AW14" s="1">
        <v>0</v>
      </c>
      <c r="AX14" s="1">
        <v>2</v>
      </c>
      <c r="AY14" s="21">
        <v>1</v>
      </c>
      <c r="AZ14" s="24">
        <v>0</v>
      </c>
      <c r="BA14" s="3">
        <v>3</v>
      </c>
      <c r="BB14" s="3">
        <v>3</v>
      </c>
      <c r="BC14" s="3">
        <v>3</v>
      </c>
      <c r="BD14" s="8">
        <v>2</v>
      </c>
      <c r="BE14" s="1">
        <v>0</v>
      </c>
      <c r="BF14" s="1">
        <v>1</v>
      </c>
      <c r="BG14" s="21">
        <v>1</v>
      </c>
      <c r="BH14" s="24">
        <v>0</v>
      </c>
      <c r="BI14" s="3">
        <v>3</v>
      </c>
      <c r="BJ14" s="3">
        <v>3</v>
      </c>
      <c r="BK14" s="3">
        <v>3</v>
      </c>
      <c r="BL14" s="8">
        <v>1</v>
      </c>
      <c r="BM14" s="1">
        <v>0</v>
      </c>
      <c r="BN14" s="1">
        <v>1</v>
      </c>
      <c r="BO14" s="21">
        <v>0</v>
      </c>
      <c r="CF14" s="4"/>
    </row>
    <row r="15" spans="1:85" ht="30" customHeight="1" thickBot="1" x14ac:dyDescent="0.55000000000000004">
      <c r="A15" s="33">
        <v>6</v>
      </c>
      <c r="B15" s="34"/>
      <c r="C15" s="34" t="s">
        <v>101</v>
      </c>
      <c r="D15" s="34" t="s">
        <v>99</v>
      </c>
      <c r="E15" s="34" t="s">
        <v>62</v>
      </c>
      <c r="F15" s="119">
        <v>43812</v>
      </c>
      <c r="G15" s="35">
        <v>0</v>
      </c>
      <c r="H15" s="36">
        <v>1</v>
      </c>
      <c r="I15" s="120">
        <v>43871</v>
      </c>
      <c r="J15" s="121">
        <f>(I15-F15)/31</f>
        <v>1.903225806451613</v>
      </c>
      <c r="K15" s="122">
        <v>4</v>
      </c>
      <c r="L15" s="123" t="s">
        <v>18</v>
      </c>
      <c r="M15" s="123">
        <v>11</v>
      </c>
      <c r="N15" s="123">
        <v>0</v>
      </c>
      <c r="O15" s="123">
        <v>0</v>
      </c>
      <c r="P15" s="124" t="s">
        <v>2</v>
      </c>
      <c r="Q15" s="125">
        <v>0</v>
      </c>
      <c r="R15" s="123">
        <v>0</v>
      </c>
      <c r="S15" s="124" t="s">
        <v>18</v>
      </c>
      <c r="T15" s="126">
        <v>0</v>
      </c>
      <c r="U15" s="127">
        <v>0</v>
      </c>
      <c r="V15" s="127">
        <v>0</v>
      </c>
      <c r="W15" s="127">
        <v>0</v>
      </c>
      <c r="X15" s="128">
        <v>3</v>
      </c>
      <c r="Y15" s="127">
        <v>3</v>
      </c>
      <c r="Z15" s="127">
        <v>3</v>
      </c>
      <c r="AA15" s="27">
        <v>3</v>
      </c>
      <c r="AB15" s="126">
        <v>0</v>
      </c>
      <c r="AC15" s="127">
        <v>0</v>
      </c>
      <c r="AD15" s="127">
        <v>1</v>
      </c>
      <c r="AE15" s="127">
        <v>0</v>
      </c>
      <c r="AF15" s="128">
        <v>3</v>
      </c>
      <c r="AG15" s="127">
        <v>2</v>
      </c>
      <c r="AH15" s="127">
        <v>2</v>
      </c>
      <c r="AI15" s="27">
        <v>3</v>
      </c>
      <c r="AJ15" s="126">
        <v>0</v>
      </c>
      <c r="AK15" s="127">
        <v>2</v>
      </c>
      <c r="AL15" s="127">
        <v>2</v>
      </c>
      <c r="AM15" s="127">
        <v>0</v>
      </c>
      <c r="AN15" s="128">
        <v>3</v>
      </c>
      <c r="AO15" s="127">
        <v>2</v>
      </c>
      <c r="AP15" s="127">
        <v>2</v>
      </c>
      <c r="AQ15" s="27">
        <v>2</v>
      </c>
      <c r="AR15" s="126">
        <v>0</v>
      </c>
      <c r="AS15" s="127">
        <v>3</v>
      </c>
      <c r="AT15" s="127">
        <v>2</v>
      </c>
      <c r="AU15" s="127">
        <v>2</v>
      </c>
      <c r="AV15" s="128">
        <v>3</v>
      </c>
      <c r="AW15" s="127">
        <v>0</v>
      </c>
      <c r="AX15" s="127">
        <v>2</v>
      </c>
      <c r="AY15" s="27">
        <v>1</v>
      </c>
      <c r="AZ15" s="126">
        <v>0</v>
      </c>
      <c r="BA15" s="127">
        <v>3</v>
      </c>
      <c r="BB15" s="127">
        <v>3</v>
      </c>
      <c r="BC15" s="127">
        <v>3</v>
      </c>
      <c r="BD15" s="128">
        <v>2</v>
      </c>
      <c r="BE15" s="122">
        <v>0</v>
      </c>
      <c r="BF15" s="122">
        <v>2</v>
      </c>
      <c r="BG15" s="124">
        <v>0</v>
      </c>
      <c r="BH15" s="126">
        <v>0</v>
      </c>
      <c r="BI15" s="127">
        <v>3</v>
      </c>
      <c r="BJ15" s="127">
        <v>3</v>
      </c>
      <c r="BK15" s="127">
        <v>3</v>
      </c>
      <c r="BL15" s="128">
        <v>1</v>
      </c>
      <c r="BM15" s="122">
        <v>0</v>
      </c>
      <c r="BN15" s="122">
        <v>2</v>
      </c>
      <c r="BO15" s="124">
        <v>0</v>
      </c>
    </row>
    <row r="16" spans="1:85" ht="30" customHeight="1" x14ac:dyDescent="0.5">
      <c r="A16" s="31"/>
      <c r="B16" s="13"/>
      <c r="C16" s="13"/>
      <c r="D16" s="13"/>
      <c r="E16" s="13"/>
      <c r="F16" s="91"/>
      <c r="G16" s="14"/>
      <c r="H16" s="32"/>
      <c r="I16" s="5"/>
      <c r="J16" s="4">
        <f>AVERAGE(J10:J15)</f>
        <v>3.89247311827957</v>
      </c>
      <c r="M16" s="4">
        <f>AVERAGE(M10:M15)</f>
        <v>16.333333333333332</v>
      </c>
      <c r="P16" s="21"/>
      <c r="T16" s="24"/>
      <c r="X16" s="8"/>
      <c r="AA16" s="26"/>
      <c r="AB16" s="24"/>
      <c r="AF16" s="8"/>
      <c r="AI16" s="26"/>
      <c r="BH16" s="3"/>
      <c r="BI16" s="3"/>
      <c r="BJ16" s="3"/>
      <c r="BK16" s="3"/>
      <c r="BL16" s="3"/>
    </row>
    <row r="17" spans="1:69" ht="28.35" hidden="1" customHeight="1" x14ac:dyDescent="0.5">
      <c r="A17" s="31">
        <v>7</v>
      </c>
      <c r="B17" s="13"/>
      <c r="C17" s="13" t="s">
        <v>102</v>
      </c>
      <c r="D17" s="13" t="s">
        <v>99</v>
      </c>
      <c r="E17" s="13" t="s">
        <v>4</v>
      </c>
      <c r="F17" s="91">
        <v>43812</v>
      </c>
      <c r="G17" s="14">
        <v>0</v>
      </c>
      <c r="H17" s="32">
        <v>1</v>
      </c>
      <c r="I17" s="5">
        <v>43871</v>
      </c>
      <c r="J17" s="117">
        <f t="shared" si="0"/>
        <v>1.903225806451613</v>
      </c>
      <c r="K17" s="1">
        <v>5</v>
      </c>
      <c r="L17" s="4" t="s">
        <v>18</v>
      </c>
      <c r="M17" s="4">
        <v>12</v>
      </c>
      <c r="N17" s="4">
        <v>0</v>
      </c>
      <c r="O17" s="4">
        <v>0</v>
      </c>
      <c r="P17" s="21" t="s">
        <v>2</v>
      </c>
      <c r="Q17" s="4">
        <v>1</v>
      </c>
      <c r="R17" s="4">
        <v>0</v>
      </c>
      <c r="S17" s="1" t="s">
        <v>18</v>
      </c>
      <c r="T17" s="24">
        <v>0</v>
      </c>
      <c r="U17" s="3">
        <v>0</v>
      </c>
      <c r="V17" s="3">
        <v>0</v>
      </c>
      <c r="W17" s="3">
        <v>0</v>
      </c>
      <c r="X17" s="8">
        <v>3</v>
      </c>
      <c r="Y17" s="3">
        <v>3</v>
      </c>
      <c r="Z17" s="3">
        <v>3</v>
      </c>
      <c r="AA17" s="26">
        <v>3</v>
      </c>
      <c r="AB17" s="24">
        <v>0</v>
      </c>
      <c r="AC17" s="3">
        <v>0</v>
      </c>
      <c r="AD17" s="3">
        <v>1</v>
      </c>
      <c r="AE17" s="3">
        <v>0</v>
      </c>
      <c r="AF17" s="8">
        <v>3</v>
      </c>
      <c r="AG17" s="3">
        <v>3</v>
      </c>
      <c r="AH17" s="3">
        <v>3</v>
      </c>
      <c r="AI17" s="26">
        <v>3</v>
      </c>
      <c r="AJ17" s="3">
        <v>0</v>
      </c>
      <c r="AK17" s="3">
        <v>1</v>
      </c>
      <c r="AL17" s="3">
        <v>1</v>
      </c>
      <c r="AM17" s="3">
        <v>1</v>
      </c>
      <c r="AN17" s="3">
        <v>3</v>
      </c>
      <c r="AO17" s="3">
        <v>1</v>
      </c>
      <c r="AP17" s="3">
        <v>3</v>
      </c>
      <c r="AQ17" s="3">
        <v>2</v>
      </c>
      <c r="AR17" s="3">
        <v>0</v>
      </c>
      <c r="AS17" s="3">
        <v>3</v>
      </c>
      <c r="AT17" s="3">
        <v>2</v>
      </c>
      <c r="AU17" s="3">
        <v>2</v>
      </c>
      <c r="AV17" s="3">
        <v>3</v>
      </c>
      <c r="AW17" s="3">
        <v>0</v>
      </c>
      <c r="AX17" s="3">
        <v>3</v>
      </c>
      <c r="AY17" s="3">
        <v>2</v>
      </c>
    </row>
    <row r="18" spans="1:69" x14ac:dyDescent="0.5">
      <c r="A18" s="3"/>
      <c r="B18" s="3"/>
      <c r="C18" s="3"/>
      <c r="D18" s="3"/>
      <c r="E18" s="3"/>
      <c r="F18" s="3"/>
      <c r="G18" s="6"/>
      <c r="H18" s="6"/>
    </row>
    <row r="19" spans="1:69" ht="14.7" thickBot="1" x14ac:dyDescent="0.55000000000000004">
      <c r="A19" s="3"/>
      <c r="B19" s="3"/>
      <c r="C19" s="3"/>
      <c r="D19" s="3"/>
      <c r="E19" s="3"/>
      <c r="F19" s="3"/>
      <c r="G19" s="6"/>
      <c r="H19" s="6"/>
      <c r="AL19" s="3" t="s">
        <v>76</v>
      </c>
      <c r="AM19" s="3">
        <v>2</v>
      </c>
      <c r="AN19" s="3">
        <v>24</v>
      </c>
      <c r="AO19" s="3">
        <v>48</v>
      </c>
      <c r="AP19" s="3">
        <f>4*24</f>
        <v>96</v>
      </c>
      <c r="AQ19" s="3">
        <f>7*24</f>
        <v>168</v>
      </c>
      <c r="AR19" s="3">
        <f>28*24</f>
        <v>672</v>
      </c>
      <c r="BE19" s="3"/>
      <c r="BF19" s="3"/>
      <c r="BG19" s="3"/>
    </row>
    <row r="20" spans="1:69" ht="30" customHeight="1" thickBot="1" x14ac:dyDescent="0.55000000000000004">
      <c r="T20" s="304" t="s">
        <v>75</v>
      </c>
      <c r="U20" s="287"/>
      <c r="V20" s="305"/>
      <c r="W20" s="81">
        <v>0</v>
      </c>
      <c r="X20" s="287">
        <v>1</v>
      </c>
      <c r="Y20" s="287"/>
      <c r="Z20" s="287"/>
      <c r="AA20" s="294">
        <v>2</v>
      </c>
      <c r="AB20" s="294"/>
      <c r="AC20" s="294"/>
      <c r="AD20" s="82">
        <v>3</v>
      </c>
      <c r="AE20" s="66"/>
      <c r="AF20" s="66"/>
      <c r="AJ20" s="310" t="s">
        <v>7</v>
      </c>
      <c r="AK20" s="311"/>
      <c r="AL20" s="311"/>
      <c r="AM20" s="68" t="s">
        <v>65</v>
      </c>
      <c r="AN20" s="69" t="s">
        <v>51</v>
      </c>
      <c r="AO20" s="69" t="s">
        <v>52</v>
      </c>
      <c r="AP20" s="69" t="s">
        <v>55</v>
      </c>
      <c r="AQ20" s="70" t="s">
        <v>56</v>
      </c>
      <c r="AR20" s="71" t="s">
        <v>57</v>
      </c>
      <c r="AT20" s="66"/>
      <c r="AU20" s="66"/>
      <c r="BC20" s="3" t="s">
        <v>7</v>
      </c>
      <c r="BE20" s="3"/>
      <c r="BF20" s="3" t="s">
        <v>51</v>
      </c>
      <c r="BG20" s="1" t="s">
        <v>55</v>
      </c>
      <c r="BH20" s="1" t="s">
        <v>56</v>
      </c>
      <c r="BI20" s="1" t="s">
        <v>57</v>
      </c>
      <c r="BK20" s="3" t="s">
        <v>7</v>
      </c>
      <c r="BL20" s="3"/>
      <c r="BM20" s="3"/>
      <c r="BN20" s="3" t="s">
        <v>51</v>
      </c>
      <c r="BO20" s="1" t="s">
        <v>55</v>
      </c>
      <c r="BP20" s="1" t="s">
        <v>56</v>
      </c>
      <c r="BQ20" s="1" t="s">
        <v>57</v>
      </c>
    </row>
    <row r="21" spans="1:69" ht="30" customHeight="1" x14ac:dyDescent="0.5">
      <c r="T21" s="288" t="s">
        <v>34</v>
      </c>
      <c r="U21" s="289"/>
      <c r="V21" s="290"/>
      <c r="W21" s="16" t="s">
        <v>79</v>
      </c>
      <c r="X21" s="280" t="s">
        <v>80</v>
      </c>
      <c r="Y21" s="280"/>
      <c r="Z21" s="280"/>
      <c r="AA21" s="280" t="s">
        <v>81</v>
      </c>
      <c r="AB21" s="280"/>
      <c r="AC21" s="280"/>
      <c r="AD21" s="79" t="s">
        <v>37</v>
      </c>
      <c r="AE21" s="15"/>
      <c r="AF21" s="15"/>
      <c r="AJ21" s="312" t="s">
        <v>34</v>
      </c>
      <c r="AK21" s="313"/>
      <c r="AL21" s="313"/>
      <c r="AM21" s="94">
        <f>AVERAGE(T3:T8)</f>
        <v>0</v>
      </c>
      <c r="AN21" s="95">
        <f>AVERAGE(AB3:AB8)</f>
        <v>0</v>
      </c>
      <c r="AO21" s="95">
        <f>AVERAGE(AJ3:AJ8)</f>
        <v>0</v>
      </c>
      <c r="AP21" s="95">
        <f>AVERAGE(AR3:AR8)</f>
        <v>0</v>
      </c>
      <c r="AQ21" s="95">
        <f>AVERAGE(AZ3:AZ8)</f>
        <v>0</v>
      </c>
      <c r="AR21" s="98">
        <f>AVERAGE(BH3:BH8)</f>
        <v>0.16666666666666666</v>
      </c>
      <c r="BC21" s="3" t="s">
        <v>34</v>
      </c>
      <c r="BE21" s="3"/>
      <c r="BF21" s="3">
        <v>0</v>
      </c>
      <c r="BG21" s="1">
        <v>0</v>
      </c>
      <c r="BH21" s="1">
        <v>0</v>
      </c>
      <c r="BI21" s="1">
        <v>0.16666666666666666</v>
      </c>
      <c r="BK21" s="3" t="s">
        <v>34</v>
      </c>
      <c r="BL21" s="3"/>
      <c r="BM21" s="3"/>
      <c r="BN21" s="3">
        <f>3-BF21</f>
        <v>3</v>
      </c>
      <c r="BO21" s="3">
        <f t="shared" ref="BO21:BQ24" si="1">3-BG21</f>
        <v>3</v>
      </c>
      <c r="BP21" s="3">
        <f t="shared" si="1"/>
        <v>3</v>
      </c>
      <c r="BQ21" s="3">
        <f t="shared" si="1"/>
        <v>2.8333333333333335</v>
      </c>
    </row>
    <row r="22" spans="1:69" ht="30" customHeight="1" x14ac:dyDescent="0.5">
      <c r="T22" s="281" t="s">
        <v>23</v>
      </c>
      <c r="U22" s="282"/>
      <c r="V22" s="283"/>
      <c r="W22" s="16" t="s">
        <v>66</v>
      </c>
      <c r="X22" s="280" t="s">
        <v>67</v>
      </c>
      <c r="Y22" s="280"/>
      <c r="Z22" s="280"/>
      <c r="AA22" s="280" t="s">
        <v>68</v>
      </c>
      <c r="AB22" s="280"/>
      <c r="AC22" s="280"/>
      <c r="AD22" s="79" t="s">
        <v>37</v>
      </c>
      <c r="AE22" s="15"/>
      <c r="AF22" s="15"/>
      <c r="AJ22" s="312" t="s">
        <v>23</v>
      </c>
      <c r="AK22" s="313"/>
      <c r="AL22" s="313"/>
      <c r="AM22" s="94">
        <f>AVERAGE(U3:U8)</f>
        <v>0</v>
      </c>
      <c r="AN22" s="95">
        <f>AVERAGE(AC3:AC8)</f>
        <v>0.16666666666666666</v>
      </c>
      <c r="AO22" s="95">
        <f>AVERAGE(AK3:AK8)</f>
        <v>1</v>
      </c>
      <c r="AP22" s="95">
        <f>AVERAGE(AS3:AS8)</f>
        <v>1</v>
      </c>
      <c r="AQ22" s="95">
        <f>AVERAGE(BA3:BA8)</f>
        <v>2</v>
      </c>
      <c r="AR22" s="98">
        <f>AVERAGE(BI3:BI8)</f>
        <v>3</v>
      </c>
      <c r="BC22" s="3" t="s">
        <v>23</v>
      </c>
      <c r="BE22" s="3"/>
      <c r="BF22" s="3">
        <v>0.16666666666666699</v>
      </c>
      <c r="BG22" s="1">
        <v>1</v>
      </c>
      <c r="BH22" s="1">
        <v>2</v>
      </c>
      <c r="BI22" s="1">
        <v>3</v>
      </c>
      <c r="BK22" s="3" t="s">
        <v>23</v>
      </c>
      <c r="BL22" s="3"/>
      <c r="BM22" s="3"/>
      <c r="BN22" s="3">
        <f t="shared" ref="BN22:BN23" si="2">3-BF22</f>
        <v>2.833333333333333</v>
      </c>
      <c r="BO22" s="3">
        <f t="shared" si="1"/>
        <v>2</v>
      </c>
      <c r="BP22" s="3">
        <f t="shared" si="1"/>
        <v>1</v>
      </c>
      <c r="BQ22" s="3">
        <f t="shared" si="1"/>
        <v>0</v>
      </c>
    </row>
    <row r="23" spans="1:69" ht="30" customHeight="1" x14ac:dyDescent="0.5">
      <c r="T23" s="281" t="s">
        <v>24</v>
      </c>
      <c r="U23" s="282"/>
      <c r="V23" s="283"/>
      <c r="W23" s="16" t="s">
        <v>38</v>
      </c>
      <c r="X23" s="280" t="s">
        <v>69</v>
      </c>
      <c r="Y23" s="280"/>
      <c r="Z23" s="280"/>
      <c r="AA23" s="280" t="s">
        <v>40</v>
      </c>
      <c r="AB23" s="280"/>
      <c r="AC23" s="280"/>
      <c r="AD23" s="79" t="s">
        <v>37</v>
      </c>
      <c r="AE23" s="15"/>
      <c r="AF23" s="15"/>
      <c r="AJ23" s="312" t="s">
        <v>24</v>
      </c>
      <c r="AK23" s="313"/>
      <c r="AL23" s="313"/>
      <c r="AM23" s="94">
        <f>AVERAGE(V3:V8)</f>
        <v>0</v>
      </c>
      <c r="AN23" s="95">
        <f>AVERAGE(AD3:AD8)</f>
        <v>1.1666666666666667</v>
      </c>
      <c r="AO23" s="95">
        <f>AVERAGE(AL3:AL8)</f>
        <v>1.3333333333333333</v>
      </c>
      <c r="AP23" s="95">
        <f>AVERAGE(AT3:AT8)</f>
        <v>1.6666666666666667</v>
      </c>
      <c r="AQ23" s="95">
        <f>AVERAGE(BB3:BB8)</f>
        <v>2</v>
      </c>
      <c r="AR23" s="98">
        <f>AVERAGE(BJ3:BJ8)</f>
        <v>3</v>
      </c>
      <c r="BC23" s="3" t="s">
        <v>24</v>
      </c>
      <c r="BE23" s="3"/>
      <c r="BF23" s="3">
        <v>1.1666666666666667</v>
      </c>
      <c r="BG23" s="1">
        <v>1.6666666666666667</v>
      </c>
      <c r="BH23" s="1">
        <v>2</v>
      </c>
      <c r="BI23" s="1">
        <v>3</v>
      </c>
      <c r="BK23" s="3" t="s">
        <v>24</v>
      </c>
      <c r="BL23" s="3"/>
      <c r="BM23" s="3"/>
      <c r="BN23" s="3">
        <f t="shared" si="2"/>
        <v>1.8333333333333333</v>
      </c>
      <c r="BO23" s="3">
        <f t="shared" si="1"/>
        <v>1.3333333333333333</v>
      </c>
      <c r="BP23" s="3">
        <f t="shared" si="1"/>
        <v>1</v>
      </c>
      <c r="BQ23" s="3">
        <f t="shared" si="1"/>
        <v>0</v>
      </c>
    </row>
    <row r="24" spans="1:69" ht="30" customHeight="1" x14ac:dyDescent="0.5">
      <c r="T24" s="281" t="s">
        <v>35</v>
      </c>
      <c r="U24" s="282"/>
      <c r="V24" s="283"/>
      <c r="W24" s="16" t="s">
        <v>38</v>
      </c>
      <c r="X24" s="280" t="s">
        <v>39</v>
      </c>
      <c r="Y24" s="280"/>
      <c r="Z24" s="280"/>
      <c r="AA24" s="280" t="s">
        <v>70</v>
      </c>
      <c r="AB24" s="280"/>
      <c r="AC24" s="280"/>
      <c r="AD24" s="79" t="s">
        <v>37</v>
      </c>
      <c r="AE24" s="15"/>
      <c r="AF24" s="15"/>
      <c r="AJ24" s="312" t="s">
        <v>35</v>
      </c>
      <c r="AK24" s="313"/>
      <c r="AL24" s="313"/>
      <c r="AM24" s="94">
        <f>AVERAGE(W3:W8)</f>
        <v>0</v>
      </c>
      <c r="AN24" s="95">
        <f>AVERAGE(AE3:AE8)</f>
        <v>0</v>
      </c>
      <c r="AO24" s="95">
        <f>AVERAGE(AM3:AM8)</f>
        <v>0.5</v>
      </c>
      <c r="AP24" s="95">
        <f>AVERAGE(AU3:AU8)</f>
        <v>1.3333333333333333</v>
      </c>
      <c r="AQ24" s="95">
        <f>AVERAGE(BC3:BC8)</f>
        <v>2</v>
      </c>
      <c r="AR24" s="98">
        <f>AVERAGE(BK3:BK8)</f>
        <v>3</v>
      </c>
      <c r="BC24" s="3" t="s">
        <v>35</v>
      </c>
      <c r="BE24" s="3"/>
      <c r="BF24" s="3">
        <v>0</v>
      </c>
      <c r="BG24" s="1">
        <v>1.3333333333333333</v>
      </c>
      <c r="BH24" s="1">
        <v>2</v>
      </c>
      <c r="BI24" s="1">
        <v>3</v>
      </c>
      <c r="BK24" s="3" t="s">
        <v>35</v>
      </c>
      <c r="BL24" s="3"/>
      <c r="BM24" s="3"/>
      <c r="BN24" s="3">
        <f>3-BF24</f>
        <v>3</v>
      </c>
      <c r="BO24" s="3">
        <f t="shared" si="1"/>
        <v>1.6666666666666667</v>
      </c>
      <c r="BP24" s="3">
        <f t="shared" si="1"/>
        <v>1</v>
      </c>
      <c r="BQ24" s="3">
        <f t="shared" si="1"/>
        <v>0</v>
      </c>
    </row>
    <row r="25" spans="1:69" ht="4.3499999999999996" customHeight="1" x14ac:dyDescent="0.5">
      <c r="T25" s="86"/>
      <c r="U25" s="83"/>
      <c r="V25" s="84"/>
      <c r="W25" s="85"/>
      <c r="X25" s="85"/>
      <c r="Y25" s="85"/>
      <c r="Z25" s="85"/>
      <c r="AA25" s="85"/>
      <c r="AB25" s="85"/>
      <c r="AC25" s="85"/>
      <c r="AD25" s="87"/>
      <c r="AE25" s="16"/>
      <c r="AF25" s="16"/>
      <c r="AJ25" s="92"/>
      <c r="AK25" s="67"/>
      <c r="AL25" s="67"/>
      <c r="AM25" s="102"/>
      <c r="AN25" s="102"/>
      <c r="AO25" s="102"/>
      <c r="AP25" s="102"/>
      <c r="AQ25" s="102"/>
      <c r="AR25" s="103"/>
      <c r="BE25" s="3"/>
      <c r="BF25" s="3"/>
      <c r="BK25" s="3"/>
      <c r="BL25" s="3"/>
      <c r="BM25" s="3"/>
      <c r="BN25" s="3"/>
    </row>
    <row r="26" spans="1:69" ht="30" customHeight="1" x14ac:dyDescent="0.5">
      <c r="T26" s="281" t="s">
        <v>26</v>
      </c>
      <c r="U26" s="282"/>
      <c r="V26" s="283"/>
      <c r="W26" s="16" t="s">
        <v>38</v>
      </c>
      <c r="X26" s="280" t="s">
        <v>41</v>
      </c>
      <c r="Y26" s="280"/>
      <c r="Z26" s="280"/>
      <c r="AA26" s="280" t="s">
        <v>71</v>
      </c>
      <c r="AB26" s="280"/>
      <c r="AC26" s="280"/>
      <c r="AD26" s="79" t="s">
        <v>42</v>
      </c>
      <c r="AE26" s="15"/>
      <c r="AF26" s="15"/>
      <c r="AJ26" s="312" t="s">
        <v>26</v>
      </c>
      <c r="AK26" s="313"/>
      <c r="AL26" s="313"/>
      <c r="AM26" s="94">
        <f>AVERAGE(X3:X8)</f>
        <v>3</v>
      </c>
      <c r="AN26" s="95">
        <f>AVERAGE(AF3:AF8)</f>
        <v>3</v>
      </c>
      <c r="AO26" s="95">
        <f>AVERAGE(AN3:AN8)</f>
        <v>3</v>
      </c>
      <c r="AP26" s="95">
        <f>AVERAGE(AV3:AV8)</f>
        <v>2.5</v>
      </c>
      <c r="AQ26" s="95">
        <f>AVERAGE(BD3:BD8)</f>
        <v>2.3333333333333335</v>
      </c>
      <c r="AR26" s="98">
        <f>AVERAGE(BL3:BL8)</f>
        <v>1.1666666666666667</v>
      </c>
      <c r="BC26" s="3" t="s">
        <v>26</v>
      </c>
      <c r="BE26" s="3"/>
      <c r="BF26" s="3">
        <v>3</v>
      </c>
      <c r="BG26" s="1">
        <v>2.5</v>
      </c>
      <c r="BH26" s="1">
        <v>2.3333333333333335</v>
      </c>
      <c r="BI26" s="1">
        <v>1.1666666666666667</v>
      </c>
      <c r="BK26" s="3" t="s">
        <v>26</v>
      </c>
      <c r="BL26" s="3"/>
      <c r="BM26" s="3"/>
      <c r="BN26" s="3">
        <v>3</v>
      </c>
      <c r="BO26" s="1">
        <v>2.5</v>
      </c>
      <c r="BP26" s="1">
        <v>2.3333333333333335</v>
      </c>
      <c r="BQ26" s="1">
        <v>1.1666666666666667</v>
      </c>
    </row>
    <row r="27" spans="1:69" ht="30" customHeight="1" x14ac:dyDescent="0.5">
      <c r="T27" s="281" t="s">
        <v>27</v>
      </c>
      <c r="U27" s="282"/>
      <c r="V27" s="283"/>
      <c r="W27" s="16" t="s">
        <v>38</v>
      </c>
      <c r="X27" s="280" t="s">
        <v>44</v>
      </c>
      <c r="Y27" s="280"/>
      <c r="Z27" s="280"/>
      <c r="AA27" s="280" t="s">
        <v>43</v>
      </c>
      <c r="AB27" s="280"/>
      <c r="AC27" s="280"/>
      <c r="AD27" s="79" t="s">
        <v>72</v>
      </c>
      <c r="AE27" s="15"/>
      <c r="AF27" s="15"/>
      <c r="AJ27" s="312" t="s">
        <v>27</v>
      </c>
      <c r="AK27" s="313"/>
      <c r="AL27" s="313"/>
      <c r="AM27" s="94">
        <f>AVERAGE(Y3:Y8)</f>
        <v>3</v>
      </c>
      <c r="AN27" s="95">
        <f>AVERAGE(AG3:AG8)</f>
        <v>2.3333333333333335</v>
      </c>
      <c r="AO27" s="95">
        <f>AVERAGE(AO3:AO8)</f>
        <v>1.6666666666666667</v>
      </c>
      <c r="AP27" s="95">
        <f>AVERAGE(AW3:AW8)</f>
        <v>0.16666666666666666</v>
      </c>
      <c r="AQ27" s="95">
        <f>AVERAGE(BE3:BE8)</f>
        <v>0</v>
      </c>
      <c r="AR27" s="98">
        <f>AVERAGE(BM3:BM8)</f>
        <v>0</v>
      </c>
      <c r="BC27" s="3" t="s">
        <v>27</v>
      </c>
      <c r="BE27" s="3"/>
      <c r="BF27" s="3">
        <v>2.3333333333333335</v>
      </c>
      <c r="BG27" s="1">
        <v>0.16666666666666666</v>
      </c>
      <c r="BH27" s="1">
        <v>0</v>
      </c>
      <c r="BI27" s="1">
        <v>0</v>
      </c>
      <c r="BK27" s="3" t="s">
        <v>27</v>
      </c>
      <c r="BL27" s="3"/>
      <c r="BM27" s="3"/>
      <c r="BN27" s="3">
        <v>2.3333333333333335</v>
      </c>
      <c r="BO27" s="1">
        <v>0.16666666666666666</v>
      </c>
      <c r="BP27" s="1">
        <v>0</v>
      </c>
      <c r="BQ27" s="1">
        <v>0</v>
      </c>
    </row>
    <row r="28" spans="1:69" ht="30" customHeight="1" x14ac:dyDescent="0.5">
      <c r="T28" s="281" t="s">
        <v>36</v>
      </c>
      <c r="U28" s="282"/>
      <c r="V28" s="283"/>
      <c r="W28" s="16" t="s">
        <v>38</v>
      </c>
      <c r="X28" s="280" t="s">
        <v>45</v>
      </c>
      <c r="Y28" s="280"/>
      <c r="Z28" s="280"/>
      <c r="AA28" s="280" t="s">
        <v>74</v>
      </c>
      <c r="AB28" s="280"/>
      <c r="AC28" s="280"/>
      <c r="AD28" s="79" t="s">
        <v>73</v>
      </c>
      <c r="AE28" s="15"/>
      <c r="AF28" s="15"/>
      <c r="AJ28" s="312" t="s">
        <v>36</v>
      </c>
      <c r="AK28" s="313"/>
      <c r="AL28" s="313"/>
      <c r="AM28" s="94">
        <f>AVERAGE(Z3:Z8)</f>
        <v>3</v>
      </c>
      <c r="AN28" s="95">
        <f>AVERAGE(AH3:AH8)</f>
        <v>2.6666666666666665</v>
      </c>
      <c r="AO28" s="95">
        <f>AVERAGE(AP3:AP8)</f>
        <v>2.5</v>
      </c>
      <c r="AP28" s="95">
        <f>AVERAGE(AX3:AX8)</f>
        <v>2.3333333333333335</v>
      </c>
      <c r="AQ28" s="95">
        <f>AVERAGE(BF3:BF8)</f>
        <v>2.1666666666666665</v>
      </c>
      <c r="AR28" s="98">
        <f>AVERAGE(BN3:BN8)</f>
        <v>1.5</v>
      </c>
      <c r="BC28" s="3" t="s">
        <v>36</v>
      </c>
      <c r="BE28" s="3"/>
      <c r="BF28" s="3">
        <v>2.6666666666666665</v>
      </c>
      <c r="BG28" s="1">
        <v>2.3333333333333335</v>
      </c>
      <c r="BH28" s="1">
        <v>2.1666666666666665</v>
      </c>
      <c r="BI28" s="1">
        <v>1.5</v>
      </c>
      <c r="BK28" s="3" t="s">
        <v>36</v>
      </c>
      <c r="BL28" s="3"/>
      <c r="BM28" s="3"/>
      <c r="BN28" s="3">
        <v>2.6666666666666665</v>
      </c>
      <c r="BO28" s="1">
        <v>2.3333333333333335</v>
      </c>
      <c r="BP28" s="1">
        <v>2.1666666666666665</v>
      </c>
      <c r="BQ28" s="1">
        <v>1.5</v>
      </c>
    </row>
    <row r="29" spans="1:69" ht="30" customHeight="1" thickBot="1" x14ac:dyDescent="0.55000000000000004">
      <c r="T29" s="284" t="s">
        <v>29</v>
      </c>
      <c r="U29" s="285"/>
      <c r="V29" s="286"/>
      <c r="W29" s="72" t="s">
        <v>38</v>
      </c>
      <c r="X29" s="279" t="s">
        <v>46</v>
      </c>
      <c r="Y29" s="279"/>
      <c r="Z29" s="279"/>
      <c r="AA29" s="279" t="s">
        <v>47</v>
      </c>
      <c r="AB29" s="279"/>
      <c r="AC29" s="279"/>
      <c r="AD29" s="80" t="s">
        <v>72</v>
      </c>
      <c r="AE29" s="15"/>
      <c r="AF29" s="15"/>
      <c r="AJ29" s="308" t="s">
        <v>29</v>
      </c>
      <c r="AK29" s="309"/>
      <c r="AL29" s="309"/>
      <c r="AM29" s="96">
        <f>AVERAGE(AA3:AA8)</f>
        <v>2.8333333333333335</v>
      </c>
      <c r="AN29" s="97">
        <f>AVERAGE(AI3:AI8)</f>
        <v>2.6666666666666665</v>
      </c>
      <c r="AO29" s="97">
        <f>AVERAGE(AQ3:AQ8)</f>
        <v>2.3333333333333335</v>
      </c>
      <c r="AP29" s="97">
        <f>AVERAGE(AY3:AY8)</f>
        <v>1.8333333333333333</v>
      </c>
      <c r="AQ29" s="97">
        <f>AVERAGE(BG3:BG8)</f>
        <v>1.3333333333333333</v>
      </c>
      <c r="AR29" s="99">
        <f>AVERAGE(BO3:BO8)</f>
        <v>0</v>
      </c>
      <c r="BC29" s="3" t="s">
        <v>29</v>
      </c>
      <c r="BE29" s="3"/>
      <c r="BF29" s="3">
        <v>2.6666666666666665</v>
      </c>
      <c r="BG29" s="1">
        <v>1.8333333333333333</v>
      </c>
      <c r="BH29" s="1">
        <v>1.3333333333333333</v>
      </c>
      <c r="BI29" s="1">
        <v>0</v>
      </c>
      <c r="BK29" s="3" t="s">
        <v>29</v>
      </c>
      <c r="BL29" s="3"/>
      <c r="BM29" s="3"/>
      <c r="BN29" s="3">
        <v>2.6666666666666665</v>
      </c>
      <c r="BO29" s="1">
        <v>1.8333333333333333</v>
      </c>
      <c r="BP29" s="1">
        <v>1.3333333333333333</v>
      </c>
      <c r="BQ29" s="1">
        <v>0</v>
      </c>
    </row>
    <row r="30" spans="1:69" x14ac:dyDescent="0.5">
      <c r="T30" s="7"/>
      <c r="BE30" s="3"/>
      <c r="BF30" s="3"/>
      <c r="BK30" s="3" t="s">
        <v>189</v>
      </c>
      <c r="BL30" s="3"/>
      <c r="BM30" s="3"/>
      <c r="BN30" s="3">
        <f>AVERAGE(BN21:BN29)</f>
        <v>2.666666666666667</v>
      </c>
      <c r="BO30" s="3">
        <f t="shared" ref="BO30:BQ30" si="3">AVERAGE(BO21:BO29)</f>
        <v>1.8541666666666667</v>
      </c>
      <c r="BP30" s="3">
        <f t="shared" si="3"/>
        <v>1.4791666666666667</v>
      </c>
      <c r="BQ30" s="3">
        <f t="shared" si="3"/>
        <v>0.6875</v>
      </c>
    </row>
    <row r="31" spans="1:69" x14ac:dyDescent="0.5">
      <c r="T31" s="7"/>
      <c r="BE31" s="3"/>
      <c r="BF31" s="3"/>
      <c r="BK31" s="3"/>
      <c r="BL31" s="3"/>
      <c r="BM31" s="3"/>
      <c r="BN31" s="3"/>
      <c r="BO31" s="3"/>
      <c r="BP31" s="3"/>
      <c r="BQ31" s="3"/>
    </row>
    <row r="32" spans="1:69" ht="14.7" customHeight="1" thickBot="1" x14ac:dyDescent="0.55000000000000004">
      <c r="T32" s="7"/>
      <c r="AL32" s="3" t="s">
        <v>76</v>
      </c>
      <c r="AM32" s="3">
        <v>2</v>
      </c>
      <c r="AN32" s="3">
        <v>24</v>
      </c>
      <c r="AO32" s="3">
        <v>48</v>
      </c>
      <c r="AP32" s="3">
        <f>4*24</f>
        <v>96</v>
      </c>
      <c r="AQ32" s="3">
        <f>7*24</f>
        <v>168</v>
      </c>
      <c r="AR32" s="3">
        <f>28*24</f>
        <v>672</v>
      </c>
      <c r="BE32" s="3" t="s">
        <v>76</v>
      </c>
      <c r="BF32" s="3">
        <v>24</v>
      </c>
      <c r="BG32" s="1">
        <v>96</v>
      </c>
      <c r="BH32" s="1">
        <v>168</v>
      </c>
      <c r="BI32" s="1">
        <v>672</v>
      </c>
      <c r="BK32" s="3"/>
      <c r="BL32" s="3"/>
      <c r="BM32" s="3" t="s">
        <v>76</v>
      </c>
      <c r="BN32" s="3">
        <v>24</v>
      </c>
      <c r="BO32" s="1">
        <v>96</v>
      </c>
      <c r="BP32" s="1">
        <v>168</v>
      </c>
      <c r="BQ32" s="1">
        <v>672</v>
      </c>
    </row>
    <row r="33" spans="36:69" ht="30" customHeight="1" x14ac:dyDescent="0.5">
      <c r="AJ33" s="273" t="s">
        <v>8</v>
      </c>
      <c r="AK33" s="274"/>
      <c r="AL33" s="274"/>
      <c r="AM33" s="73" t="s">
        <v>65</v>
      </c>
      <c r="AN33" s="74" t="s">
        <v>51</v>
      </c>
      <c r="AO33" s="74" t="s">
        <v>52</v>
      </c>
      <c r="AP33" s="74" t="s">
        <v>55</v>
      </c>
      <c r="AQ33" s="75" t="s">
        <v>56</v>
      </c>
      <c r="AR33" s="76" t="s">
        <v>57</v>
      </c>
      <c r="BC33" s="3" t="s">
        <v>8</v>
      </c>
      <c r="BE33" s="3"/>
      <c r="BF33" s="3" t="s">
        <v>51</v>
      </c>
      <c r="BG33" s="1" t="s">
        <v>55</v>
      </c>
      <c r="BH33" s="1" t="s">
        <v>56</v>
      </c>
      <c r="BI33" s="1" t="s">
        <v>57</v>
      </c>
      <c r="BK33" s="3" t="s">
        <v>8</v>
      </c>
      <c r="BL33" s="3"/>
      <c r="BM33" s="3"/>
      <c r="BN33" s="3" t="s">
        <v>51</v>
      </c>
      <c r="BO33" s="1" t="s">
        <v>55</v>
      </c>
      <c r="BP33" s="1" t="s">
        <v>56</v>
      </c>
      <c r="BQ33" s="1" t="s">
        <v>57</v>
      </c>
    </row>
    <row r="34" spans="36:69" ht="30" customHeight="1" x14ac:dyDescent="0.5">
      <c r="AJ34" s="275" t="s">
        <v>34</v>
      </c>
      <c r="AK34" s="276"/>
      <c r="AL34" s="276"/>
      <c r="AM34" s="94">
        <f>AVERAGE(T10:T17)</f>
        <v>0</v>
      </c>
      <c r="AN34" s="95">
        <f>AVERAGE(AB10:AB17)</f>
        <v>0</v>
      </c>
      <c r="AO34" s="95">
        <f>AVERAGE(AJ10:AJ17)</f>
        <v>0</v>
      </c>
      <c r="AP34" s="95">
        <f>AVERAGE(AR10:AR17)</f>
        <v>0</v>
      </c>
      <c r="AQ34" s="95">
        <f>AVERAGE(AZ10:AZ17)</f>
        <v>0</v>
      </c>
      <c r="AR34" s="98">
        <f>AVERAGE(BH10:BH17)</f>
        <v>0.33333333333333331</v>
      </c>
      <c r="BC34" s="3" t="s">
        <v>34</v>
      </c>
      <c r="BE34" s="3"/>
      <c r="BF34" s="3">
        <v>0</v>
      </c>
      <c r="BG34" s="1">
        <v>0</v>
      </c>
      <c r="BH34" s="1">
        <v>0</v>
      </c>
      <c r="BI34" s="1">
        <v>0.33333333333333331</v>
      </c>
      <c r="BK34" s="3" t="s">
        <v>34</v>
      </c>
      <c r="BL34" s="3"/>
      <c r="BM34" s="3"/>
      <c r="BN34" s="3">
        <f>3-BF34</f>
        <v>3</v>
      </c>
      <c r="BO34" s="3">
        <f t="shared" ref="BO34:BO37" si="4">3-BG34</f>
        <v>3</v>
      </c>
      <c r="BP34" s="3">
        <f t="shared" ref="BP34:BP37" si="5">3-BH34</f>
        <v>3</v>
      </c>
      <c r="BQ34" s="3">
        <f t="shared" ref="BQ34:BQ37" si="6">3-BI34</f>
        <v>2.6666666666666665</v>
      </c>
    </row>
    <row r="35" spans="36:69" ht="30" customHeight="1" x14ac:dyDescent="0.5">
      <c r="AJ35" s="275" t="s">
        <v>23</v>
      </c>
      <c r="AK35" s="276"/>
      <c r="AL35" s="276"/>
      <c r="AM35" s="94">
        <f>AVERAGE(U10:U17)</f>
        <v>0</v>
      </c>
      <c r="AN35" s="95">
        <f>AVERAGE(AC10:AC17)</f>
        <v>0.2857142857142857</v>
      </c>
      <c r="AO35" s="95">
        <f>AVERAGE(AK10:AK17)</f>
        <v>1.2857142857142858</v>
      </c>
      <c r="AP35" s="95">
        <f>AVERAGE(AS10:AS17)</f>
        <v>2.5714285714285716</v>
      </c>
      <c r="AQ35" s="95">
        <f>AVERAGE(BA10:BA17)</f>
        <v>3</v>
      </c>
      <c r="AR35" s="98">
        <f>AVERAGE(BI10:BI17)</f>
        <v>3</v>
      </c>
      <c r="BC35" s="3" t="s">
        <v>23</v>
      </c>
      <c r="BF35" s="1">
        <v>0.2857142857142857</v>
      </c>
      <c r="BG35" s="1">
        <v>2.5714285714285716</v>
      </c>
      <c r="BH35" s="1">
        <v>3</v>
      </c>
      <c r="BI35" s="1">
        <v>3</v>
      </c>
      <c r="BK35" s="3" t="s">
        <v>23</v>
      </c>
      <c r="BL35" s="3"/>
      <c r="BN35" s="3">
        <f t="shared" ref="BN35:BN36" si="7">3-BF35</f>
        <v>2.7142857142857144</v>
      </c>
      <c r="BO35" s="3">
        <f t="shared" si="4"/>
        <v>0.42857142857142838</v>
      </c>
      <c r="BP35" s="3">
        <f t="shared" si="5"/>
        <v>0</v>
      </c>
      <c r="BQ35" s="3">
        <f t="shared" si="6"/>
        <v>0</v>
      </c>
    </row>
    <row r="36" spans="36:69" ht="30" customHeight="1" x14ac:dyDescent="0.5">
      <c r="AJ36" s="275" t="s">
        <v>24</v>
      </c>
      <c r="AK36" s="276"/>
      <c r="AL36" s="276"/>
      <c r="AM36" s="94">
        <f>AVERAGE(V10:V17)</f>
        <v>0</v>
      </c>
      <c r="AN36" s="95">
        <f>AVERAGE(AD10:AD17)</f>
        <v>1</v>
      </c>
      <c r="AO36" s="95">
        <f>AVERAGE(AL10:AL17)</f>
        <v>1.4285714285714286</v>
      </c>
      <c r="AP36" s="95">
        <f>AVERAGE(AT10:AT17)</f>
        <v>2</v>
      </c>
      <c r="AQ36" s="95">
        <f>AVERAGE(BB10:BB17)</f>
        <v>3</v>
      </c>
      <c r="AR36" s="98">
        <f>AVERAGE(BJ10:BJ17)</f>
        <v>3</v>
      </c>
      <c r="BC36" s="3" t="s">
        <v>24</v>
      </c>
      <c r="BF36" s="1">
        <v>1</v>
      </c>
      <c r="BG36" s="1">
        <v>2</v>
      </c>
      <c r="BH36" s="1">
        <v>3</v>
      </c>
      <c r="BI36" s="1">
        <v>3</v>
      </c>
      <c r="BK36" s="3" t="s">
        <v>24</v>
      </c>
      <c r="BL36" s="3"/>
      <c r="BN36" s="3">
        <f t="shared" si="7"/>
        <v>2</v>
      </c>
      <c r="BO36" s="3">
        <f t="shared" si="4"/>
        <v>1</v>
      </c>
      <c r="BP36" s="3">
        <f t="shared" si="5"/>
        <v>0</v>
      </c>
      <c r="BQ36" s="3">
        <f t="shared" si="6"/>
        <v>0</v>
      </c>
    </row>
    <row r="37" spans="36:69" ht="30" customHeight="1" x14ac:dyDescent="0.5">
      <c r="AJ37" s="275" t="s">
        <v>35</v>
      </c>
      <c r="AK37" s="276"/>
      <c r="AL37" s="276"/>
      <c r="AM37" s="94">
        <f>AVERAGE(W10:W17)</f>
        <v>0</v>
      </c>
      <c r="AN37" s="95">
        <f>AVERAGE(AE10:AE17)</f>
        <v>0</v>
      </c>
      <c r="AO37" s="95">
        <f>AVERAGE(AM10:AM17)</f>
        <v>0.7142857142857143</v>
      </c>
      <c r="AP37" s="95">
        <f>AVERAGE(AU10:AU17)</f>
        <v>2</v>
      </c>
      <c r="AQ37" s="95">
        <f>AVERAGE(BC10:BC17)</f>
        <v>3</v>
      </c>
      <c r="AR37" s="98">
        <f>AVERAGE(BK10:BK17)</f>
        <v>3</v>
      </c>
      <c r="BC37" s="3" t="s">
        <v>35</v>
      </c>
      <c r="BF37" s="1">
        <v>0</v>
      </c>
      <c r="BG37" s="1">
        <v>2</v>
      </c>
      <c r="BH37" s="1">
        <v>3</v>
      </c>
      <c r="BI37" s="1">
        <v>3</v>
      </c>
      <c r="BK37" s="3" t="s">
        <v>35</v>
      </c>
      <c r="BL37" s="3"/>
      <c r="BN37" s="3">
        <f>3-BF37</f>
        <v>3</v>
      </c>
      <c r="BO37" s="3">
        <f t="shared" si="4"/>
        <v>1</v>
      </c>
      <c r="BP37" s="3">
        <f t="shared" si="5"/>
        <v>0</v>
      </c>
      <c r="BQ37" s="3">
        <f t="shared" si="6"/>
        <v>0</v>
      </c>
    </row>
    <row r="38" spans="36:69" ht="4.45" customHeight="1" x14ac:dyDescent="0.5">
      <c r="AJ38" s="93"/>
      <c r="AK38" s="77"/>
      <c r="AL38" s="77"/>
      <c r="AM38" s="100"/>
      <c r="AN38" s="100"/>
      <c r="AO38" s="100"/>
      <c r="AP38" s="100"/>
      <c r="AQ38" s="100"/>
      <c r="AR38" s="101"/>
      <c r="BK38" s="3"/>
      <c r="BL38" s="3"/>
    </row>
    <row r="39" spans="36:69" ht="30" customHeight="1" x14ac:dyDescent="0.5">
      <c r="AJ39" s="275" t="s">
        <v>26</v>
      </c>
      <c r="AK39" s="276"/>
      <c r="AL39" s="276"/>
      <c r="AM39" s="94">
        <f>AVERAGE(X10:X17)</f>
        <v>3</v>
      </c>
      <c r="AN39" s="95">
        <f>AVERAGE(AF10:AF17)</f>
        <v>3</v>
      </c>
      <c r="AO39" s="95">
        <f>AVERAGE(AN10:AN17)</f>
        <v>2.8571428571428572</v>
      </c>
      <c r="AP39" s="95">
        <f>AVERAGE(AV10:AV17)</f>
        <v>2.8571428571428572</v>
      </c>
      <c r="AQ39" s="95">
        <f>AVERAGE(BD10:BD17)</f>
        <v>2.1666666666666665</v>
      </c>
      <c r="AR39" s="98">
        <f>AVERAGE(BL10:BL17)</f>
        <v>1.1666666666666667</v>
      </c>
      <c r="BC39" s="3" t="s">
        <v>26</v>
      </c>
      <c r="BF39" s="1">
        <v>3</v>
      </c>
      <c r="BG39" s="1">
        <v>2.8571428571428572</v>
      </c>
      <c r="BH39" s="1">
        <v>2.1666666666666665</v>
      </c>
      <c r="BI39" s="1">
        <v>1.1666666666666667</v>
      </c>
      <c r="BK39" s="3" t="s">
        <v>26</v>
      </c>
      <c r="BL39" s="3"/>
      <c r="BN39" s="1">
        <v>3</v>
      </c>
      <c r="BO39" s="1">
        <v>2.8571428571428572</v>
      </c>
      <c r="BP39" s="1">
        <v>2.1666666666666665</v>
      </c>
      <c r="BQ39" s="1">
        <v>1.1666666666666667</v>
      </c>
    </row>
    <row r="40" spans="36:69" ht="30" customHeight="1" x14ac:dyDescent="0.5">
      <c r="AJ40" s="275" t="s">
        <v>27</v>
      </c>
      <c r="AK40" s="276"/>
      <c r="AL40" s="276"/>
      <c r="AM40" s="94">
        <f>AVERAGE(Y10:Y17)</f>
        <v>3</v>
      </c>
      <c r="AN40" s="95">
        <f>AVERAGE(AG10:AG17)</f>
        <v>2.5714285714285716</v>
      </c>
      <c r="AO40" s="95">
        <f>AVERAGE(AO10:AO17)</f>
        <v>1.5714285714285714</v>
      </c>
      <c r="AP40" s="95">
        <f>AVERAGE(AW10:AW17)</f>
        <v>0</v>
      </c>
      <c r="AQ40" s="95">
        <f>AVERAGE(BE10:BE17)</f>
        <v>0</v>
      </c>
      <c r="AR40" s="98">
        <f>AVERAGE(BM10:BM17)</f>
        <v>0</v>
      </c>
      <c r="BC40" s="3" t="s">
        <v>27</v>
      </c>
      <c r="BF40" s="1">
        <v>2.5714285714285716</v>
      </c>
      <c r="BG40" s="1">
        <v>0</v>
      </c>
      <c r="BH40" s="1">
        <v>0</v>
      </c>
      <c r="BI40" s="1">
        <v>0</v>
      </c>
      <c r="BK40" s="3" t="s">
        <v>27</v>
      </c>
      <c r="BL40" s="3"/>
      <c r="BN40" s="1">
        <v>2.5714285714285716</v>
      </c>
      <c r="BO40" s="1">
        <v>0</v>
      </c>
      <c r="BP40" s="1">
        <v>0</v>
      </c>
      <c r="BQ40" s="1">
        <v>0</v>
      </c>
    </row>
    <row r="41" spans="36:69" ht="30" customHeight="1" x14ac:dyDescent="0.5">
      <c r="AJ41" s="275" t="s">
        <v>36</v>
      </c>
      <c r="AK41" s="276"/>
      <c r="AL41" s="276"/>
      <c r="AM41" s="94">
        <f>AVERAGE(Z10:Z17)</f>
        <v>3</v>
      </c>
      <c r="AN41" s="95">
        <f>AVERAGE(AH10:AH17)</f>
        <v>2.7142857142857144</v>
      </c>
      <c r="AO41" s="95">
        <f>AVERAGE(AP10:AP17)</f>
        <v>2.7142857142857144</v>
      </c>
      <c r="AP41" s="95">
        <f>AVERAGE(AX10:AX17)</f>
        <v>2.5714285714285716</v>
      </c>
      <c r="AQ41" s="95">
        <f>AVERAGE(BF10:BF17)</f>
        <v>1.6666666666666667</v>
      </c>
      <c r="AR41" s="98">
        <f>AVERAGE(BN10:BN17)</f>
        <v>1.1666666666666667</v>
      </c>
      <c r="BC41" s="3" t="s">
        <v>36</v>
      </c>
      <c r="BF41" s="1">
        <v>2.7142857142857144</v>
      </c>
      <c r="BG41" s="1">
        <v>2.5714285714285716</v>
      </c>
      <c r="BH41" s="1">
        <v>1.6666666666666667</v>
      </c>
      <c r="BI41" s="1">
        <v>1.1666666666666667</v>
      </c>
      <c r="BK41" s="3" t="s">
        <v>36</v>
      </c>
      <c r="BL41" s="3"/>
      <c r="BN41" s="1">
        <v>2.7142857142857144</v>
      </c>
      <c r="BO41" s="1">
        <v>2.5714285714285716</v>
      </c>
      <c r="BP41" s="1">
        <v>1.6666666666666667</v>
      </c>
      <c r="BQ41" s="1">
        <v>1.1666666666666667</v>
      </c>
    </row>
    <row r="42" spans="36:69" ht="30" customHeight="1" thickBot="1" x14ac:dyDescent="0.55000000000000004">
      <c r="AJ42" s="277" t="s">
        <v>29</v>
      </c>
      <c r="AK42" s="278"/>
      <c r="AL42" s="278"/>
      <c r="AM42" s="96">
        <f>AVERAGE(AA10:AA17)</f>
        <v>3</v>
      </c>
      <c r="AN42" s="97">
        <f>AVERAGE(AI10:AI17)</f>
        <v>2.8571428571428572</v>
      </c>
      <c r="AO42" s="97">
        <f>AVERAGE(AQ10:AQ17)</f>
        <v>1.4285714285714286</v>
      </c>
      <c r="AP42" s="97">
        <f>AVERAGE(AY10:AY17)</f>
        <v>0.8571428571428571</v>
      </c>
      <c r="AQ42" s="97">
        <f>AVERAGE(BG10:BG17)</f>
        <v>0.33333333333333331</v>
      </c>
      <c r="AR42" s="99">
        <f>AVERAGE(BO10:BO17)</f>
        <v>0</v>
      </c>
      <c r="BC42" s="3" t="s">
        <v>29</v>
      </c>
      <c r="BF42" s="1">
        <v>2.8571428571428572</v>
      </c>
      <c r="BG42" s="1">
        <v>0.8571428571428571</v>
      </c>
      <c r="BH42" s="1">
        <v>0.33333333333333331</v>
      </c>
      <c r="BI42" s="1">
        <v>0</v>
      </c>
      <c r="BK42" s="3" t="s">
        <v>29</v>
      </c>
      <c r="BL42" s="3"/>
      <c r="BN42" s="1">
        <v>2.8571428571428572</v>
      </c>
      <c r="BO42" s="1">
        <v>0.8571428571428571</v>
      </c>
      <c r="BP42" s="1">
        <v>0.33333333333333331</v>
      </c>
      <c r="BQ42" s="1">
        <v>0</v>
      </c>
    </row>
    <row r="43" spans="36:69" x14ac:dyDescent="0.5">
      <c r="BN43" s="3">
        <f>AVERAGE(BN34:BN42)</f>
        <v>2.7321428571428577</v>
      </c>
      <c r="BO43" s="3">
        <f t="shared" ref="BO43" si="8">AVERAGE(BO34:BO42)</f>
        <v>1.4642857142857144</v>
      </c>
      <c r="BP43" s="3">
        <f t="shared" ref="BP43" si="9">AVERAGE(BP34:BP42)</f>
        <v>0.89583333333333326</v>
      </c>
      <c r="BQ43" s="3">
        <f t="shared" ref="BQ43" si="10">AVERAGE(BQ34:BQ42)</f>
        <v>0.625</v>
      </c>
    </row>
    <row r="44" spans="36:69" x14ac:dyDescent="0.5">
      <c r="BN44" s="3"/>
      <c r="BO44" s="3"/>
      <c r="BP44" s="3"/>
      <c r="BQ44" s="3"/>
    </row>
  </sheetData>
  <mergeCells count="60">
    <mergeCell ref="AJ29:AL29"/>
    <mergeCell ref="AJ20:AL20"/>
    <mergeCell ref="AJ27:AL27"/>
    <mergeCell ref="AJ28:AL28"/>
    <mergeCell ref="AJ24:AL24"/>
    <mergeCell ref="AJ26:AL26"/>
    <mergeCell ref="AJ22:AL22"/>
    <mergeCell ref="AJ23:AL23"/>
    <mergeCell ref="AJ21:AL21"/>
    <mergeCell ref="AR1:AU1"/>
    <mergeCell ref="AV1:AY1"/>
    <mergeCell ref="AN1:AQ1"/>
    <mergeCell ref="BL1:BO1"/>
    <mergeCell ref="AZ1:BC1"/>
    <mergeCell ref="BD1:BG1"/>
    <mergeCell ref="BH1:BK1"/>
    <mergeCell ref="AJ1:AM1"/>
    <mergeCell ref="T26:V26"/>
    <mergeCell ref="I1:P1"/>
    <mergeCell ref="Q1:S1"/>
    <mergeCell ref="T1:W1"/>
    <mergeCell ref="T20:V20"/>
    <mergeCell ref="T24:V24"/>
    <mergeCell ref="AF1:AI1"/>
    <mergeCell ref="A1:H1"/>
    <mergeCell ref="AA23:AC23"/>
    <mergeCell ref="AA22:AC22"/>
    <mergeCell ref="AA21:AC21"/>
    <mergeCell ref="AA20:AC20"/>
    <mergeCell ref="X1:AA1"/>
    <mergeCell ref="AB1:AE1"/>
    <mergeCell ref="T27:V27"/>
    <mergeCell ref="T28:V28"/>
    <mergeCell ref="T29:V29"/>
    <mergeCell ref="X20:Z20"/>
    <mergeCell ref="X21:Z21"/>
    <mergeCell ref="X22:Z22"/>
    <mergeCell ref="X23:Z23"/>
    <mergeCell ref="X24:Z24"/>
    <mergeCell ref="X26:Z26"/>
    <mergeCell ref="X27:Z27"/>
    <mergeCell ref="X28:Z28"/>
    <mergeCell ref="X29:Z29"/>
    <mergeCell ref="T21:V21"/>
    <mergeCell ref="T22:V22"/>
    <mergeCell ref="T23:V23"/>
    <mergeCell ref="AA29:AC29"/>
    <mergeCell ref="AA28:AC28"/>
    <mergeCell ref="AA27:AC27"/>
    <mergeCell ref="AA26:AC26"/>
    <mergeCell ref="AA24:AC24"/>
    <mergeCell ref="AJ33:AL33"/>
    <mergeCell ref="AJ41:AL41"/>
    <mergeCell ref="AJ42:AL42"/>
    <mergeCell ref="AJ35:AL35"/>
    <mergeCell ref="AJ36:AL36"/>
    <mergeCell ref="AJ37:AL37"/>
    <mergeCell ref="AJ39:AL39"/>
    <mergeCell ref="AJ40:AL40"/>
    <mergeCell ref="AJ34:AL34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E8A118-171B-4FC8-90B7-FBF298503646}">
  <dimension ref="B1:J34"/>
  <sheetViews>
    <sheetView zoomScaleNormal="100" workbookViewId="0"/>
  </sheetViews>
  <sheetFormatPr defaultRowHeight="14.35" x14ac:dyDescent="0.5"/>
  <cols>
    <col min="1" max="1" width="4.76171875" customWidth="1"/>
    <col min="2" max="2" width="8.9375" customWidth="1"/>
  </cols>
  <sheetData>
    <row r="1" spans="2:9" x14ac:dyDescent="0.5">
      <c r="B1" t="s">
        <v>1537</v>
      </c>
    </row>
    <row r="2" spans="2:9" x14ac:dyDescent="0.5">
      <c r="B2" t="s">
        <v>1518</v>
      </c>
    </row>
    <row r="3" spans="2:9" x14ac:dyDescent="0.5">
      <c r="B3" t="s">
        <v>1519</v>
      </c>
    </row>
    <row r="4" spans="2:9" x14ac:dyDescent="0.5">
      <c r="B4" t="s">
        <v>1520</v>
      </c>
    </row>
    <row r="5" spans="2:9" x14ac:dyDescent="0.5">
      <c r="B5" t="s">
        <v>1521</v>
      </c>
    </row>
    <row r="6" spans="2:9" x14ac:dyDescent="0.5">
      <c r="B6" t="s">
        <v>1522</v>
      </c>
    </row>
    <row r="7" spans="2:9" x14ac:dyDescent="0.5">
      <c r="B7" t="s">
        <v>1523</v>
      </c>
    </row>
    <row r="11" spans="2:9" x14ac:dyDescent="0.5">
      <c r="B11" t="s">
        <v>219</v>
      </c>
    </row>
    <row r="12" spans="2:9" ht="14.7" thickBot="1" x14ac:dyDescent="0.55000000000000004"/>
    <row r="13" spans="2:9" x14ac:dyDescent="0.5">
      <c r="B13" s="161" t="s">
        <v>220</v>
      </c>
      <c r="C13" s="162" t="s">
        <v>221</v>
      </c>
      <c r="D13" s="162" t="s">
        <v>222</v>
      </c>
      <c r="E13" s="162" t="s">
        <v>223</v>
      </c>
      <c r="F13" s="162" t="s">
        <v>224</v>
      </c>
      <c r="G13" s="162" t="s">
        <v>225</v>
      </c>
      <c r="H13" s="162" t="s">
        <v>77</v>
      </c>
      <c r="I13" s="162" t="s">
        <v>226</v>
      </c>
    </row>
    <row r="14" spans="2:9" x14ac:dyDescent="0.5">
      <c r="B14" s="163" t="s">
        <v>7</v>
      </c>
      <c r="C14" s="214">
        <v>6</v>
      </c>
      <c r="D14" s="214">
        <v>0</v>
      </c>
      <c r="E14" s="214">
        <v>6</v>
      </c>
      <c r="F14" s="168">
        <v>18</v>
      </c>
      <c r="G14" s="168">
        <v>25</v>
      </c>
      <c r="H14" s="168">
        <v>20.5</v>
      </c>
      <c r="I14" s="168">
        <v>2.7386127875258306</v>
      </c>
    </row>
    <row r="15" spans="2:9" ht="14.7" thickBot="1" x14ac:dyDescent="0.55000000000000004">
      <c r="B15" s="167" t="s">
        <v>8</v>
      </c>
      <c r="C15" s="187">
        <v>6</v>
      </c>
      <c r="D15" s="187">
        <v>0</v>
      </c>
      <c r="E15" s="187">
        <v>6</v>
      </c>
      <c r="F15" s="170">
        <v>11</v>
      </c>
      <c r="G15" s="170">
        <v>27</v>
      </c>
      <c r="H15" s="170">
        <v>16.333333333333332</v>
      </c>
      <c r="I15" s="170">
        <v>6.3140055960275063</v>
      </c>
    </row>
    <row r="18" spans="2:10" x14ac:dyDescent="0.5">
      <c r="B18" t="s">
        <v>1524</v>
      </c>
    </row>
    <row r="19" spans="2:10" ht="14.7" thickBot="1" x14ac:dyDescent="0.55000000000000004"/>
    <row r="20" spans="2:10" x14ac:dyDescent="0.5">
      <c r="B20" s="184" t="s">
        <v>1525</v>
      </c>
      <c r="C20" s="215">
        <v>26.5</v>
      </c>
    </row>
    <row r="21" spans="2:10" x14ac:dyDescent="0.5">
      <c r="B21" s="160" t="s">
        <v>1526</v>
      </c>
      <c r="C21" s="190">
        <v>18</v>
      </c>
    </row>
    <row r="22" spans="2:10" x14ac:dyDescent="0.5">
      <c r="B22" s="160" t="s">
        <v>1527</v>
      </c>
      <c r="C22" s="190">
        <v>38.727272727272727</v>
      </c>
    </row>
    <row r="23" spans="2:10" x14ac:dyDescent="0.5">
      <c r="B23" s="160" t="s">
        <v>1528</v>
      </c>
      <c r="C23" s="190">
        <v>0.19860784944113763</v>
      </c>
    </row>
    <row r="24" spans="2:10" ht="14.7" thickBot="1" x14ac:dyDescent="0.55000000000000004">
      <c r="B24" s="167" t="s">
        <v>1529</v>
      </c>
      <c r="C24" s="206">
        <v>0.05</v>
      </c>
    </row>
    <row r="25" spans="2:10" x14ac:dyDescent="0.5">
      <c r="B25" s="194" t="s">
        <v>1530</v>
      </c>
    </row>
    <row r="27" spans="2:10" x14ac:dyDescent="0.5">
      <c r="B27" s="194" t="s">
        <v>1531</v>
      </c>
    </row>
    <row r="28" spans="2:10" x14ac:dyDescent="0.5">
      <c r="B28" s="194" t="s">
        <v>1532</v>
      </c>
    </row>
    <row r="29" spans="2:10" x14ac:dyDescent="0.5">
      <c r="B29" s="194" t="s">
        <v>1533</v>
      </c>
    </row>
    <row r="30" spans="2:10" ht="14.45" customHeight="1" x14ac:dyDescent="0.5">
      <c r="B30" s="314" t="s">
        <v>1534</v>
      </c>
      <c r="C30" s="314"/>
      <c r="D30" s="314"/>
      <c r="E30" s="314"/>
      <c r="F30" s="314"/>
      <c r="G30" s="314"/>
      <c r="H30" s="314"/>
      <c r="I30" s="314"/>
      <c r="J30" s="314"/>
    </row>
    <row r="31" spans="2:10" x14ac:dyDescent="0.5">
      <c r="B31" s="314"/>
      <c r="C31" s="314"/>
      <c r="D31" s="314"/>
      <c r="E31" s="314"/>
      <c r="F31" s="314"/>
      <c r="G31" s="314"/>
      <c r="H31" s="314"/>
      <c r="I31" s="314"/>
      <c r="J31" s="314"/>
    </row>
    <row r="32" spans="2:10" x14ac:dyDescent="0.5">
      <c r="B32" s="194" t="s">
        <v>1535</v>
      </c>
    </row>
    <row r="34" spans="2:2" x14ac:dyDescent="0.5">
      <c r="B34" s="194" t="s">
        <v>1536</v>
      </c>
    </row>
  </sheetData>
  <mergeCells count="1">
    <mergeCell ref="B30:J31"/>
  </mergeCells>
  <pageMargins left="0.7" right="0.7" top="0.75" bottom="0.75" header="0.3" footer="0.3"/>
  <ignoredErrors>
    <ignoredError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9B4E56-F2F2-40F2-9FF6-091289C799B8}">
  <dimension ref="B1:J27"/>
  <sheetViews>
    <sheetView zoomScaleNormal="100" workbookViewId="0">
      <selection activeCell="J17" sqref="J17"/>
    </sheetView>
  </sheetViews>
  <sheetFormatPr defaultRowHeight="14.35" x14ac:dyDescent="0.5"/>
  <cols>
    <col min="1" max="1" width="4.76171875" customWidth="1"/>
    <col min="2" max="2" width="8.9375" customWidth="1"/>
  </cols>
  <sheetData>
    <row r="1" spans="2:3" x14ac:dyDescent="0.5">
      <c r="B1" t="s">
        <v>1538</v>
      </c>
    </row>
    <row r="2" spans="2:3" x14ac:dyDescent="0.5">
      <c r="B2" t="s">
        <v>1539</v>
      </c>
    </row>
    <row r="3" spans="2:3" x14ac:dyDescent="0.5">
      <c r="B3" t="s">
        <v>1540</v>
      </c>
    </row>
    <row r="4" spans="2:3" x14ac:dyDescent="0.5">
      <c r="B4" t="s">
        <v>1541</v>
      </c>
    </row>
    <row r="5" spans="2:3" x14ac:dyDescent="0.5">
      <c r="B5" t="s">
        <v>1542</v>
      </c>
    </row>
    <row r="6" spans="2:3" x14ac:dyDescent="0.5">
      <c r="B6" t="s">
        <v>1520</v>
      </c>
    </row>
    <row r="7" spans="2:3" x14ac:dyDescent="0.5">
      <c r="B7" t="s">
        <v>1543</v>
      </c>
    </row>
    <row r="8" spans="2:3" x14ac:dyDescent="0.5">
      <c r="B8" t="s">
        <v>1521</v>
      </c>
    </row>
    <row r="11" spans="2:3" x14ac:dyDescent="0.5">
      <c r="B11" t="s">
        <v>1544</v>
      </c>
    </row>
    <row r="13" spans="2:3" x14ac:dyDescent="0.5">
      <c r="B13" t="s">
        <v>1545</v>
      </c>
    </row>
    <row r="14" spans="2:3" x14ac:dyDescent="0.5">
      <c r="B14" s="216">
        <v>-0.18295599466515305</v>
      </c>
      <c r="C14" s="217">
        <v>0.69724170895086734</v>
      </c>
    </row>
    <row r="15" spans="2:3" ht="14.7" thickBot="1" x14ac:dyDescent="0.55000000000000004"/>
    <row r="16" spans="2:3" x14ac:dyDescent="0.5">
      <c r="B16" s="184" t="s">
        <v>303</v>
      </c>
      <c r="C16" s="215">
        <v>0.25714285714285712</v>
      </c>
    </row>
    <row r="17" spans="2:10" x14ac:dyDescent="0.5">
      <c r="B17" s="160" t="s">
        <v>1546</v>
      </c>
      <c r="C17" s="190">
        <v>1.145176218504633</v>
      </c>
    </row>
    <row r="18" spans="2:10" x14ac:dyDescent="0.5">
      <c r="B18" s="160" t="s">
        <v>1547</v>
      </c>
      <c r="C18" s="190">
        <v>1.9599639845400536</v>
      </c>
    </row>
    <row r="19" spans="2:10" x14ac:dyDescent="0.5">
      <c r="B19" s="160" t="s">
        <v>1528</v>
      </c>
      <c r="C19" s="190">
        <v>0.25213616755518364</v>
      </c>
    </row>
    <row r="20" spans="2:10" ht="14.7" thickBot="1" x14ac:dyDescent="0.55000000000000004">
      <c r="B20" s="167" t="s">
        <v>1529</v>
      </c>
      <c r="C20" s="206">
        <v>0.05</v>
      </c>
    </row>
    <row r="22" spans="2:10" x14ac:dyDescent="0.5">
      <c r="B22" s="194" t="s">
        <v>1531</v>
      </c>
    </row>
    <row r="23" spans="2:10" x14ac:dyDescent="0.5">
      <c r="B23" s="194" t="s">
        <v>1548</v>
      </c>
    </row>
    <row r="24" spans="2:10" x14ac:dyDescent="0.5">
      <c r="B24" s="194" t="s">
        <v>1549</v>
      </c>
    </row>
    <row r="25" spans="2:10" ht="14.45" customHeight="1" x14ac:dyDescent="0.5">
      <c r="B25" s="314" t="s">
        <v>1534</v>
      </c>
      <c r="C25" s="314"/>
      <c r="D25" s="314"/>
      <c r="E25" s="314"/>
      <c r="F25" s="314"/>
      <c r="G25" s="314"/>
      <c r="H25" s="314"/>
      <c r="I25" s="314"/>
      <c r="J25" s="314"/>
    </row>
    <row r="26" spans="2:10" x14ac:dyDescent="0.5">
      <c r="B26" s="314"/>
      <c r="C26" s="314"/>
      <c r="D26" s="314"/>
      <c r="E26" s="314"/>
      <c r="F26" s="314"/>
      <c r="G26" s="314"/>
      <c r="H26" s="314"/>
      <c r="I26" s="314"/>
      <c r="J26" s="314"/>
    </row>
    <row r="27" spans="2:10" x14ac:dyDescent="0.5">
      <c r="B27" s="194" t="s">
        <v>1550</v>
      </c>
    </row>
  </sheetData>
  <mergeCells count="1">
    <mergeCell ref="B25:J26"/>
  </mergeCells>
  <pageMargins left="0.7" right="0.7" top="0.75" bottom="0.75" header="0.3" footer="0.3"/>
  <ignoredErrors>
    <ignoredError sqref="A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6798F7-0144-4CDF-94BB-F309D96820AB}">
  <dimension ref="B1:V181"/>
  <sheetViews>
    <sheetView topLeftCell="A136" zoomScaleNormal="100" workbookViewId="0">
      <selection activeCell="L153" sqref="L153"/>
    </sheetView>
  </sheetViews>
  <sheetFormatPr defaultRowHeight="14.35" x14ac:dyDescent="0.5"/>
  <cols>
    <col min="1" max="1" width="4.76171875" customWidth="1"/>
    <col min="2" max="2" width="58.1171875" customWidth="1"/>
  </cols>
  <sheetData>
    <row r="1" spans="2:9" x14ac:dyDescent="0.5">
      <c r="B1" t="s">
        <v>210</v>
      </c>
    </row>
    <row r="2" spans="2:9" x14ac:dyDescent="0.5">
      <c r="B2" t="s">
        <v>211</v>
      </c>
    </row>
    <row r="3" spans="2:9" x14ac:dyDescent="0.5">
      <c r="B3" t="s">
        <v>212</v>
      </c>
    </row>
    <row r="4" spans="2:9" x14ac:dyDescent="0.5">
      <c r="B4" t="s">
        <v>213</v>
      </c>
    </row>
    <row r="5" spans="2:9" x14ac:dyDescent="0.5">
      <c r="B5" t="s">
        <v>214</v>
      </c>
    </row>
    <row r="6" spans="2:9" x14ac:dyDescent="0.5">
      <c r="B6" t="s">
        <v>215</v>
      </c>
    </row>
    <row r="7" spans="2:9" x14ac:dyDescent="0.5">
      <c r="B7" t="s">
        <v>216</v>
      </c>
    </row>
    <row r="8" spans="2:9" x14ac:dyDescent="0.5">
      <c r="B8" t="s">
        <v>217</v>
      </c>
    </row>
    <row r="9" spans="2:9" x14ac:dyDescent="0.5">
      <c r="B9" t="s">
        <v>218</v>
      </c>
    </row>
    <row r="13" spans="2:9" x14ac:dyDescent="0.5">
      <c r="B13" t="s">
        <v>219</v>
      </c>
    </row>
    <row r="14" spans="2:9" ht="14.7" thickBot="1" x14ac:dyDescent="0.55000000000000004"/>
    <row r="15" spans="2:9" x14ac:dyDescent="0.5">
      <c r="B15" s="161" t="s">
        <v>220</v>
      </c>
      <c r="C15" s="162" t="s">
        <v>221</v>
      </c>
      <c r="D15" s="162" t="s">
        <v>222</v>
      </c>
      <c r="E15" s="162" t="s">
        <v>223</v>
      </c>
      <c r="F15" s="162" t="s">
        <v>224</v>
      </c>
      <c r="G15" s="162" t="s">
        <v>225</v>
      </c>
      <c r="H15" s="162" t="s">
        <v>77</v>
      </c>
      <c r="I15" s="162" t="s">
        <v>226</v>
      </c>
    </row>
    <row r="16" spans="2:9" ht="14.7" thickBot="1" x14ac:dyDescent="0.55000000000000004">
      <c r="B16" s="164" t="s">
        <v>209</v>
      </c>
      <c r="C16" s="165">
        <v>60</v>
      </c>
      <c r="D16" s="165">
        <v>0</v>
      </c>
      <c r="E16" s="165">
        <v>60</v>
      </c>
      <c r="F16" s="166">
        <v>0</v>
      </c>
      <c r="G16" s="166">
        <v>23</v>
      </c>
      <c r="H16" s="166">
        <v>9.8833333333333329</v>
      </c>
      <c r="I16" s="166">
        <v>7.5016194108546141</v>
      </c>
    </row>
    <row r="18" spans="2:5" ht="14.7" thickBot="1" x14ac:dyDescent="0.55000000000000004"/>
    <row r="19" spans="2:5" x14ac:dyDescent="0.5">
      <c r="B19" s="162" t="s">
        <v>220</v>
      </c>
      <c r="C19" s="162" t="s">
        <v>227</v>
      </c>
      <c r="D19" s="162" t="s">
        <v>228</v>
      </c>
      <c r="E19" s="162" t="s">
        <v>229</v>
      </c>
    </row>
    <row r="20" spans="2:5" x14ac:dyDescent="0.5">
      <c r="B20" s="163" t="s">
        <v>5</v>
      </c>
      <c r="C20" s="163" t="s">
        <v>195</v>
      </c>
      <c r="D20" s="163">
        <v>5</v>
      </c>
      <c r="E20" s="168">
        <v>8.3333333333333339</v>
      </c>
    </row>
    <row r="21" spans="2:5" x14ac:dyDescent="0.5">
      <c r="B21" s="160"/>
      <c r="C21" s="160" t="s">
        <v>204</v>
      </c>
      <c r="D21" s="160">
        <v>5</v>
      </c>
      <c r="E21" s="169">
        <v>8.3333333333333339</v>
      </c>
    </row>
    <row r="22" spans="2:5" x14ac:dyDescent="0.5">
      <c r="B22" s="160"/>
      <c r="C22" s="160" t="s">
        <v>205</v>
      </c>
      <c r="D22" s="160">
        <v>5</v>
      </c>
      <c r="E22" s="169">
        <v>8.3333333333333339</v>
      </c>
    </row>
    <row r="23" spans="2:5" x14ac:dyDescent="0.5">
      <c r="B23" s="160"/>
      <c r="C23" s="160" t="s">
        <v>206</v>
      </c>
      <c r="D23" s="160">
        <v>5</v>
      </c>
      <c r="E23" s="169">
        <v>8.3333333333333339</v>
      </c>
    </row>
    <row r="24" spans="2:5" x14ac:dyDescent="0.5">
      <c r="B24" s="160"/>
      <c r="C24" s="160" t="s">
        <v>196</v>
      </c>
      <c r="D24" s="160">
        <v>5</v>
      </c>
      <c r="E24" s="169">
        <v>8.3333333333333339</v>
      </c>
    </row>
    <row r="25" spans="2:5" x14ac:dyDescent="0.5">
      <c r="B25" s="160"/>
      <c r="C25" s="160" t="s">
        <v>197</v>
      </c>
      <c r="D25" s="160">
        <v>5</v>
      </c>
      <c r="E25" s="169">
        <v>8.3333333333333339</v>
      </c>
    </row>
    <row r="26" spans="2:5" x14ac:dyDescent="0.5">
      <c r="B26" s="160"/>
      <c r="C26" s="160" t="s">
        <v>198</v>
      </c>
      <c r="D26" s="160">
        <v>5</v>
      </c>
      <c r="E26" s="169">
        <v>8.3333333333333339</v>
      </c>
    </row>
    <row r="27" spans="2:5" x14ac:dyDescent="0.5">
      <c r="B27" s="160"/>
      <c r="C27" s="160" t="s">
        <v>199</v>
      </c>
      <c r="D27" s="160">
        <v>5</v>
      </c>
      <c r="E27" s="169">
        <v>8.3333333333333339</v>
      </c>
    </row>
    <row r="28" spans="2:5" x14ac:dyDescent="0.5">
      <c r="B28" s="160"/>
      <c r="C28" s="160" t="s">
        <v>200</v>
      </c>
      <c r="D28" s="160">
        <v>5</v>
      </c>
      <c r="E28" s="169">
        <v>8.3333333333333339</v>
      </c>
    </row>
    <row r="29" spans="2:5" x14ac:dyDescent="0.5">
      <c r="B29" s="160"/>
      <c r="C29" s="160" t="s">
        <v>201</v>
      </c>
      <c r="D29" s="160">
        <v>5</v>
      </c>
      <c r="E29" s="169">
        <v>8.3333333333333339</v>
      </c>
    </row>
    <row r="30" spans="2:5" x14ac:dyDescent="0.5">
      <c r="B30" s="160"/>
      <c r="C30" s="160" t="s">
        <v>202</v>
      </c>
      <c r="D30" s="160">
        <v>5</v>
      </c>
      <c r="E30" s="169">
        <v>8.3333333333333339</v>
      </c>
    </row>
    <row r="31" spans="2:5" x14ac:dyDescent="0.5">
      <c r="B31" s="160"/>
      <c r="C31" s="160" t="s">
        <v>203</v>
      </c>
      <c r="D31" s="160">
        <v>5</v>
      </c>
      <c r="E31" s="169">
        <v>8.3333333333333339</v>
      </c>
    </row>
    <row r="32" spans="2:5" x14ac:dyDescent="0.5">
      <c r="B32" s="163" t="s">
        <v>207</v>
      </c>
      <c r="C32" s="163" t="s">
        <v>190</v>
      </c>
      <c r="D32" s="163">
        <v>12</v>
      </c>
      <c r="E32" s="168">
        <v>20</v>
      </c>
    </row>
    <row r="33" spans="2:22" x14ac:dyDescent="0.5">
      <c r="B33" s="160"/>
      <c r="C33" s="160" t="s">
        <v>191</v>
      </c>
      <c r="D33" s="160">
        <v>12</v>
      </c>
      <c r="E33" s="169">
        <v>20</v>
      </c>
    </row>
    <row r="34" spans="2:22" x14ac:dyDescent="0.5">
      <c r="B34" s="160"/>
      <c r="C34" s="160" t="s">
        <v>194</v>
      </c>
      <c r="D34" s="160">
        <v>12</v>
      </c>
      <c r="E34" s="169">
        <v>20</v>
      </c>
    </row>
    <row r="35" spans="2:22" x14ac:dyDescent="0.5">
      <c r="B35" s="160"/>
      <c r="C35" s="160" t="s">
        <v>192</v>
      </c>
      <c r="D35" s="160">
        <v>12</v>
      </c>
      <c r="E35" s="169">
        <v>20</v>
      </c>
    </row>
    <row r="36" spans="2:22" x14ac:dyDescent="0.5">
      <c r="B36" s="160"/>
      <c r="C36" s="160" t="s">
        <v>193</v>
      </c>
      <c r="D36" s="160">
        <v>12</v>
      </c>
      <c r="E36" s="169">
        <v>20</v>
      </c>
    </row>
    <row r="37" spans="2:22" x14ac:dyDescent="0.5">
      <c r="B37" s="163" t="s">
        <v>208</v>
      </c>
      <c r="C37" s="163" t="s">
        <v>8</v>
      </c>
      <c r="D37" s="163">
        <v>30</v>
      </c>
      <c r="E37" s="168">
        <v>50</v>
      </c>
    </row>
    <row r="38" spans="2:22" ht="14.7" thickBot="1" x14ac:dyDescent="0.55000000000000004">
      <c r="B38" s="167"/>
      <c r="C38" s="167" t="s">
        <v>7</v>
      </c>
      <c r="D38" s="167">
        <v>30</v>
      </c>
      <c r="E38" s="170">
        <v>50</v>
      </c>
    </row>
    <row r="41" spans="2:22" x14ac:dyDescent="0.5">
      <c r="B41" t="s">
        <v>230</v>
      </c>
    </row>
    <row r="42" spans="2:22" ht="14.7" thickBot="1" x14ac:dyDescent="0.55000000000000004"/>
    <row r="43" spans="2:22" x14ac:dyDescent="0.5">
      <c r="B43" s="161" t="s">
        <v>231</v>
      </c>
      <c r="C43" s="172" t="s">
        <v>232</v>
      </c>
      <c r="D43" s="172" t="s">
        <v>233</v>
      </c>
      <c r="E43" s="172" t="s">
        <v>234</v>
      </c>
      <c r="F43" s="172" t="s">
        <v>235</v>
      </c>
      <c r="G43" s="172" t="s">
        <v>236</v>
      </c>
      <c r="H43" s="172" t="s">
        <v>237</v>
      </c>
      <c r="I43" s="172" t="s">
        <v>238</v>
      </c>
      <c r="J43" s="172" t="s">
        <v>239</v>
      </c>
      <c r="K43" s="172" t="s">
        <v>240</v>
      </c>
      <c r="L43" s="172" t="s">
        <v>241</v>
      </c>
      <c r="M43" s="172" t="s">
        <v>242</v>
      </c>
      <c r="N43" s="172" t="s">
        <v>243</v>
      </c>
      <c r="O43" s="172" t="s">
        <v>244</v>
      </c>
      <c r="P43" s="172" t="s">
        <v>245</v>
      </c>
      <c r="Q43" s="172" t="s">
        <v>246</v>
      </c>
      <c r="R43" s="172" t="s">
        <v>247</v>
      </c>
      <c r="S43" s="172" t="s">
        <v>248</v>
      </c>
      <c r="T43" s="172" t="s">
        <v>249</v>
      </c>
      <c r="U43" s="172" t="s">
        <v>250</v>
      </c>
      <c r="V43" s="173" t="s">
        <v>209</v>
      </c>
    </row>
    <row r="44" spans="2:22" x14ac:dyDescent="0.5">
      <c r="B44" s="174" t="s">
        <v>232</v>
      </c>
      <c r="C44" s="181">
        <v>1</v>
      </c>
      <c r="D44" s="176">
        <v>-9.0909090909090953E-2</v>
      </c>
      <c r="E44" s="176">
        <v>-9.0909090909090939E-2</v>
      </c>
      <c r="F44" s="176">
        <v>-9.0909090909090939E-2</v>
      </c>
      <c r="G44" s="176">
        <v>-9.0909090909090884E-2</v>
      </c>
      <c r="H44" s="176">
        <v>-9.0909090909090898E-2</v>
      </c>
      <c r="I44" s="176">
        <v>-9.0909090909090912E-2</v>
      </c>
      <c r="J44" s="176">
        <v>-9.0909090909090925E-2</v>
      </c>
      <c r="K44" s="176">
        <v>-9.0909090909090912E-2</v>
      </c>
      <c r="L44" s="176">
        <v>-9.0909090909090925E-2</v>
      </c>
      <c r="M44" s="176">
        <v>-9.0909090909090953E-2</v>
      </c>
      <c r="N44" s="176">
        <v>-9.0909090909090939E-2</v>
      </c>
      <c r="O44" s="176">
        <v>-1.4634871014233478E-17</v>
      </c>
      <c r="P44" s="176">
        <v>-1.4634871014233478E-17</v>
      </c>
      <c r="Q44" s="176">
        <v>-8.406418649736654E-18</v>
      </c>
      <c r="R44" s="176">
        <v>1.0470991755960711E-17</v>
      </c>
      <c r="S44" s="176">
        <v>1.0470480975875054E-17</v>
      </c>
      <c r="T44" s="176">
        <v>-0.30151134457776368</v>
      </c>
      <c r="U44" s="176">
        <v>0.30151134457776368</v>
      </c>
      <c r="V44" s="177">
        <v>-3.3776683469657468E-3</v>
      </c>
    </row>
    <row r="45" spans="2:22" x14ac:dyDescent="0.5">
      <c r="B45" s="171" t="s">
        <v>233</v>
      </c>
      <c r="C45" s="178">
        <v>-9.0909090909090953E-2</v>
      </c>
      <c r="D45" s="182">
        <v>1</v>
      </c>
      <c r="E45" s="178">
        <v>-9.0909090909090939E-2</v>
      </c>
      <c r="F45" s="178">
        <v>-9.0909090909090925E-2</v>
      </c>
      <c r="G45" s="178">
        <v>-9.0909090909090939E-2</v>
      </c>
      <c r="H45" s="178">
        <v>-9.0909090909090939E-2</v>
      </c>
      <c r="I45" s="178">
        <v>-9.0909090909090925E-2</v>
      </c>
      <c r="J45" s="178">
        <v>-9.0909090909090925E-2</v>
      </c>
      <c r="K45" s="178">
        <v>-9.0909090909090925E-2</v>
      </c>
      <c r="L45" s="178">
        <v>-9.0909090909090939E-2</v>
      </c>
      <c r="M45" s="178">
        <v>-9.0909090909090939E-2</v>
      </c>
      <c r="N45" s="178">
        <v>-9.0909090909090939E-2</v>
      </c>
      <c r="O45" s="178">
        <v>-1.0358620137116252E-18</v>
      </c>
      <c r="P45" s="178">
        <v>7.3327589096864365E-18</v>
      </c>
      <c r="Q45" s="178">
        <v>-1.2590729111435686E-17</v>
      </c>
      <c r="R45" s="178">
        <v>7.332758909686438E-18</v>
      </c>
      <c r="S45" s="178">
        <v>3.1479376679017496E-18</v>
      </c>
      <c r="T45" s="178">
        <v>0.30151134457776357</v>
      </c>
      <c r="U45" s="178">
        <v>-0.30151134457776357</v>
      </c>
      <c r="V45" s="179">
        <v>-1.9590476412401348E-2</v>
      </c>
    </row>
    <row r="46" spans="2:22" x14ac:dyDescent="0.5">
      <c r="B46" s="171" t="s">
        <v>234</v>
      </c>
      <c r="C46" s="178">
        <v>-9.0909090909090939E-2</v>
      </c>
      <c r="D46" s="178">
        <v>-9.0909090909090939E-2</v>
      </c>
      <c r="E46" s="182">
        <v>1</v>
      </c>
      <c r="F46" s="178">
        <v>-9.0909090909090925E-2</v>
      </c>
      <c r="G46" s="178">
        <v>-9.0909090909090925E-2</v>
      </c>
      <c r="H46" s="178">
        <v>-9.0909090909090925E-2</v>
      </c>
      <c r="I46" s="178">
        <v>-9.0909090909090912E-2</v>
      </c>
      <c r="J46" s="178">
        <v>-9.0909090909090912E-2</v>
      </c>
      <c r="K46" s="178">
        <v>-9.0909090909090925E-2</v>
      </c>
      <c r="L46" s="178">
        <v>-9.0909090909090925E-2</v>
      </c>
      <c r="M46" s="178">
        <v>-9.0909090909090925E-2</v>
      </c>
      <c r="N46" s="178">
        <v>-9.0909090909090925E-2</v>
      </c>
      <c r="O46" s="178">
        <v>-6.7892888985477927E-18</v>
      </c>
      <c r="P46" s="178">
        <v>-6.7892888985477927E-18</v>
      </c>
      <c r="Q46" s="178">
        <v>-6.3132418587158246E-18</v>
      </c>
      <c r="R46" s="178">
        <v>1.4132008019904536E-17</v>
      </c>
      <c r="S46" s="178">
        <v>-2.605489216934419E-18</v>
      </c>
      <c r="T46" s="178">
        <v>0.30151134457776368</v>
      </c>
      <c r="U46" s="178">
        <v>-0.30151134457776368</v>
      </c>
      <c r="V46" s="179">
        <v>3.7154351816623195E-2</v>
      </c>
    </row>
    <row r="47" spans="2:22" x14ac:dyDescent="0.5">
      <c r="B47" s="171" t="s">
        <v>235</v>
      </c>
      <c r="C47" s="178">
        <v>-9.0909090909090939E-2</v>
      </c>
      <c r="D47" s="178">
        <v>-9.0909090909090925E-2</v>
      </c>
      <c r="E47" s="178">
        <v>-9.0909090909090925E-2</v>
      </c>
      <c r="F47" s="182">
        <v>1</v>
      </c>
      <c r="G47" s="178">
        <v>-9.0909090909090939E-2</v>
      </c>
      <c r="H47" s="178">
        <v>-9.0909090909090925E-2</v>
      </c>
      <c r="I47" s="178">
        <v>-9.0909090909090912E-2</v>
      </c>
      <c r="J47" s="178">
        <v>-9.0909090909090912E-2</v>
      </c>
      <c r="K47" s="178">
        <v>-9.0909090909090925E-2</v>
      </c>
      <c r="L47" s="178">
        <v>-9.0909090909090939E-2</v>
      </c>
      <c r="M47" s="178">
        <v>-9.0909090909090939E-2</v>
      </c>
      <c r="N47" s="178">
        <v>-9.0909090909090939E-2</v>
      </c>
      <c r="O47" s="178">
        <v>-7.9518243735022595E-18</v>
      </c>
      <c r="P47" s="178">
        <v>4.1679654989580195E-19</v>
      </c>
      <c r="Q47" s="178">
        <v>-1.691703643694726E-18</v>
      </c>
      <c r="R47" s="178">
        <v>2.1338348858390959E-17</v>
      </c>
      <c r="S47" s="178">
        <v>-3.7634276711179765E-18</v>
      </c>
      <c r="T47" s="178">
        <v>0.30151134457776363</v>
      </c>
      <c r="U47" s="178">
        <v>-0.30151134457776363</v>
      </c>
      <c r="V47" s="179">
        <v>4.7287356857520059E-3</v>
      </c>
    </row>
    <row r="48" spans="2:22" x14ac:dyDescent="0.5">
      <c r="B48" s="171" t="s">
        <v>236</v>
      </c>
      <c r="C48" s="178">
        <v>-9.0909090909090884E-2</v>
      </c>
      <c r="D48" s="178">
        <v>-9.0909090909090939E-2</v>
      </c>
      <c r="E48" s="178">
        <v>-9.0909090909090925E-2</v>
      </c>
      <c r="F48" s="178">
        <v>-9.0909090909090939E-2</v>
      </c>
      <c r="G48" s="182">
        <v>1</v>
      </c>
      <c r="H48" s="178">
        <v>-9.0909090909090884E-2</v>
      </c>
      <c r="I48" s="178">
        <v>-9.0909090909090884E-2</v>
      </c>
      <c r="J48" s="178">
        <v>-9.0909090909090912E-2</v>
      </c>
      <c r="K48" s="178">
        <v>-9.0909090909090912E-2</v>
      </c>
      <c r="L48" s="178">
        <v>-9.0909090909090925E-2</v>
      </c>
      <c r="M48" s="178">
        <v>-9.0909090909090953E-2</v>
      </c>
      <c r="N48" s="178">
        <v>-9.0909090909090939E-2</v>
      </c>
      <c r="O48" s="178">
        <v>2.1023708325626481E-18</v>
      </c>
      <c r="P48" s="178">
        <v>-6.2662500908354151E-18</v>
      </c>
      <c r="Q48" s="178">
        <v>-8.406418649736654E-18</v>
      </c>
      <c r="R48" s="178">
        <v>1.8839612679358775E-17</v>
      </c>
      <c r="S48" s="178">
        <v>1.0470480975875054E-17</v>
      </c>
      <c r="T48" s="178">
        <v>-0.30151134457776368</v>
      </c>
      <c r="U48" s="178">
        <v>0.30151134457776368</v>
      </c>
      <c r="V48" s="179">
        <v>-3.5803284477836921E-2</v>
      </c>
    </row>
    <row r="49" spans="2:22" x14ac:dyDescent="0.5">
      <c r="B49" s="171" t="s">
        <v>237</v>
      </c>
      <c r="C49" s="178">
        <v>-9.0909090909090898E-2</v>
      </c>
      <c r="D49" s="178">
        <v>-9.0909090909090939E-2</v>
      </c>
      <c r="E49" s="178">
        <v>-9.0909090909090925E-2</v>
      </c>
      <c r="F49" s="178">
        <v>-9.0909090909090925E-2</v>
      </c>
      <c r="G49" s="178">
        <v>-9.0909090909090884E-2</v>
      </c>
      <c r="H49" s="182">
        <v>1</v>
      </c>
      <c r="I49" s="178">
        <v>-9.0909090909090884E-2</v>
      </c>
      <c r="J49" s="178">
        <v>-9.0909090909090912E-2</v>
      </c>
      <c r="K49" s="178">
        <v>-9.0909090909090898E-2</v>
      </c>
      <c r="L49" s="178">
        <v>-9.0909090909090912E-2</v>
      </c>
      <c r="M49" s="178">
        <v>-9.0909090909090939E-2</v>
      </c>
      <c r="N49" s="178">
        <v>-9.0909090909090925E-2</v>
      </c>
      <c r="O49" s="178">
        <v>2.1023708325626477E-18</v>
      </c>
      <c r="P49" s="178">
        <v>-6.2662500908354143E-18</v>
      </c>
      <c r="Q49" s="178">
        <v>-8.406418649736654E-18</v>
      </c>
      <c r="R49" s="178">
        <v>-2.0819396291363835E-18</v>
      </c>
      <c r="S49" s="178">
        <v>1.0470480975875054E-17</v>
      </c>
      <c r="T49" s="178">
        <v>-0.30151134457776368</v>
      </c>
      <c r="U49" s="178">
        <v>0.30151134457776368</v>
      </c>
      <c r="V49" s="179">
        <v>-3.377668346965736E-3</v>
      </c>
    </row>
    <row r="50" spans="2:22" x14ac:dyDescent="0.5">
      <c r="B50" s="171" t="s">
        <v>238</v>
      </c>
      <c r="C50" s="178">
        <v>-9.0909090909090912E-2</v>
      </c>
      <c r="D50" s="178">
        <v>-9.0909090909090925E-2</v>
      </c>
      <c r="E50" s="178">
        <v>-9.0909090909090912E-2</v>
      </c>
      <c r="F50" s="178">
        <v>-9.0909090909090912E-2</v>
      </c>
      <c r="G50" s="178">
        <v>-9.0909090909090884E-2</v>
      </c>
      <c r="H50" s="178">
        <v>-9.0909090909090884E-2</v>
      </c>
      <c r="I50" s="182">
        <v>1</v>
      </c>
      <c r="J50" s="178">
        <v>-9.0909090909090912E-2</v>
      </c>
      <c r="K50" s="178">
        <v>-9.0909090909090898E-2</v>
      </c>
      <c r="L50" s="178">
        <v>-9.0909090909090912E-2</v>
      </c>
      <c r="M50" s="178">
        <v>-9.0909090909090925E-2</v>
      </c>
      <c r="N50" s="178">
        <v>-9.0909090909090912E-2</v>
      </c>
      <c r="O50" s="178">
        <v>2.1023708325626477E-18</v>
      </c>
      <c r="P50" s="178">
        <v>2.1023708325626477E-18</v>
      </c>
      <c r="Q50" s="178">
        <v>-8.406418649736654E-18</v>
      </c>
      <c r="R50" s="178">
        <v>-2.0819396291363835E-18</v>
      </c>
      <c r="S50" s="178">
        <v>1.0470480975875054E-17</v>
      </c>
      <c r="T50" s="178">
        <v>-0.30151134457776368</v>
      </c>
      <c r="U50" s="178">
        <v>0.30151134457776368</v>
      </c>
      <c r="V50" s="179">
        <v>2.9047947783905438E-2</v>
      </c>
    </row>
    <row r="51" spans="2:22" x14ac:dyDescent="0.5">
      <c r="B51" s="171" t="s">
        <v>239</v>
      </c>
      <c r="C51" s="178">
        <v>-9.0909090909090925E-2</v>
      </c>
      <c r="D51" s="178">
        <v>-9.0909090909090925E-2</v>
      </c>
      <c r="E51" s="178">
        <v>-9.0909090909090912E-2</v>
      </c>
      <c r="F51" s="178">
        <v>-9.0909090909090912E-2</v>
      </c>
      <c r="G51" s="178">
        <v>-9.0909090909090912E-2</v>
      </c>
      <c r="H51" s="178">
        <v>-9.0909090909090912E-2</v>
      </c>
      <c r="I51" s="178">
        <v>-9.0909090909090912E-2</v>
      </c>
      <c r="J51" s="182">
        <v>1</v>
      </c>
      <c r="K51" s="178">
        <v>-9.0909090909090898E-2</v>
      </c>
      <c r="L51" s="178">
        <v>-9.0909090909090912E-2</v>
      </c>
      <c r="M51" s="178">
        <v>-9.0909090909090925E-2</v>
      </c>
      <c r="N51" s="178">
        <v>-9.0909090909090912E-2</v>
      </c>
      <c r="O51" s="178">
        <v>-6.2662500908354143E-18</v>
      </c>
      <c r="P51" s="178">
        <v>6.286681294261679E-18</v>
      </c>
      <c r="Q51" s="178">
        <v>-8.4053970895653396E-18</v>
      </c>
      <c r="R51" s="178">
        <v>-2.0821950191792117E-18</v>
      </c>
      <c r="S51" s="178">
        <v>1.0470480975875054E-17</v>
      </c>
      <c r="T51" s="178">
        <v>-0.30151134457776363</v>
      </c>
      <c r="U51" s="178">
        <v>0.30151134457776363</v>
      </c>
      <c r="V51" s="179">
        <v>2.0941543751187678E-2</v>
      </c>
    </row>
    <row r="52" spans="2:22" x14ac:dyDescent="0.5">
      <c r="B52" s="171" t="s">
        <v>240</v>
      </c>
      <c r="C52" s="178">
        <v>-9.0909090909090912E-2</v>
      </c>
      <c r="D52" s="178">
        <v>-9.0909090909090925E-2</v>
      </c>
      <c r="E52" s="178">
        <v>-9.0909090909090925E-2</v>
      </c>
      <c r="F52" s="178">
        <v>-9.0909090909090925E-2</v>
      </c>
      <c r="G52" s="178">
        <v>-9.0909090909090912E-2</v>
      </c>
      <c r="H52" s="178">
        <v>-9.0909090909090898E-2</v>
      </c>
      <c r="I52" s="178">
        <v>-9.0909090909090898E-2</v>
      </c>
      <c r="J52" s="178">
        <v>-9.0909090909090898E-2</v>
      </c>
      <c r="K52" s="182">
        <v>1</v>
      </c>
      <c r="L52" s="178">
        <v>-9.0909090909090939E-2</v>
      </c>
      <c r="M52" s="178">
        <v>-9.0909090909090939E-2</v>
      </c>
      <c r="N52" s="178">
        <v>-9.0909090909090939E-2</v>
      </c>
      <c r="O52" s="178">
        <v>-6.2662500908354151E-18</v>
      </c>
      <c r="P52" s="178">
        <v>6.2866812942616797E-18</v>
      </c>
      <c r="Q52" s="178">
        <v>-8.4053970895653396E-18</v>
      </c>
      <c r="R52" s="178">
        <v>2.1021154425198199E-18</v>
      </c>
      <c r="S52" s="178">
        <v>8.3783257450255391E-18</v>
      </c>
      <c r="T52" s="178">
        <v>-0.30151134457776363</v>
      </c>
      <c r="U52" s="178">
        <v>0.30151134457776363</v>
      </c>
      <c r="V52" s="179">
        <v>-1.9590476412401355E-2</v>
      </c>
    </row>
    <row r="53" spans="2:22" x14ac:dyDescent="0.5">
      <c r="B53" s="171" t="s">
        <v>241</v>
      </c>
      <c r="C53" s="178">
        <v>-9.0909090909090925E-2</v>
      </c>
      <c r="D53" s="178">
        <v>-9.0909090909090939E-2</v>
      </c>
      <c r="E53" s="178">
        <v>-9.0909090909090925E-2</v>
      </c>
      <c r="F53" s="178">
        <v>-9.0909090909090939E-2</v>
      </c>
      <c r="G53" s="178">
        <v>-9.0909090909090925E-2</v>
      </c>
      <c r="H53" s="178">
        <v>-9.0909090909090912E-2</v>
      </c>
      <c r="I53" s="178">
        <v>-9.0909090909090912E-2</v>
      </c>
      <c r="J53" s="178">
        <v>-9.0909090909090912E-2</v>
      </c>
      <c r="K53" s="178">
        <v>-9.0909090909090939E-2</v>
      </c>
      <c r="L53" s="182">
        <v>1</v>
      </c>
      <c r="M53" s="178">
        <v>-9.0909090909090953E-2</v>
      </c>
      <c r="N53" s="178">
        <v>-9.0909090909090939E-2</v>
      </c>
      <c r="O53" s="178">
        <v>-4.1740948599858985E-18</v>
      </c>
      <c r="P53" s="178">
        <v>8.3788365251111948E-18</v>
      </c>
      <c r="Q53" s="178">
        <v>-8.406418649736654E-18</v>
      </c>
      <c r="R53" s="178">
        <v>1.0215601713132401E-20</v>
      </c>
      <c r="S53" s="178">
        <v>8.3783257450255391E-18</v>
      </c>
      <c r="T53" s="178">
        <v>0.30151134457776363</v>
      </c>
      <c r="U53" s="178">
        <v>-0.30151134457776363</v>
      </c>
      <c r="V53" s="179">
        <v>-1.1484072379683553E-2</v>
      </c>
    </row>
    <row r="54" spans="2:22" x14ac:dyDescent="0.5">
      <c r="B54" s="171" t="s">
        <v>242</v>
      </c>
      <c r="C54" s="178">
        <v>-9.0909090909090953E-2</v>
      </c>
      <c r="D54" s="178">
        <v>-9.0909090909090939E-2</v>
      </c>
      <c r="E54" s="178">
        <v>-9.0909090909090925E-2</v>
      </c>
      <c r="F54" s="178">
        <v>-9.0909090909090939E-2</v>
      </c>
      <c r="G54" s="178">
        <v>-9.0909090909090953E-2</v>
      </c>
      <c r="H54" s="178">
        <v>-9.0909090909090939E-2</v>
      </c>
      <c r="I54" s="178">
        <v>-9.0909090909090925E-2</v>
      </c>
      <c r="J54" s="178">
        <v>-9.0909090909090925E-2</v>
      </c>
      <c r="K54" s="178">
        <v>-9.0909090909090939E-2</v>
      </c>
      <c r="L54" s="178">
        <v>-9.0909090909090953E-2</v>
      </c>
      <c r="M54" s="182">
        <v>1</v>
      </c>
      <c r="N54" s="178">
        <v>-9.0909090909090939E-2</v>
      </c>
      <c r="O54" s="178">
        <v>2.1023708325626481E-18</v>
      </c>
      <c r="P54" s="178">
        <v>6.2866812942616797E-18</v>
      </c>
      <c r="Q54" s="178">
        <v>-8.4053970895653396E-18</v>
      </c>
      <c r="R54" s="178">
        <v>-1.0450815942577274E-17</v>
      </c>
      <c r="S54" s="178">
        <v>6.2861705141760233E-18</v>
      </c>
      <c r="T54" s="178">
        <v>0.30151134457776363</v>
      </c>
      <c r="U54" s="178">
        <v>-0.30151134457776363</v>
      </c>
      <c r="V54" s="179">
        <v>-1.1484072379683531E-2</v>
      </c>
    </row>
    <row r="55" spans="2:22" x14ac:dyDescent="0.5">
      <c r="B55" s="171" t="s">
        <v>243</v>
      </c>
      <c r="C55" s="178">
        <v>-9.0909090909090939E-2</v>
      </c>
      <c r="D55" s="178">
        <v>-9.0909090909090939E-2</v>
      </c>
      <c r="E55" s="178">
        <v>-9.0909090909090925E-2</v>
      </c>
      <c r="F55" s="178">
        <v>-9.0909090909090939E-2</v>
      </c>
      <c r="G55" s="178">
        <v>-9.0909090909090939E-2</v>
      </c>
      <c r="H55" s="178">
        <v>-9.0909090909090925E-2</v>
      </c>
      <c r="I55" s="178">
        <v>-9.0909090909090912E-2</v>
      </c>
      <c r="J55" s="178">
        <v>-9.0909090909090912E-2</v>
      </c>
      <c r="K55" s="178">
        <v>-9.0909090909090939E-2</v>
      </c>
      <c r="L55" s="178">
        <v>-9.0909090909090939E-2</v>
      </c>
      <c r="M55" s="178">
        <v>-9.0909090909090939E-2</v>
      </c>
      <c r="N55" s="182">
        <v>1</v>
      </c>
      <c r="O55" s="178">
        <v>2.1023708325626481E-18</v>
      </c>
      <c r="P55" s="178">
        <v>2.1023708325626481E-18</v>
      </c>
      <c r="Q55" s="178">
        <v>-8.4053970895653396E-18</v>
      </c>
      <c r="R55" s="178">
        <v>-2.0821950191792117E-18</v>
      </c>
      <c r="S55" s="178">
        <v>6.2861705141760233E-18</v>
      </c>
      <c r="T55" s="178">
        <v>0.30151134457776363</v>
      </c>
      <c r="U55" s="178">
        <v>-0.30151134457776363</v>
      </c>
      <c r="V55" s="179">
        <v>1.2835139718469816E-2</v>
      </c>
    </row>
    <row r="56" spans="2:22" x14ac:dyDescent="0.5">
      <c r="B56" s="171" t="s">
        <v>244</v>
      </c>
      <c r="C56" s="178">
        <v>-1.4634871014233478E-17</v>
      </c>
      <c r="D56" s="178">
        <v>-1.0358620137116252E-18</v>
      </c>
      <c r="E56" s="178">
        <v>-6.7892888985477927E-18</v>
      </c>
      <c r="F56" s="178">
        <v>-7.9518243735022595E-18</v>
      </c>
      <c r="G56" s="178">
        <v>2.1023708325626481E-18</v>
      </c>
      <c r="H56" s="178">
        <v>2.1023708325626477E-18</v>
      </c>
      <c r="I56" s="178">
        <v>2.1023708325626477E-18</v>
      </c>
      <c r="J56" s="178">
        <v>-6.2662500908354143E-18</v>
      </c>
      <c r="K56" s="178">
        <v>-6.2662500908354151E-18</v>
      </c>
      <c r="L56" s="178">
        <v>-4.1740948599858985E-18</v>
      </c>
      <c r="M56" s="178">
        <v>2.1023708325626481E-18</v>
      </c>
      <c r="N56" s="178">
        <v>2.1023708325626481E-18</v>
      </c>
      <c r="O56" s="182">
        <v>1</v>
      </c>
      <c r="P56" s="178">
        <v>-0.24999999999999992</v>
      </c>
      <c r="Q56" s="178">
        <v>-0.24999999999999994</v>
      </c>
      <c r="R56" s="178">
        <v>-0.24999999999999994</v>
      </c>
      <c r="S56" s="178">
        <v>-0.25</v>
      </c>
      <c r="T56" s="178">
        <v>-1.2175251583833308E-17</v>
      </c>
      <c r="U56" s="178">
        <v>1.2178075026990822E-17</v>
      </c>
      <c r="V56" s="179">
        <v>1.3442950287774414E-2</v>
      </c>
    </row>
    <row r="57" spans="2:22" x14ac:dyDescent="0.5">
      <c r="B57" s="171" t="s">
        <v>245</v>
      </c>
      <c r="C57" s="178">
        <v>-1.4634871014233478E-17</v>
      </c>
      <c r="D57" s="178">
        <v>7.3327589096864365E-18</v>
      </c>
      <c r="E57" s="178">
        <v>-6.7892888985477927E-18</v>
      </c>
      <c r="F57" s="178">
        <v>4.1679654989580195E-19</v>
      </c>
      <c r="G57" s="178">
        <v>-6.2662500908354151E-18</v>
      </c>
      <c r="H57" s="178">
        <v>-6.2662500908354143E-18</v>
      </c>
      <c r="I57" s="178">
        <v>2.1023708325626477E-18</v>
      </c>
      <c r="J57" s="178">
        <v>6.286681294261679E-18</v>
      </c>
      <c r="K57" s="178">
        <v>6.2866812942616797E-18</v>
      </c>
      <c r="L57" s="178">
        <v>8.3788365251111948E-18</v>
      </c>
      <c r="M57" s="178">
        <v>6.2866812942616797E-18</v>
      </c>
      <c r="N57" s="178">
        <v>2.1023708325626481E-18</v>
      </c>
      <c r="O57" s="178">
        <v>-0.24999999999999992</v>
      </c>
      <c r="P57" s="182">
        <v>1</v>
      </c>
      <c r="Q57" s="178">
        <v>-0.24999999999999994</v>
      </c>
      <c r="R57" s="178">
        <v>-0.24999999999999994</v>
      </c>
      <c r="S57" s="178">
        <v>-0.25</v>
      </c>
      <c r="T57" s="178">
        <v>6.3284654932526259E-18</v>
      </c>
      <c r="U57" s="178">
        <v>-6.3256420500951119E-18</v>
      </c>
      <c r="V57" s="179">
        <v>-3.696811329137964E-2</v>
      </c>
    </row>
    <row r="58" spans="2:22" x14ac:dyDescent="0.5">
      <c r="B58" s="171" t="s">
        <v>246</v>
      </c>
      <c r="C58" s="178">
        <v>-8.406418649736654E-18</v>
      </c>
      <c r="D58" s="178">
        <v>-1.2590729111435686E-17</v>
      </c>
      <c r="E58" s="178">
        <v>-6.3132418587158246E-18</v>
      </c>
      <c r="F58" s="178">
        <v>-1.691703643694726E-18</v>
      </c>
      <c r="G58" s="178">
        <v>-8.406418649736654E-18</v>
      </c>
      <c r="H58" s="178">
        <v>-8.406418649736654E-18</v>
      </c>
      <c r="I58" s="178">
        <v>-8.406418649736654E-18</v>
      </c>
      <c r="J58" s="178">
        <v>-8.4053970895653396E-18</v>
      </c>
      <c r="K58" s="178">
        <v>-8.4053970895653396E-18</v>
      </c>
      <c r="L58" s="178">
        <v>-8.406418649736654E-18</v>
      </c>
      <c r="M58" s="178">
        <v>-8.4053970895653396E-18</v>
      </c>
      <c r="N58" s="178">
        <v>-8.4053970895653396E-18</v>
      </c>
      <c r="O58" s="178">
        <v>-0.24999999999999994</v>
      </c>
      <c r="P58" s="178">
        <v>-0.24999999999999994</v>
      </c>
      <c r="Q58" s="182">
        <v>1</v>
      </c>
      <c r="R58" s="178">
        <v>-0.24999999999999994</v>
      </c>
      <c r="S58" s="178">
        <v>-0.24999999999999994</v>
      </c>
      <c r="T58" s="178">
        <v>1.1682278408531309E-17</v>
      </c>
      <c r="U58" s="178">
        <v>-1.1691313426635354E-17</v>
      </c>
      <c r="V58" s="179">
        <v>-5.9373030437670317E-2</v>
      </c>
    </row>
    <row r="59" spans="2:22" x14ac:dyDescent="0.5">
      <c r="B59" s="171" t="s">
        <v>247</v>
      </c>
      <c r="C59" s="178">
        <v>1.0470991755960711E-17</v>
      </c>
      <c r="D59" s="178">
        <v>7.332758909686438E-18</v>
      </c>
      <c r="E59" s="178">
        <v>1.4132008019904536E-17</v>
      </c>
      <c r="F59" s="178">
        <v>2.1338348858390959E-17</v>
      </c>
      <c r="G59" s="178">
        <v>1.8839612679358775E-17</v>
      </c>
      <c r="H59" s="178">
        <v>-2.0819396291363835E-18</v>
      </c>
      <c r="I59" s="178">
        <v>-2.0819396291363835E-18</v>
      </c>
      <c r="J59" s="178">
        <v>-2.0821950191792117E-18</v>
      </c>
      <c r="K59" s="178">
        <v>2.1021154425198199E-18</v>
      </c>
      <c r="L59" s="178">
        <v>1.0215601713132401E-20</v>
      </c>
      <c r="M59" s="178">
        <v>-1.0450815942577274E-17</v>
      </c>
      <c r="N59" s="178">
        <v>-2.0821950191792117E-18</v>
      </c>
      <c r="O59" s="178">
        <v>-0.24999999999999994</v>
      </c>
      <c r="P59" s="178">
        <v>-0.24999999999999994</v>
      </c>
      <c r="Q59" s="178">
        <v>-0.24999999999999994</v>
      </c>
      <c r="R59" s="182">
        <v>1</v>
      </c>
      <c r="S59" s="178">
        <v>-0.25000000000000006</v>
      </c>
      <c r="T59" s="178">
        <v>1.5580888720427098E-17</v>
      </c>
      <c r="U59" s="178">
        <v>-1.5578629965901086E-17</v>
      </c>
      <c r="V59" s="179">
        <v>-3.3607375719435948E-3</v>
      </c>
    </row>
    <row r="60" spans="2:22" x14ac:dyDescent="0.5">
      <c r="B60" s="171" t="s">
        <v>248</v>
      </c>
      <c r="C60" s="178">
        <v>1.0470480975875054E-17</v>
      </c>
      <c r="D60" s="178">
        <v>3.1479376679017496E-18</v>
      </c>
      <c r="E60" s="178">
        <v>-2.605489216934419E-18</v>
      </c>
      <c r="F60" s="178">
        <v>-3.7634276711179765E-18</v>
      </c>
      <c r="G60" s="178">
        <v>1.0470480975875054E-17</v>
      </c>
      <c r="H60" s="178">
        <v>1.0470480975875054E-17</v>
      </c>
      <c r="I60" s="178">
        <v>1.0470480975875054E-17</v>
      </c>
      <c r="J60" s="178">
        <v>1.0470480975875054E-17</v>
      </c>
      <c r="K60" s="178">
        <v>8.3783257450255391E-18</v>
      </c>
      <c r="L60" s="178">
        <v>8.3783257450255391E-18</v>
      </c>
      <c r="M60" s="178">
        <v>6.2861705141760233E-18</v>
      </c>
      <c r="N60" s="178">
        <v>6.2861705141760233E-18</v>
      </c>
      <c r="O60" s="178">
        <v>-0.25</v>
      </c>
      <c r="P60" s="178">
        <v>-0.25</v>
      </c>
      <c r="Q60" s="178">
        <v>-0.24999999999999994</v>
      </c>
      <c r="R60" s="178">
        <v>-0.25000000000000006</v>
      </c>
      <c r="S60" s="182">
        <v>1</v>
      </c>
      <c r="T60" s="178">
        <v>-2.1425416056481767E-17</v>
      </c>
      <c r="U60" s="178">
        <v>2.1427674811007777E-17</v>
      </c>
      <c r="V60" s="179">
        <v>8.6258931013219103E-2</v>
      </c>
    </row>
    <row r="61" spans="2:22" x14ac:dyDescent="0.5">
      <c r="B61" s="171" t="s">
        <v>249</v>
      </c>
      <c r="C61" s="178">
        <v>-0.30151134457776368</v>
      </c>
      <c r="D61" s="178">
        <v>0.30151134457776357</v>
      </c>
      <c r="E61" s="178">
        <v>0.30151134457776368</v>
      </c>
      <c r="F61" s="178">
        <v>0.30151134457776363</v>
      </c>
      <c r="G61" s="178">
        <v>-0.30151134457776368</v>
      </c>
      <c r="H61" s="178">
        <v>-0.30151134457776368</v>
      </c>
      <c r="I61" s="178">
        <v>-0.30151134457776368</v>
      </c>
      <c r="J61" s="178">
        <v>-0.30151134457776363</v>
      </c>
      <c r="K61" s="178">
        <v>-0.30151134457776363</v>
      </c>
      <c r="L61" s="178">
        <v>0.30151134457776363</v>
      </c>
      <c r="M61" s="178">
        <v>0.30151134457776363</v>
      </c>
      <c r="N61" s="178">
        <v>0.30151134457776363</v>
      </c>
      <c r="O61" s="178">
        <v>-1.2175251583833308E-17</v>
      </c>
      <c r="P61" s="178">
        <v>6.3284654932526259E-18</v>
      </c>
      <c r="Q61" s="178">
        <v>1.1682278408531309E-17</v>
      </c>
      <c r="R61" s="178">
        <v>1.5580888720427098E-17</v>
      </c>
      <c r="S61" s="178">
        <v>-2.1425416056481767E-17</v>
      </c>
      <c r="T61" s="182">
        <v>1</v>
      </c>
      <c r="U61" s="178">
        <v>-1</v>
      </c>
      <c r="V61" s="179">
        <v>6.7214751438872105E-3</v>
      </c>
    </row>
    <row r="62" spans="2:22" x14ac:dyDescent="0.5">
      <c r="B62" s="171" t="s">
        <v>250</v>
      </c>
      <c r="C62" s="178">
        <v>0.30151134457776368</v>
      </c>
      <c r="D62" s="178">
        <v>-0.30151134457776357</v>
      </c>
      <c r="E62" s="178">
        <v>-0.30151134457776368</v>
      </c>
      <c r="F62" s="178">
        <v>-0.30151134457776363</v>
      </c>
      <c r="G62" s="178">
        <v>0.30151134457776368</v>
      </c>
      <c r="H62" s="178">
        <v>0.30151134457776368</v>
      </c>
      <c r="I62" s="178">
        <v>0.30151134457776368</v>
      </c>
      <c r="J62" s="178">
        <v>0.30151134457776363</v>
      </c>
      <c r="K62" s="178">
        <v>0.30151134457776363</v>
      </c>
      <c r="L62" s="178">
        <v>-0.30151134457776363</v>
      </c>
      <c r="M62" s="178">
        <v>-0.30151134457776363</v>
      </c>
      <c r="N62" s="178">
        <v>-0.30151134457776363</v>
      </c>
      <c r="O62" s="178">
        <v>1.2178075026990822E-17</v>
      </c>
      <c r="P62" s="178">
        <v>-6.3256420500951119E-18</v>
      </c>
      <c r="Q62" s="178">
        <v>-1.1691313426635354E-17</v>
      </c>
      <c r="R62" s="178">
        <v>-1.5578629965901086E-17</v>
      </c>
      <c r="S62" s="178">
        <v>2.1427674811007777E-17</v>
      </c>
      <c r="T62" s="178">
        <v>-1</v>
      </c>
      <c r="U62" s="182">
        <v>1</v>
      </c>
      <c r="V62" s="179">
        <v>-6.7214751438872105E-3</v>
      </c>
    </row>
    <row r="63" spans="2:22" ht="14.7" thickBot="1" x14ac:dyDescent="0.55000000000000004">
      <c r="B63" s="175" t="s">
        <v>209</v>
      </c>
      <c r="C63" s="180">
        <v>-3.3776683469657468E-3</v>
      </c>
      <c r="D63" s="180">
        <v>-1.9590476412401348E-2</v>
      </c>
      <c r="E63" s="180">
        <v>3.7154351816623195E-2</v>
      </c>
      <c r="F63" s="180">
        <v>4.7287356857520059E-3</v>
      </c>
      <c r="G63" s="180">
        <v>-3.5803284477836921E-2</v>
      </c>
      <c r="H63" s="180">
        <v>-3.377668346965736E-3</v>
      </c>
      <c r="I63" s="180">
        <v>2.9047947783905438E-2</v>
      </c>
      <c r="J63" s="180">
        <v>2.0941543751187678E-2</v>
      </c>
      <c r="K63" s="180">
        <v>-1.9590476412401355E-2</v>
      </c>
      <c r="L63" s="180">
        <v>-1.1484072379683553E-2</v>
      </c>
      <c r="M63" s="180">
        <v>-1.1484072379683531E-2</v>
      </c>
      <c r="N63" s="180">
        <v>1.2835139718469816E-2</v>
      </c>
      <c r="O63" s="180">
        <v>1.3442950287774414E-2</v>
      </c>
      <c r="P63" s="180">
        <v>-3.696811329137964E-2</v>
      </c>
      <c r="Q63" s="180">
        <v>-5.9373030437670317E-2</v>
      </c>
      <c r="R63" s="180">
        <v>-3.3607375719435948E-3</v>
      </c>
      <c r="S63" s="180">
        <v>8.6258931013219103E-2</v>
      </c>
      <c r="T63" s="180">
        <v>6.7214751438872105E-3</v>
      </c>
      <c r="U63" s="180">
        <v>-6.7214751438872105E-3</v>
      </c>
      <c r="V63" s="183">
        <v>1</v>
      </c>
    </row>
    <row r="66" spans="2:3" x14ac:dyDescent="0.5">
      <c r="B66" s="89" t="s">
        <v>251</v>
      </c>
    </row>
    <row r="68" spans="2:3" x14ac:dyDescent="0.5">
      <c r="B68" t="s">
        <v>252</v>
      </c>
    </row>
    <row r="69" spans="2:3" ht="14.7" thickBot="1" x14ac:dyDescent="0.55000000000000004"/>
    <row r="70" spans="2:3" x14ac:dyDescent="0.5">
      <c r="B70" s="184" t="s">
        <v>221</v>
      </c>
      <c r="C70" s="185">
        <v>60</v>
      </c>
    </row>
    <row r="71" spans="2:3" x14ac:dyDescent="0.5">
      <c r="B71" s="160" t="s">
        <v>253</v>
      </c>
      <c r="C71" s="186">
        <v>60</v>
      </c>
    </row>
    <row r="72" spans="2:3" x14ac:dyDescent="0.5">
      <c r="B72" s="160" t="s">
        <v>254</v>
      </c>
      <c r="C72" s="169">
        <v>147.6997514652432</v>
      </c>
    </row>
    <row r="73" spans="2:3" x14ac:dyDescent="0.5">
      <c r="B73" s="160" t="s">
        <v>255</v>
      </c>
      <c r="C73" s="169">
        <v>151.6997514652432</v>
      </c>
    </row>
    <row r="74" spans="2:3" x14ac:dyDescent="0.5">
      <c r="B74" s="160" t="s">
        <v>256</v>
      </c>
      <c r="C74" s="169">
        <v>151.91027778103268</v>
      </c>
    </row>
    <row r="75" spans="2:3" x14ac:dyDescent="0.5">
      <c r="B75" s="160" t="s">
        <v>257</v>
      </c>
      <c r="C75" s="169">
        <v>155.88844058968741</v>
      </c>
    </row>
    <row r="76" spans="2:3" x14ac:dyDescent="0.5">
      <c r="B76" s="160" t="s">
        <v>258</v>
      </c>
      <c r="C76" s="169">
        <v>157.88844058968741</v>
      </c>
    </row>
    <row r="77" spans="2:3" x14ac:dyDescent="0.5">
      <c r="B77" s="160" t="s">
        <v>259</v>
      </c>
      <c r="C77" s="186">
        <v>7</v>
      </c>
    </row>
    <row r="78" spans="2:3" x14ac:dyDescent="0.5">
      <c r="B78" s="160" t="s">
        <v>260</v>
      </c>
      <c r="C78" s="186">
        <v>2</v>
      </c>
    </row>
    <row r="79" spans="2:3" x14ac:dyDescent="0.5">
      <c r="B79" s="160" t="s">
        <v>261</v>
      </c>
      <c r="C79" s="186">
        <v>1</v>
      </c>
    </row>
    <row r="80" spans="2:3" x14ac:dyDescent="0.5">
      <c r="B80" s="160" t="s">
        <v>262</v>
      </c>
      <c r="C80" s="186">
        <v>0</v>
      </c>
    </row>
    <row r="81" spans="2:6" x14ac:dyDescent="0.5">
      <c r="B81" s="160" t="s">
        <v>263</v>
      </c>
      <c r="C81" s="186">
        <v>12</v>
      </c>
    </row>
    <row r="82" spans="2:6" ht="14.7" thickBot="1" x14ac:dyDescent="0.55000000000000004">
      <c r="B82" s="167" t="s">
        <v>264</v>
      </c>
      <c r="C82" s="187">
        <v>5</v>
      </c>
    </row>
    <row r="85" spans="2:6" x14ac:dyDescent="0.5">
      <c r="B85" t="s">
        <v>265</v>
      </c>
    </row>
    <row r="86" spans="2:6" ht="14.7" thickBot="1" x14ac:dyDescent="0.55000000000000004"/>
    <row r="87" spans="2:6" x14ac:dyDescent="0.5">
      <c r="B87" s="161"/>
      <c r="C87" s="162" t="s">
        <v>266</v>
      </c>
      <c r="D87" s="162" t="s">
        <v>267</v>
      </c>
      <c r="E87" s="162" t="s">
        <v>268</v>
      </c>
      <c r="F87" s="162" t="s">
        <v>269</v>
      </c>
    </row>
    <row r="88" spans="2:6" x14ac:dyDescent="0.5">
      <c r="B88" s="163" t="s">
        <v>270</v>
      </c>
      <c r="C88" s="168">
        <v>0.87999999999999434</v>
      </c>
      <c r="D88" s="168">
        <v>0.19677396036673656</v>
      </c>
      <c r="E88" s="168">
        <v>4.4721364471188076</v>
      </c>
      <c r="F88" s="188" t="s">
        <v>272</v>
      </c>
    </row>
    <row r="89" spans="2:6" ht="14.7" thickBot="1" x14ac:dyDescent="0.55000000000000004">
      <c r="B89" s="167" t="s">
        <v>271</v>
      </c>
      <c r="C89" s="170">
        <v>-7.6666666668186959E-2</v>
      </c>
      <c r="D89" s="170">
        <v>5.9348125807751485E-2</v>
      </c>
      <c r="E89" s="170">
        <v>-1.2918127678797482</v>
      </c>
      <c r="F89" s="170">
        <v>0.1964219926338559</v>
      </c>
    </row>
    <row r="92" spans="2:6" x14ac:dyDescent="0.5">
      <c r="B92" t="s">
        <v>273</v>
      </c>
    </row>
    <row r="93" spans="2:6" ht="14.7" thickBot="1" x14ac:dyDescent="0.55000000000000004"/>
    <row r="94" spans="2:6" x14ac:dyDescent="0.5">
      <c r="B94" s="162" t="s">
        <v>274</v>
      </c>
      <c r="C94" s="162" t="s">
        <v>275</v>
      </c>
      <c r="D94" s="162" t="s">
        <v>276</v>
      </c>
    </row>
    <row r="95" spans="2:6" ht="14.7" thickBot="1" x14ac:dyDescent="0.55000000000000004">
      <c r="B95" s="165">
        <v>1</v>
      </c>
      <c r="C95" s="166">
        <v>1.1624194892264086</v>
      </c>
      <c r="D95" s="166">
        <v>0.28096432427644791</v>
      </c>
    </row>
    <row r="98" spans="2:8" x14ac:dyDescent="0.5">
      <c r="B98" t="s">
        <v>277</v>
      </c>
    </row>
    <row r="99" spans="2:8" ht="14.7" thickBot="1" x14ac:dyDescent="0.55000000000000004"/>
    <row r="100" spans="2:8" x14ac:dyDescent="0.5">
      <c r="B100" s="161" t="s">
        <v>278</v>
      </c>
      <c r="C100" s="162" t="s">
        <v>279</v>
      </c>
      <c r="D100" s="162" t="s">
        <v>280</v>
      </c>
      <c r="E100" s="162" t="s">
        <v>62</v>
      </c>
      <c r="F100" s="162" t="s">
        <v>281</v>
      </c>
    </row>
    <row r="101" spans="2:8" ht="14.7" thickBot="1" x14ac:dyDescent="0.55000000000000004">
      <c r="B101" s="164" t="s">
        <v>282</v>
      </c>
      <c r="C101" s="165">
        <v>9</v>
      </c>
      <c r="D101" s="165">
        <v>50</v>
      </c>
      <c r="E101" s="166">
        <v>418.04318351312196</v>
      </c>
      <c r="F101" s="189" t="s">
        <v>272</v>
      </c>
    </row>
    <row r="104" spans="2:8" x14ac:dyDescent="0.5">
      <c r="B104" t="s">
        <v>283</v>
      </c>
    </row>
    <row r="105" spans="2:8" ht="14.7" thickBot="1" x14ac:dyDescent="0.55000000000000004"/>
    <row r="106" spans="2:8" x14ac:dyDescent="0.5">
      <c r="B106" s="161" t="s">
        <v>284</v>
      </c>
      <c r="C106" s="162" t="s">
        <v>285</v>
      </c>
      <c r="D106" s="162" t="s">
        <v>267</v>
      </c>
      <c r="E106" s="162" t="s">
        <v>286</v>
      </c>
      <c r="F106" s="162" t="s">
        <v>287</v>
      </c>
      <c r="G106" s="162" t="s">
        <v>288</v>
      </c>
      <c r="H106" s="162" t="s">
        <v>289</v>
      </c>
    </row>
    <row r="107" spans="2:8" x14ac:dyDescent="0.5">
      <c r="B107" s="163" t="s">
        <v>290</v>
      </c>
      <c r="C107" s="168">
        <v>-1.5161945772935384E-15</v>
      </c>
      <c r="D107" s="168">
        <v>0.36590830666798785</v>
      </c>
      <c r="E107" s="168">
        <v>-4.1436462350369085E-15</v>
      </c>
      <c r="F107" s="168">
        <v>1</v>
      </c>
      <c r="G107" s="168">
        <v>-0.73192558888462733</v>
      </c>
      <c r="H107" s="168">
        <v>0.73192558888462422</v>
      </c>
    </row>
    <row r="108" spans="2:8" x14ac:dyDescent="0.5">
      <c r="B108" s="160" t="s">
        <v>291</v>
      </c>
      <c r="C108" s="169">
        <v>0</v>
      </c>
      <c r="D108" s="169"/>
      <c r="E108" s="169"/>
      <c r="F108" s="169"/>
      <c r="G108" s="169"/>
      <c r="H108" s="169"/>
    </row>
    <row r="109" spans="2:8" x14ac:dyDescent="0.5">
      <c r="B109" s="160" t="s">
        <v>292</v>
      </c>
      <c r="C109" s="169">
        <v>-2.433571284331871E-16</v>
      </c>
      <c r="D109" s="169">
        <v>0.51747248987484229</v>
      </c>
      <c r="E109" s="169">
        <v>-4.7028032058679356E-16</v>
      </c>
      <c r="F109" s="169">
        <v>1</v>
      </c>
      <c r="G109" s="169">
        <v>-1.0350990944485527</v>
      </c>
      <c r="H109" s="169">
        <v>1.0350990944485523</v>
      </c>
    </row>
    <row r="110" spans="2:8" x14ac:dyDescent="0.5">
      <c r="B110" s="160" t="s">
        <v>293</v>
      </c>
      <c r="C110" s="169">
        <v>21.666666666666664</v>
      </c>
      <c r="D110" s="169">
        <v>0.54160256030906195</v>
      </c>
      <c r="E110" s="169">
        <v>40.00473456828329</v>
      </c>
      <c r="F110" s="190" t="s">
        <v>272</v>
      </c>
      <c r="G110" s="169">
        <v>20.58330024488351</v>
      </c>
      <c r="H110" s="169">
        <v>22.750033088449818</v>
      </c>
    </row>
    <row r="111" spans="2:8" x14ac:dyDescent="0.5">
      <c r="B111" s="160" t="s">
        <v>294</v>
      </c>
      <c r="C111" s="169">
        <v>21.333333333333336</v>
      </c>
      <c r="D111" s="169">
        <v>0.5174724898748424</v>
      </c>
      <c r="E111" s="169">
        <v>41.226024089692352</v>
      </c>
      <c r="F111" s="190" t="s">
        <v>272</v>
      </c>
      <c r="G111" s="169">
        <v>20.298234238884781</v>
      </c>
      <c r="H111" s="169">
        <v>22.36843242778189</v>
      </c>
    </row>
    <row r="112" spans="2:8" x14ac:dyDescent="0.5">
      <c r="B112" s="160" t="s">
        <v>295</v>
      </c>
      <c r="C112" s="169">
        <v>5.0000000000000018</v>
      </c>
      <c r="D112" s="169">
        <v>0.54160256030906195</v>
      </c>
      <c r="E112" s="169">
        <v>9.231861823449993</v>
      </c>
      <c r="F112" s="190" t="s">
        <v>272</v>
      </c>
      <c r="G112" s="169">
        <v>3.9166335782168469</v>
      </c>
      <c r="H112" s="169">
        <v>6.0833664217831567</v>
      </c>
    </row>
    <row r="113" spans="2:8" x14ac:dyDescent="0.5">
      <c r="B113" s="160" t="s">
        <v>296</v>
      </c>
      <c r="C113" s="169">
        <v>5.5</v>
      </c>
      <c r="D113" s="169">
        <v>0.51747248987484229</v>
      </c>
      <c r="E113" s="169">
        <v>10.628584335623811</v>
      </c>
      <c r="F113" s="190" t="s">
        <v>272</v>
      </c>
      <c r="G113" s="169">
        <v>4.4649009055514473</v>
      </c>
      <c r="H113" s="169">
        <v>6.5350990944485527</v>
      </c>
    </row>
    <row r="114" spans="2:8" x14ac:dyDescent="0.5">
      <c r="B114" s="160" t="s">
        <v>297</v>
      </c>
      <c r="C114" s="169">
        <v>11.500000000000002</v>
      </c>
      <c r="D114" s="169">
        <v>0.54160256030906195</v>
      </c>
      <c r="E114" s="169">
        <v>21.233282193934979</v>
      </c>
      <c r="F114" s="190" t="s">
        <v>272</v>
      </c>
      <c r="G114" s="169">
        <v>10.416633578216848</v>
      </c>
      <c r="H114" s="169">
        <v>12.583366421783156</v>
      </c>
    </row>
    <row r="115" spans="2:8" x14ac:dyDescent="0.5">
      <c r="B115" s="160" t="s">
        <v>298</v>
      </c>
      <c r="C115" s="169">
        <v>14.833333333333337</v>
      </c>
      <c r="D115" s="169">
        <v>0.51747248987484229</v>
      </c>
      <c r="E115" s="169">
        <v>28.664969874864227</v>
      </c>
      <c r="F115" s="190" t="s">
        <v>272</v>
      </c>
      <c r="G115" s="169">
        <v>13.798234238884785</v>
      </c>
      <c r="H115" s="169">
        <v>15.86843242778189</v>
      </c>
    </row>
    <row r="116" spans="2:8" x14ac:dyDescent="0.5">
      <c r="B116" s="160" t="s">
        <v>299</v>
      </c>
      <c r="C116" s="169">
        <v>7.1666666666666679</v>
      </c>
      <c r="D116" s="169">
        <v>0.54160256030906184</v>
      </c>
      <c r="E116" s="169">
        <v>13.232335280278324</v>
      </c>
      <c r="F116" s="190" t="s">
        <v>272</v>
      </c>
      <c r="G116" s="169">
        <v>6.0833002448835138</v>
      </c>
      <c r="H116" s="169">
        <v>8.2500330884498219</v>
      </c>
    </row>
    <row r="117" spans="2:8" ht="14.7" thickBot="1" x14ac:dyDescent="0.55000000000000004">
      <c r="B117" s="167" t="s">
        <v>300</v>
      </c>
      <c r="C117" s="170">
        <v>11.833333333333337</v>
      </c>
      <c r="D117" s="170">
        <v>0.51747248987484218</v>
      </c>
      <c r="E117" s="170">
        <v>22.867560237251244</v>
      </c>
      <c r="F117" s="191" t="s">
        <v>272</v>
      </c>
      <c r="G117" s="170">
        <v>10.798234238884785</v>
      </c>
      <c r="H117" s="170">
        <v>12.86843242778189</v>
      </c>
    </row>
    <row r="120" spans="2:8" x14ac:dyDescent="0.5">
      <c r="B120" t="s">
        <v>301</v>
      </c>
    </row>
    <row r="121" spans="2:8" ht="14.7" thickBot="1" x14ac:dyDescent="0.55000000000000004"/>
    <row r="122" spans="2:8" x14ac:dyDescent="0.5">
      <c r="B122" s="161" t="s">
        <v>302</v>
      </c>
      <c r="C122" s="162" t="s">
        <v>303</v>
      </c>
      <c r="D122" s="162" t="s">
        <v>304</v>
      </c>
      <c r="E122" s="162" t="s">
        <v>286</v>
      </c>
      <c r="F122" s="162" t="s">
        <v>287</v>
      </c>
      <c r="G122" s="162" t="s">
        <v>305</v>
      </c>
    </row>
    <row r="123" spans="2:8" x14ac:dyDescent="0.5">
      <c r="B123" s="163" t="s">
        <v>306</v>
      </c>
      <c r="C123" s="188">
        <v>21.666666666666664</v>
      </c>
      <c r="D123" s="188">
        <v>0.51747248987484229</v>
      </c>
      <c r="E123" s="188">
        <v>41.870180716093799</v>
      </c>
      <c r="F123" s="188" t="s">
        <v>272</v>
      </c>
      <c r="G123" s="192" t="s">
        <v>351</v>
      </c>
    </row>
    <row r="124" spans="2:8" x14ac:dyDescent="0.5">
      <c r="B124" s="160" t="s">
        <v>307</v>
      </c>
      <c r="C124" s="190">
        <v>21.666666666666664</v>
      </c>
      <c r="D124" s="190">
        <v>0.51747248987484229</v>
      </c>
      <c r="E124" s="190">
        <v>41.870180716093799</v>
      </c>
      <c r="F124" s="190" t="s">
        <v>272</v>
      </c>
      <c r="G124" s="193" t="s">
        <v>351</v>
      </c>
    </row>
    <row r="125" spans="2:8" x14ac:dyDescent="0.5">
      <c r="B125" s="160" t="s">
        <v>308</v>
      </c>
      <c r="C125" s="190">
        <v>16.666666666666664</v>
      </c>
      <c r="D125" s="190">
        <v>0.51747248987484229</v>
      </c>
      <c r="E125" s="190">
        <v>32.207831320072152</v>
      </c>
      <c r="F125" s="190" t="s">
        <v>272</v>
      </c>
      <c r="G125" s="193" t="s">
        <v>351</v>
      </c>
    </row>
    <row r="126" spans="2:8" x14ac:dyDescent="0.5">
      <c r="B126" s="160" t="s">
        <v>309</v>
      </c>
      <c r="C126" s="190">
        <v>16.166666666666664</v>
      </c>
      <c r="D126" s="190">
        <v>0.51747248987484229</v>
      </c>
      <c r="E126" s="190">
        <v>31.241596380469986</v>
      </c>
      <c r="F126" s="190" t="s">
        <v>272</v>
      </c>
      <c r="G126" s="193" t="s">
        <v>351</v>
      </c>
    </row>
    <row r="127" spans="2:8" x14ac:dyDescent="0.5">
      <c r="B127" s="160" t="s">
        <v>310</v>
      </c>
      <c r="C127" s="190">
        <v>14.499999999999996</v>
      </c>
      <c r="D127" s="190">
        <v>0.51747248987484229</v>
      </c>
      <c r="E127" s="190">
        <v>28.020813248462769</v>
      </c>
      <c r="F127" s="190" t="s">
        <v>272</v>
      </c>
      <c r="G127" s="193" t="s">
        <v>351</v>
      </c>
    </row>
    <row r="128" spans="2:8" x14ac:dyDescent="0.5">
      <c r="B128" s="160" t="s">
        <v>311</v>
      </c>
      <c r="C128" s="190">
        <v>10.166666666666663</v>
      </c>
      <c r="D128" s="190">
        <v>0.51747248987484229</v>
      </c>
      <c r="E128" s="190">
        <v>19.646777105244006</v>
      </c>
      <c r="F128" s="190" t="s">
        <v>272</v>
      </c>
      <c r="G128" s="193" t="s">
        <v>351</v>
      </c>
    </row>
    <row r="129" spans="2:7" x14ac:dyDescent="0.5">
      <c r="B129" s="160" t="s">
        <v>312</v>
      </c>
      <c r="C129" s="190">
        <v>9.8333333333333268</v>
      </c>
      <c r="D129" s="190">
        <v>0.51747248987484229</v>
      </c>
      <c r="E129" s="190">
        <v>19.002620478842559</v>
      </c>
      <c r="F129" s="190" t="s">
        <v>272</v>
      </c>
      <c r="G129" s="193" t="s">
        <v>351</v>
      </c>
    </row>
    <row r="130" spans="2:7" x14ac:dyDescent="0.5">
      <c r="B130" s="160" t="s">
        <v>313</v>
      </c>
      <c r="C130" s="190">
        <v>6.8333333333333268</v>
      </c>
      <c r="D130" s="190">
        <v>0.51747248987484229</v>
      </c>
      <c r="E130" s="190">
        <v>13.205210841229571</v>
      </c>
      <c r="F130" s="190" t="s">
        <v>272</v>
      </c>
      <c r="G130" s="193" t="s">
        <v>351</v>
      </c>
    </row>
    <row r="131" spans="2:7" x14ac:dyDescent="0.5">
      <c r="B131" s="160" t="s">
        <v>314</v>
      </c>
      <c r="C131" s="190">
        <v>0.3333333333333286</v>
      </c>
      <c r="D131" s="190">
        <v>0.51747248987484229</v>
      </c>
      <c r="E131" s="190">
        <v>0.6441566264014339</v>
      </c>
      <c r="F131" s="190">
        <v>0.52241804817344362</v>
      </c>
      <c r="G131" s="199" t="s">
        <v>352</v>
      </c>
    </row>
    <row r="132" spans="2:7" x14ac:dyDescent="0.5">
      <c r="B132" s="160" t="s">
        <v>315</v>
      </c>
      <c r="C132" s="190">
        <v>21.333333333333336</v>
      </c>
      <c r="D132" s="190">
        <v>0.51747248987484229</v>
      </c>
      <c r="E132" s="190">
        <v>41.226024089692366</v>
      </c>
      <c r="F132" s="190" t="s">
        <v>272</v>
      </c>
      <c r="G132" s="193" t="s">
        <v>351</v>
      </c>
    </row>
    <row r="133" spans="2:7" x14ac:dyDescent="0.5">
      <c r="B133" s="160" t="s">
        <v>316</v>
      </c>
      <c r="C133" s="190">
        <v>21.333333333333336</v>
      </c>
      <c r="D133" s="190">
        <v>0.51747248987484229</v>
      </c>
      <c r="E133" s="190">
        <v>41.226024089692366</v>
      </c>
      <c r="F133" s="190" t="s">
        <v>272</v>
      </c>
      <c r="G133" s="193" t="s">
        <v>351</v>
      </c>
    </row>
    <row r="134" spans="2:7" x14ac:dyDescent="0.5">
      <c r="B134" s="160" t="s">
        <v>317</v>
      </c>
      <c r="C134" s="190">
        <v>16.333333333333336</v>
      </c>
      <c r="D134" s="190">
        <v>0.51747248987484229</v>
      </c>
      <c r="E134" s="190">
        <v>31.563674693670716</v>
      </c>
      <c r="F134" s="190" t="s">
        <v>272</v>
      </c>
      <c r="G134" s="193" t="s">
        <v>351</v>
      </c>
    </row>
    <row r="135" spans="2:7" x14ac:dyDescent="0.5">
      <c r="B135" s="160" t="s">
        <v>318</v>
      </c>
      <c r="C135" s="190">
        <v>15.833333333333336</v>
      </c>
      <c r="D135" s="190">
        <v>0.51747248987484229</v>
      </c>
      <c r="E135" s="190">
        <v>30.597439754068553</v>
      </c>
      <c r="F135" s="190" t="s">
        <v>272</v>
      </c>
      <c r="G135" s="193" t="s">
        <v>351</v>
      </c>
    </row>
    <row r="136" spans="2:7" x14ac:dyDescent="0.5">
      <c r="B136" s="160" t="s">
        <v>319</v>
      </c>
      <c r="C136" s="190">
        <v>14.166666666666668</v>
      </c>
      <c r="D136" s="190">
        <v>0.51747248987484229</v>
      </c>
      <c r="E136" s="190">
        <v>27.376656622061333</v>
      </c>
      <c r="F136" s="190" t="s">
        <v>272</v>
      </c>
      <c r="G136" s="193" t="s">
        <v>351</v>
      </c>
    </row>
    <row r="137" spans="2:7" x14ac:dyDescent="0.5">
      <c r="B137" s="160" t="s">
        <v>320</v>
      </c>
      <c r="C137" s="190">
        <v>9.8333333333333339</v>
      </c>
      <c r="D137" s="190">
        <v>0.51747248987484229</v>
      </c>
      <c r="E137" s="190">
        <v>19.002620478842573</v>
      </c>
      <c r="F137" s="190" t="s">
        <v>272</v>
      </c>
      <c r="G137" s="193" t="s">
        <v>351</v>
      </c>
    </row>
    <row r="138" spans="2:7" x14ac:dyDescent="0.5">
      <c r="B138" s="160" t="s">
        <v>321</v>
      </c>
      <c r="C138" s="190">
        <v>9.4999999999999982</v>
      </c>
      <c r="D138" s="190">
        <v>0.51747248987484229</v>
      </c>
      <c r="E138" s="190">
        <v>18.358463852441126</v>
      </c>
      <c r="F138" s="190" t="s">
        <v>272</v>
      </c>
      <c r="G138" s="193" t="s">
        <v>351</v>
      </c>
    </row>
    <row r="139" spans="2:7" x14ac:dyDescent="0.5">
      <c r="B139" s="160" t="s">
        <v>322</v>
      </c>
      <c r="C139" s="190">
        <v>6.4999999999999982</v>
      </c>
      <c r="D139" s="190">
        <v>0.51747248987484229</v>
      </c>
      <c r="E139" s="190">
        <v>12.561054214828138</v>
      </c>
      <c r="F139" s="190" t="s">
        <v>272</v>
      </c>
      <c r="G139" s="193" t="s">
        <v>351</v>
      </c>
    </row>
    <row r="140" spans="2:7" x14ac:dyDescent="0.5">
      <c r="B140" s="160" t="s">
        <v>323</v>
      </c>
      <c r="C140" s="190">
        <v>14.833333333333337</v>
      </c>
      <c r="D140" s="190">
        <v>0.51747248987484229</v>
      </c>
      <c r="E140" s="190">
        <v>28.664969874864227</v>
      </c>
      <c r="F140" s="190" t="s">
        <v>272</v>
      </c>
      <c r="G140" s="193" t="s">
        <v>351</v>
      </c>
    </row>
    <row r="141" spans="2:7" x14ac:dyDescent="0.5">
      <c r="B141" s="160" t="s">
        <v>324</v>
      </c>
      <c r="C141" s="190">
        <v>14.833333333333337</v>
      </c>
      <c r="D141" s="190">
        <v>0.51747248987484229</v>
      </c>
      <c r="E141" s="190">
        <v>28.664969874864227</v>
      </c>
      <c r="F141" s="190" t="s">
        <v>272</v>
      </c>
      <c r="G141" s="193" t="s">
        <v>351</v>
      </c>
    </row>
    <row r="142" spans="2:7" x14ac:dyDescent="0.5">
      <c r="B142" s="160" t="s">
        <v>325</v>
      </c>
      <c r="C142" s="190">
        <v>9.8333333333333357</v>
      </c>
      <c r="D142" s="190">
        <v>0.51747248987484229</v>
      </c>
      <c r="E142" s="190">
        <v>19.002620478842577</v>
      </c>
      <c r="F142" s="190" t="s">
        <v>272</v>
      </c>
      <c r="G142" s="193" t="s">
        <v>351</v>
      </c>
    </row>
    <row r="143" spans="2:7" x14ac:dyDescent="0.5">
      <c r="B143" s="160" t="s">
        <v>326</v>
      </c>
      <c r="C143" s="190">
        <v>9.3333333333333375</v>
      </c>
      <c r="D143" s="190">
        <v>0.51747248987484229</v>
      </c>
      <c r="E143" s="190">
        <v>18.036385539240413</v>
      </c>
      <c r="F143" s="190" t="s">
        <v>272</v>
      </c>
      <c r="G143" s="193" t="s">
        <v>351</v>
      </c>
    </row>
    <row r="144" spans="2:7" x14ac:dyDescent="0.5">
      <c r="B144" s="160" t="s">
        <v>327</v>
      </c>
      <c r="C144" s="190">
        <v>7.6666666666666696</v>
      </c>
      <c r="D144" s="190">
        <v>0.51747248987484229</v>
      </c>
      <c r="E144" s="190">
        <v>14.815602407233197</v>
      </c>
      <c r="F144" s="190" t="s">
        <v>272</v>
      </c>
      <c r="G144" s="193" t="s">
        <v>351</v>
      </c>
    </row>
    <row r="145" spans="2:7" x14ac:dyDescent="0.5">
      <c r="B145" s="160" t="s">
        <v>328</v>
      </c>
      <c r="C145" s="190">
        <v>3.3333333333333357</v>
      </c>
      <c r="D145" s="190">
        <v>0.51747248987484229</v>
      </c>
      <c r="E145" s="190">
        <v>6.441566264014436</v>
      </c>
      <c r="F145" s="190" t="s">
        <v>272</v>
      </c>
      <c r="G145" s="199" t="s">
        <v>351</v>
      </c>
    </row>
    <row r="146" spans="2:7" x14ac:dyDescent="0.5">
      <c r="B146" s="160" t="s">
        <v>329</v>
      </c>
      <c r="C146" s="190">
        <v>3</v>
      </c>
      <c r="D146" s="190">
        <v>0.51747248987484229</v>
      </c>
      <c r="E146" s="190">
        <v>5.7974096376129882</v>
      </c>
      <c r="F146" s="190" t="s">
        <v>272</v>
      </c>
      <c r="G146" s="193" t="s">
        <v>351</v>
      </c>
    </row>
    <row r="147" spans="2:7" x14ac:dyDescent="0.5">
      <c r="B147" s="160" t="s">
        <v>330</v>
      </c>
      <c r="C147" s="190">
        <v>11.833333333333337</v>
      </c>
      <c r="D147" s="190">
        <v>0.51747248987484229</v>
      </c>
      <c r="E147" s="190">
        <v>22.867560237251237</v>
      </c>
      <c r="F147" s="190" t="s">
        <v>272</v>
      </c>
      <c r="G147" s="193" t="s">
        <v>351</v>
      </c>
    </row>
    <row r="148" spans="2:7" x14ac:dyDescent="0.5">
      <c r="B148" s="160" t="s">
        <v>331</v>
      </c>
      <c r="C148" s="190">
        <v>11.833333333333337</v>
      </c>
      <c r="D148" s="190">
        <v>0.51747248987484229</v>
      </c>
      <c r="E148" s="190">
        <v>22.867560237251237</v>
      </c>
      <c r="F148" s="190" t="s">
        <v>272</v>
      </c>
      <c r="G148" s="193" t="s">
        <v>351</v>
      </c>
    </row>
    <row r="149" spans="2:7" x14ac:dyDescent="0.5">
      <c r="B149" s="160" t="s">
        <v>332</v>
      </c>
      <c r="C149" s="190">
        <v>6.8333333333333357</v>
      </c>
      <c r="D149" s="190">
        <v>0.51747248987484229</v>
      </c>
      <c r="E149" s="190">
        <v>13.205210841229588</v>
      </c>
      <c r="F149" s="190" t="s">
        <v>272</v>
      </c>
      <c r="G149" s="193" t="s">
        <v>351</v>
      </c>
    </row>
    <row r="150" spans="2:7" x14ac:dyDescent="0.5">
      <c r="B150" s="160" t="s">
        <v>333</v>
      </c>
      <c r="C150" s="190">
        <v>6.3333333333333375</v>
      </c>
      <c r="D150" s="190">
        <v>0.51747248987484229</v>
      </c>
      <c r="E150" s="190">
        <v>12.238975901627427</v>
      </c>
      <c r="F150" s="190" t="s">
        <v>272</v>
      </c>
      <c r="G150" s="193" t="s">
        <v>351</v>
      </c>
    </row>
    <row r="151" spans="2:7" x14ac:dyDescent="0.5">
      <c r="B151" s="160" t="s">
        <v>334</v>
      </c>
      <c r="C151" s="190">
        <v>4.6666666666666696</v>
      </c>
      <c r="D151" s="190">
        <v>0.51747248987484229</v>
      </c>
      <c r="E151" s="190">
        <v>9.0181927696202084</v>
      </c>
      <c r="F151" s="190" t="s">
        <v>272</v>
      </c>
      <c r="G151" s="199" t="s">
        <v>351</v>
      </c>
    </row>
    <row r="152" spans="2:7" x14ac:dyDescent="0.5">
      <c r="B152" s="160" t="s">
        <v>335</v>
      </c>
      <c r="C152" s="190">
        <v>0.3333333333333357</v>
      </c>
      <c r="D152" s="190">
        <v>0.51747248987484229</v>
      </c>
      <c r="E152" s="190">
        <v>0.64415662640144766</v>
      </c>
      <c r="F152" s="190">
        <v>0.52241804817343496</v>
      </c>
      <c r="G152" s="193" t="s">
        <v>352</v>
      </c>
    </row>
    <row r="153" spans="2:7" x14ac:dyDescent="0.5">
      <c r="B153" s="160" t="s">
        <v>336</v>
      </c>
      <c r="C153" s="190">
        <v>11.500000000000002</v>
      </c>
      <c r="D153" s="190">
        <v>0.51747248987484229</v>
      </c>
      <c r="E153" s="190">
        <v>22.22340361084979</v>
      </c>
      <c r="F153" s="190" t="s">
        <v>272</v>
      </c>
      <c r="G153" s="193" t="s">
        <v>351</v>
      </c>
    </row>
    <row r="154" spans="2:7" x14ac:dyDescent="0.5">
      <c r="B154" s="160" t="s">
        <v>337</v>
      </c>
      <c r="C154" s="190">
        <v>11.500000000000002</v>
      </c>
      <c r="D154" s="190">
        <v>0.51747248987484229</v>
      </c>
      <c r="E154" s="190">
        <v>22.22340361084979</v>
      </c>
      <c r="F154" s="190" t="s">
        <v>272</v>
      </c>
      <c r="G154" s="193" t="s">
        <v>351</v>
      </c>
    </row>
    <row r="155" spans="2:7" x14ac:dyDescent="0.5">
      <c r="B155" s="160" t="s">
        <v>338</v>
      </c>
      <c r="C155" s="190">
        <v>6.5</v>
      </c>
      <c r="D155" s="190">
        <v>0.51747248987484229</v>
      </c>
      <c r="E155" s="190">
        <v>12.56105421482814</v>
      </c>
      <c r="F155" s="190" t="s">
        <v>272</v>
      </c>
      <c r="G155" s="193" t="s">
        <v>351</v>
      </c>
    </row>
    <row r="156" spans="2:7" x14ac:dyDescent="0.5">
      <c r="B156" s="160" t="s">
        <v>339</v>
      </c>
      <c r="C156" s="190">
        <v>6.0000000000000018</v>
      </c>
      <c r="D156" s="190">
        <v>0.51747248987484229</v>
      </c>
      <c r="E156" s="190">
        <v>11.59481927522598</v>
      </c>
      <c r="F156" s="190" t="s">
        <v>272</v>
      </c>
      <c r="G156" s="193" t="s">
        <v>351</v>
      </c>
    </row>
    <row r="157" spans="2:7" x14ac:dyDescent="0.5">
      <c r="B157" s="160" t="s">
        <v>340</v>
      </c>
      <c r="C157" s="190">
        <v>4.3333333333333339</v>
      </c>
      <c r="D157" s="190">
        <v>0.51747248987484229</v>
      </c>
      <c r="E157" s="190">
        <v>8.3740361432187616</v>
      </c>
      <c r="F157" s="190" t="s">
        <v>272</v>
      </c>
      <c r="G157" s="193" t="s">
        <v>351</v>
      </c>
    </row>
    <row r="158" spans="2:7" x14ac:dyDescent="0.5">
      <c r="B158" s="160" t="s">
        <v>341</v>
      </c>
      <c r="C158" s="190">
        <v>7.1666666666666679</v>
      </c>
      <c r="D158" s="190">
        <v>0.51747248987484229</v>
      </c>
      <c r="E158" s="190">
        <v>13.849367467631028</v>
      </c>
      <c r="F158" s="190" t="s">
        <v>272</v>
      </c>
      <c r="G158" s="193" t="s">
        <v>351</v>
      </c>
    </row>
    <row r="159" spans="2:7" x14ac:dyDescent="0.5">
      <c r="B159" s="160" t="s">
        <v>342</v>
      </c>
      <c r="C159" s="190">
        <v>7.1666666666666679</v>
      </c>
      <c r="D159" s="190">
        <v>0.51747248987484229</v>
      </c>
      <c r="E159" s="190">
        <v>13.849367467631028</v>
      </c>
      <c r="F159" s="190" t="s">
        <v>272</v>
      </c>
      <c r="G159" s="193" t="s">
        <v>351</v>
      </c>
    </row>
    <row r="160" spans="2:7" x14ac:dyDescent="0.5">
      <c r="B160" s="160" t="s">
        <v>343</v>
      </c>
      <c r="C160" s="190">
        <v>2.1666666666666661</v>
      </c>
      <c r="D160" s="190">
        <v>0.51747248987484229</v>
      </c>
      <c r="E160" s="190">
        <v>4.187018071609379</v>
      </c>
      <c r="F160" s="190">
        <v>1.1441882027404712E-4</v>
      </c>
      <c r="G160" s="193" t="s">
        <v>351</v>
      </c>
    </row>
    <row r="161" spans="2:9" x14ac:dyDescent="0.5">
      <c r="B161" s="160" t="s">
        <v>344</v>
      </c>
      <c r="C161" s="190">
        <v>1.6666666666666679</v>
      </c>
      <c r="D161" s="190">
        <v>0.51747248987484229</v>
      </c>
      <c r="E161" s="190">
        <v>3.220783132007218</v>
      </c>
      <c r="F161" s="190">
        <v>2.2493965675402573E-3</v>
      </c>
      <c r="G161" s="193" t="s">
        <v>351</v>
      </c>
    </row>
    <row r="162" spans="2:9" x14ac:dyDescent="0.5">
      <c r="B162" s="160" t="s">
        <v>345</v>
      </c>
      <c r="C162" s="190">
        <v>5.5</v>
      </c>
      <c r="D162" s="190">
        <v>0.51747248987484229</v>
      </c>
      <c r="E162" s="190">
        <v>10.628584335623811</v>
      </c>
      <c r="F162" s="190" t="s">
        <v>272</v>
      </c>
      <c r="G162" s="193" t="s">
        <v>351</v>
      </c>
    </row>
    <row r="163" spans="2:9" x14ac:dyDescent="0.5">
      <c r="B163" s="160" t="s">
        <v>346</v>
      </c>
      <c r="C163" s="190">
        <v>5.5</v>
      </c>
      <c r="D163" s="190">
        <v>0.51747248987484229</v>
      </c>
      <c r="E163" s="190">
        <v>10.628584335623811</v>
      </c>
      <c r="F163" s="190" t="s">
        <v>272</v>
      </c>
      <c r="G163" s="193" t="s">
        <v>351</v>
      </c>
    </row>
    <row r="164" spans="2:9" x14ac:dyDescent="0.5">
      <c r="B164" s="160" t="s">
        <v>347</v>
      </c>
      <c r="C164" s="190">
        <v>0.49999999999999822</v>
      </c>
      <c r="D164" s="190">
        <v>0.51747248987484229</v>
      </c>
      <c r="E164" s="190">
        <v>0.96623493960216122</v>
      </c>
      <c r="F164" s="190">
        <v>0.33857710619688619</v>
      </c>
      <c r="G164" s="199" t="s">
        <v>352</v>
      </c>
    </row>
    <row r="165" spans="2:9" x14ac:dyDescent="0.5">
      <c r="B165" s="160" t="s">
        <v>348</v>
      </c>
      <c r="C165" s="190">
        <v>5.0000000000000018</v>
      </c>
      <c r="D165" s="190">
        <v>0.51747248987484229</v>
      </c>
      <c r="E165" s="190">
        <v>9.66234939602165</v>
      </c>
      <c r="F165" s="190" t="s">
        <v>272</v>
      </c>
      <c r="G165" s="193" t="s">
        <v>351</v>
      </c>
    </row>
    <row r="166" spans="2:9" x14ac:dyDescent="0.5">
      <c r="B166" s="160" t="s">
        <v>349</v>
      </c>
      <c r="C166" s="190">
        <v>5.0000000000000018</v>
      </c>
      <c r="D166" s="190">
        <v>0.51747248987484229</v>
      </c>
      <c r="E166" s="190">
        <v>9.66234939602165</v>
      </c>
      <c r="F166" s="190" t="s">
        <v>272</v>
      </c>
      <c r="G166" s="193" t="s">
        <v>351</v>
      </c>
    </row>
    <row r="167" spans="2:9" ht="14.7" thickBot="1" x14ac:dyDescent="0.55000000000000004">
      <c r="B167" s="167" t="s">
        <v>350</v>
      </c>
      <c r="C167" s="191">
        <v>2.433571284331871E-16</v>
      </c>
      <c r="D167" s="191">
        <v>0.51747248987484229</v>
      </c>
      <c r="E167" s="191">
        <v>4.7028032058679356E-16</v>
      </c>
      <c r="F167" s="191">
        <v>1</v>
      </c>
      <c r="G167" s="200" t="s">
        <v>352</v>
      </c>
    </row>
    <row r="168" spans="2:9" x14ac:dyDescent="0.5">
      <c r="B168" s="194" t="s">
        <v>353</v>
      </c>
      <c r="E168" s="195">
        <v>4.6815073778700826</v>
      </c>
    </row>
    <row r="170" spans="2:9" ht="14.7" thickBot="1" x14ac:dyDescent="0.55000000000000004"/>
    <row r="171" spans="2:9" x14ac:dyDescent="0.5">
      <c r="B171" s="161" t="s">
        <v>354</v>
      </c>
      <c r="C171" s="162" t="s">
        <v>355</v>
      </c>
      <c r="D171" s="315" t="s">
        <v>360</v>
      </c>
      <c r="E171" s="316"/>
      <c r="F171" s="316"/>
      <c r="G171" s="316"/>
      <c r="H171" s="316"/>
      <c r="I171" s="316"/>
    </row>
    <row r="172" spans="2:9" x14ac:dyDescent="0.5">
      <c r="B172" s="163" t="s">
        <v>293</v>
      </c>
      <c r="C172" s="168">
        <v>21.666666666666664</v>
      </c>
      <c r="D172" s="196" t="s">
        <v>356</v>
      </c>
      <c r="E172" s="196"/>
      <c r="F172" s="196"/>
      <c r="G172" s="196"/>
      <c r="H172" s="196"/>
      <c r="I172" s="196"/>
    </row>
    <row r="173" spans="2:9" x14ac:dyDescent="0.5">
      <c r="B173" s="160" t="s">
        <v>294</v>
      </c>
      <c r="C173" s="169">
        <v>21.333333333333336</v>
      </c>
      <c r="D173" s="197" t="s">
        <v>356</v>
      </c>
      <c r="E173" s="197"/>
      <c r="F173" s="197"/>
      <c r="G173" s="197"/>
      <c r="H173" s="197"/>
      <c r="I173" s="197"/>
    </row>
    <row r="174" spans="2:9" x14ac:dyDescent="0.5">
      <c r="B174" s="160" t="s">
        <v>298</v>
      </c>
      <c r="C174" s="169">
        <v>14.833333333333336</v>
      </c>
      <c r="D174" s="197"/>
      <c r="E174" s="197" t="s">
        <v>357</v>
      </c>
      <c r="F174" s="197"/>
      <c r="G174" s="197"/>
      <c r="H174" s="197"/>
      <c r="I174" s="197"/>
    </row>
    <row r="175" spans="2:9" x14ac:dyDescent="0.5">
      <c r="B175" s="160" t="s">
        <v>300</v>
      </c>
      <c r="C175" s="169">
        <v>11.833333333333336</v>
      </c>
      <c r="D175" s="197"/>
      <c r="E175" s="197"/>
      <c r="F175" s="197" t="s">
        <v>358</v>
      </c>
      <c r="G175" s="197"/>
      <c r="H175" s="197"/>
      <c r="I175" s="197"/>
    </row>
    <row r="176" spans="2:9" x14ac:dyDescent="0.5">
      <c r="B176" s="160" t="s">
        <v>297</v>
      </c>
      <c r="C176" s="169">
        <v>11.5</v>
      </c>
      <c r="D176" s="197"/>
      <c r="E176" s="197"/>
      <c r="F176" s="197" t="s">
        <v>358</v>
      </c>
      <c r="G176" s="197"/>
      <c r="H176" s="197"/>
      <c r="I176" s="197"/>
    </row>
    <row r="177" spans="2:9" x14ac:dyDescent="0.5">
      <c r="B177" s="160" t="s">
        <v>299</v>
      </c>
      <c r="C177" s="169">
        <v>7.1666666666666661</v>
      </c>
      <c r="D177" s="197"/>
      <c r="E177" s="197"/>
      <c r="F177" s="197"/>
      <c r="G177" s="197" t="s">
        <v>2</v>
      </c>
      <c r="H177" s="197"/>
      <c r="I177" s="197"/>
    </row>
    <row r="178" spans="2:9" x14ac:dyDescent="0.5">
      <c r="B178" s="160" t="s">
        <v>296</v>
      </c>
      <c r="C178" s="169">
        <v>5.4999999999999982</v>
      </c>
      <c r="D178" s="197"/>
      <c r="E178" s="197"/>
      <c r="F178" s="197"/>
      <c r="G178" s="197"/>
      <c r="H178" s="197" t="s">
        <v>359</v>
      </c>
      <c r="I178" s="197"/>
    </row>
    <row r="179" spans="2:9" x14ac:dyDescent="0.5">
      <c r="B179" s="160" t="s">
        <v>295</v>
      </c>
      <c r="C179" s="169">
        <v>5</v>
      </c>
      <c r="D179" s="197"/>
      <c r="E179" s="197"/>
      <c r="F179" s="197"/>
      <c r="G179" s="197"/>
      <c r="H179" s="197" t="s">
        <v>359</v>
      </c>
      <c r="I179" s="197"/>
    </row>
    <row r="180" spans="2:9" x14ac:dyDescent="0.5">
      <c r="B180" s="160" t="s">
        <v>291</v>
      </c>
      <c r="C180" s="169">
        <v>-1.5161945772935384E-15</v>
      </c>
      <c r="D180" s="197"/>
      <c r="E180" s="197"/>
      <c r="F180" s="197"/>
      <c r="G180" s="197"/>
      <c r="H180" s="197"/>
      <c r="I180" s="197" t="s">
        <v>62</v>
      </c>
    </row>
    <row r="181" spans="2:9" ht="14.7" thickBot="1" x14ac:dyDescent="0.55000000000000004">
      <c r="B181" s="167" t="s">
        <v>292</v>
      </c>
      <c r="C181" s="170">
        <v>-1.7595517057267255E-15</v>
      </c>
      <c r="D181" s="198"/>
      <c r="E181" s="198"/>
      <c r="F181" s="198"/>
      <c r="G181" s="198"/>
      <c r="H181" s="198"/>
      <c r="I181" s="198" t="s">
        <v>62</v>
      </c>
    </row>
  </sheetData>
  <mergeCells count="1">
    <mergeCell ref="D171:I171"/>
  </mergeCells>
  <pageMargins left="0.7" right="0.7" top="0.75" bottom="0.75" header="0.3" footer="0.3"/>
  <ignoredErrors>
    <ignoredError sqref="A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417E02-3292-44C6-882D-28C51BD8EC00}">
  <dimension ref="A1:AZ119"/>
  <sheetViews>
    <sheetView zoomScale="55" zoomScaleNormal="55" workbookViewId="0">
      <pane xSplit="4" ySplit="1" topLeftCell="E2" activePane="bottomRight" state="frozen"/>
      <selection pane="topRight" activeCell="E1" sqref="E1"/>
      <selection pane="bottomLeft" activeCell="A2" sqref="A2"/>
      <selection pane="bottomRight" activeCell="X12" sqref="X12"/>
    </sheetView>
  </sheetViews>
  <sheetFormatPr defaultRowHeight="14.35" x14ac:dyDescent="0.5"/>
  <cols>
    <col min="1" max="1" width="12" style="194" customWidth="1"/>
    <col min="2" max="2" width="8.9375" style="194"/>
    <col min="3" max="3" width="17.29296875" style="194" customWidth="1"/>
    <col min="4" max="5" width="8.9375" style="194"/>
    <col min="6" max="6" width="13.64453125" style="194" customWidth="1"/>
    <col min="7" max="10" width="8.9375" style="194"/>
    <col min="11" max="11" width="2.05859375" style="257" customWidth="1"/>
    <col min="12" max="13" width="13.8203125" style="194" customWidth="1"/>
    <col min="14" max="15" width="14.76171875" style="194" customWidth="1"/>
    <col min="16" max="17" width="15.17578125" style="194" customWidth="1"/>
    <col min="18" max="18" width="2.05859375" style="257" customWidth="1"/>
    <col min="19" max="19" width="19.52734375" style="194" customWidth="1"/>
    <col min="20" max="20" width="13.29296875" style="194" customWidth="1"/>
    <col min="21" max="21" width="10.41015625" style="194" customWidth="1"/>
    <col min="22" max="23" width="8.9375" style="194"/>
    <col min="24" max="24" width="16.3515625" style="194" customWidth="1"/>
    <col min="25" max="25" width="13.703125" style="194" customWidth="1"/>
    <col min="26" max="26" width="12.87890625" style="194" customWidth="1"/>
    <col min="27" max="28" width="8.9375" style="194"/>
    <col min="29" max="29" width="16.87890625" style="194" customWidth="1"/>
    <col min="30" max="30" width="2.05859375" style="257" customWidth="1"/>
    <col min="31" max="33" width="11.234375" style="194" bestFit="1" customWidth="1"/>
    <col min="34" max="34" width="11.8203125" style="194" bestFit="1" customWidth="1"/>
    <col min="35" max="35" width="11.234375" style="194" bestFit="1" customWidth="1"/>
    <col min="36" max="36" width="10.234375" style="194" bestFit="1" customWidth="1"/>
    <col min="37" max="41" width="11.8203125" style="194" bestFit="1" customWidth="1"/>
    <col min="42" max="42" width="17.703125" style="194" customWidth="1"/>
    <col min="43" max="43" width="16.46875" style="194" customWidth="1"/>
    <col min="44" max="44" width="16.3515625" style="194" customWidth="1"/>
    <col min="45" max="45" width="2.05859375" style="257" customWidth="1"/>
    <col min="46" max="46" width="22.8203125" style="194" customWidth="1"/>
    <col min="47" max="47" width="24.29296875" style="194" customWidth="1"/>
    <col min="48" max="48" width="17.8203125" style="194" customWidth="1"/>
    <col min="49" max="49" width="18.76171875" style="194" customWidth="1"/>
    <col min="50" max="50" width="25" style="194" customWidth="1"/>
    <col min="51" max="51" width="16.87890625" style="194" customWidth="1"/>
    <col min="52" max="52" width="21.76171875" style="194" customWidth="1"/>
    <col min="53" max="16384" width="8.9375" style="194"/>
  </cols>
  <sheetData>
    <row r="1" spans="1:52" ht="14.7" thickBot="1" x14ac:dyDescent="0.55000000000000004">
      <c r="A1" s="219"/>
      <c r="B1" s="220" t="s">
        <v>12</v>
      </c>
      <c r="C1" s="220" t="s">
        <v>85</v>
      </c>
      <c r="D1" s="220" t="s">
        <v>84</v>
      </c>
      <c r="E1" s="220" t="s">
        <v>3</v>
      </c>
      <c r="F1" s="220" t="s">
        <v>0</v>
      </c>
      <c r="G1" s="221" t="s">
        <v>7</v>
      </c>
      <c r="H1" s="222" t="s">
        <v>8</v>
      </c>
      <c r="I1" s="221" t="s">
        <v>153</v>
      </c>
      <c r="J1" s="222" t="s">
        <v>154</v>
      </c>
      <c r="K1" s="138"/>
      <c r="L1" s="223" t="s">
        <v>105</v>
      </c>
      <c r="M1" s="221" t="s">
        <v>362</v>
      </c>
      <c r="N1" s="221" t="s">
        <v>106</v>
      </c>
      <c r="O1" s="221" t="s">
        <v>362</v>
      </c>
      <c r="P1" s="221" t="s">
        <v>107</v>
      </c>
      <c r="Q1" s="221" t="s">
        <v>362</v>
      </c>
      <c r="R1" s="138"/>
      <c r="S1" s="143" t="s">
        <v>113</v>
      </c>
      <c r="T1" s="145" t="s">
        <v>108</v>
      </c>
      <c r="U1" s="145" t="s">
        <v>109</v>
      </c>
      <c r="V1" s="145" t="s">
        <v>104</v>
      </c>
      <c r="W1" s="146" t="s">
        <v>103</v>
      </c>
      <c r="X1" s="143" t="s">
        <v>114</v>
      </c>
      <c r="Y1" s="145" t="s">
        <v>108</v>
      </c>
      <c r="Z1" s="145" t="s">
        <v>109</v>
      </c>
      <c r="AA1" s="145" t="s">
        <v>104</v>
      </c>
      <c r="AB1" s="152" t="s">
        <v>103</v>
      </c>
      <c r="AC1" s="153" t="s">
        <v>130</v>
      </c>
      <c r="AD1" s="138"/>
      <c r="AE1" s="105">
        <v>50</v>
      </c>
      <c r="AF1" s="105">
        <v>40</v>
      </c>
      <c r="AG1" s="104">
        <v>30</v>
      </c>
      <c r="AH1" s="104">
        <v>20</v>
      </c>
      <c r="AI1" s="104">
        <v>10</v>
      </c>
      <c r="AJ1" s="104">
        <v>0</v>
      </c>
      <c r="AK1" s="104">
        <v>-10</v>
      </c>
      <c r="AL1" s="104">
        <v>-20</v>
      </c>
      <c r="AM1" s="104">
        <v>-30</v>
      </c>
      <c r="AN1" s="106">
        <v>-40</v>
      </c>
      <c r="AO1" s="106">
        <v>-50</v>
      </c>
      <c r="AP1" s="151" t="s">
        <v>117</v>
      </c>
      <c r="AQ1" s="151" t="s">
        <v>115</v>
      </c>
      <c r="AR1" s="151" t="s">
        <v>116</v>
      </c>
      <c r="AS1" s="138"/>
      <c r="AT1" s="224" t="s">
        <v>121</v>
      </c>
      <c r="AU1" s="224" t="s">
        <v>122</v>
      </c>
      <c r="AV1" s="224" t="s">
        <v>119</v>
      </c>
      <c r="AW1" s="224" t="s">
        <v>120</v>
      </c>
      <c r="AX1" s="224" t="s">
        <v>364</v>
      </c>
      <c r="AY1" s="224" t="s">
        <v>363</v>
      </c>
      <c r="AZ1" s="225" t="s">
        <v>123</v>
      </c>
    </row>
    <row r="2" spans="1:52" x14ac:dyDescent="0.5">
      <c r="A2" s="226">
        <v>1</v>
      </c>
      <c r="B2" s="9">
        <v>3729060</v>
      </c>
      <c r="C2" s="9"/>
      <c r="D2" s="9" t="s">
        <v>86</v>
      </c>
      <c r="E2" s="227" t="s">
        <v>4</v>
      </c>
      <c r="F2" s="228">
        <v>43430</v>
      </c>
      <c r="G2" s="229">
        <v>1</v>
      </c>
      <c r="H2" s="230">
        <v>0</v>
      </c>
      <c r="I2" s="229" t="s">
        <v>18</v>
      </c>
      <c r="J2" s="229">
        <v>0</v>
      </c>
      <c r="K2" s="139"/>
      <c r="L2" s="114">
        <v>0.53</v>
      </c>
      <c r="M2" s="114">
        <v>15.840000000000002</v>
      </c>
      <c r="N2" s="114">
        <v>0.69</v>
      </c>
      <c r="O2" s="114">
        <v>8.82</v>
      </c>
      <c r="P2" s="114">
        <v>0.94</v>
      </c>
      <c r="Q2" s="114">
        <v>-3.24</v>
      </c>
      <c r="R2" s="139"/>
      <c r="S2" s="114">
        <v>-4.65E-2</v>
      </c>
      <c r="T2" s="194">
        <v>3.0099999999999998E-2</v>
      </c>
      <c r="U2" s="114">
        <v>2.347</v>
      </c>
      <c r="V2" s="114">
        <v>117.34829999999999</v>
      </c>
      <c r="W2" s="114">
        <v>0.68489999999999995</v>
      </c>
      <c r="X2" s="114">
        <v>8.6400000000000005E-2</v>
      </c>
      <c r="Y2" s="114">
        <v>7.2900000000000006E-2</v>
      </c>
      <c r="Z2" s="114">
        <v>-3.3835999999999999</v>
      </c>
      <c r="AA2" s="114">
        <v>-169.1781</v>
      </c>
      <c r="AB2" s="114">
        <v>0.52410000000000001</v>
      </c>
      <c r="AC2" s="113">
        <f t="shared" ref="AC2:AC5" si="0">(ABS(S2)+ABS(X2))/2</f>
        <v>6.6450000000000009E-2</v>
      </c>
      <c r="AD2" s="139"/>
      <c r="AE2" s="115">
        <v>39.435280624911087</v>
      </c>
      <c r="AF2" s="115">
        <v>21.590329742280588</v>
      </c>
      <c r="AG2" s="115">
        <v>11.734654853880587</v>
      </c>
      <c r="AH2" s="115">
        <v>8.2124193079939758</v>
      </c>
      <c r="AI2" s="115">
        <v>0.22612042765099394</v>
      </c>
      <c r="AJ2" s="115">
        <v>0</v>
      </c>
      <c r="AK2" s="115">
        <v>-3.0707931157624229</v>
      </c>
      <c r="AL2" s="115">
        <v>-9.7090049037671129</v>
      </c>
      <c r="AM2" s="115">
        <v>-15.135373111452713</v>
      </c>
      <c r="AN2" s="115">
        <v>-16.236466661157213</v>
      </c>
      <c r="AO2" s="115">
        <v>-35.647142965308213</v>
      </c>
      <c r="AP2" s="107">
        <f>SLOPE(AE2:AO2,AE1:AO1)</f>
        <v>0.58769922675253006</v>
      </c>
      <c r="AQ2" s="107">
        <f>SLOPE(AE2:AJ2,AE1:AJ1)</f>
        <v>0.75654647604094527</v>
      </c>
      <c r="AR2" s="137">
        <f>SLOPE(AJ2:AO2,AJ1:AO1)</f>
        <v>0.63759743905831734</v>
      </c>
      <c r="AS2" s="139"/>
      <c r="AT2" s="194">
        <f>-1/-0.27</f>
        <v>3.7037037037037033</v>
      </c>
      <c r="AU2" s="194">
        <f>-1/-0.204</f>
        <v>4.9019607843137258</v>
      </c>
      <c r="AV2" s="194">
        <f>-1/-0.423</f>
        <v>2.3640661938534278</v>
      </c>
      <c r="AW2" s="194">
        <f>-1/-0.156</f>
        <v>6.4102564102564106</v>
      </c>
      <c r="AX2" s="149">
        <f t="shared" ref="AX2:AX7" si="1">AVERAGE(AW2,AT2)</f>
        <v>5.0569800569800574</v>
      </c>
      <c r="AY2" s="149">
        <f t="shared" ref="AY2:AY7" si="2">AVERAGE(AV2,AU2)</f>
        <v>3.6330134890835768</v>
      </c>
      <c r="AZ2" s="150">
        <f t="shared" ref="AZ2:AZ7" si="3">AVERAGE(AV2,AW2,AT2,AU2)</f>
        <v>4.3449967730318164</v>
      </c>
    </row>
    <row r="3" spans="1:52" x14ac:dyDescent="0.5">
      <c r="A3" s="226">
        <v>2</v>
      </c>
      <c r="B3" s="9">
        <v>3729172</v>
      </c>
      <c r="C3" s="9" t="s">
        <v>63</v>
      </c>
      <c r="D3" s="9" t="s">
        <v>87</v>
      </c>
      <c r="E3" s="227" t="s">
        <v>62</v>
      </c>
      <c r="F3" s="228">
        <v>43555</v>
      </c>
      <c r="G3" s="229">
        <v>1</v>
      </c>
      <c r="H3" s="230">
        <v>0</v>
      </c>
      <c r="I3" s="229" t="s">
        <v>18</v>
      </c>
      <c r="J3" s="229">
        <v>0</v>
      </c>
      <c r="K3" s="139"/>
      <c r="L3" s="114">
        <v>0.3</v>
      </c>
      <c r="M3" s="114">
        <v>28.872</v>
      </c>
      <c r="N3" s="114">
        <v>0.59</v>
      </c>
      <c r="O3" s="114">
        <v>10.98</v>
      </c>
      <c r="P3" s="114">
        <v>0.69000000000000006</v>
      </c>
      <c r="Q3" s="114">
        <v>-2.16</v>
      </c>
      <c r="R3" s="139"/>
      <c r="S3" s="114">
        <v>-0.13769999999999999</v>
      </c>
      <c r="T3" s="194">
        <v>5.8000000000000003E-2</v>
      </c>
      <c r="U3" s="114">
        <v>2.1705000000000001</v>
      </c>
      <c r="V3" s="114">
        <v>108.5264</v>
      </c>
      <c r="W3" s="114">
        <v>0.1913</v>
      </c>
      <c r="X3" s="194">
        <v>0.115</v>
      </c>
      <c r="Y3" s="114">
        <v>0.03</v>
      </c>
      <c r="Z3" s="114">
        <v>3.1612</v>
      </c>
      <c r="AA3" s="114">
        <v>158.0624</v>
      </c>
      <c r="AB3" s="114">
        <v>0.43980000000000002</v>
      </c>
      <c r="AC3" s="113">
        <f t="shared" si="0"/>
        <v>0.12634999999999999</v>
      </c>
      <c r="AD3" s="139"/>
      <c r="AE3" s="115">
        <v>37.562631909249539</v>
      </c>
      <c r="AF3" s="115">
        <v>21.784376449983842</v>
      </c>
      <c r="AG3" s="115">
        <v>2.7877806142751895</v>
      </c>
      <c r="AH3" s="115">
        <v>0.42820515513441926</v>
      </c>
      <c r="AI3" s="115">
        <v>-6.2891141305361904</v>
      </c>
      <c r="AJ3" s="115">
        <v>0</v>
      </c>
      <c r="AK3" s="115">
        <v>-14.23210217350036</v>
      </c>
      <c r="AL3" s="115">
        <v>-10.284866815586531</v>
      </c>
      <c r="AM3" s="115">
        <v>-26.76910072306816</v>
      </c>
      <c r="AN3" s="115">
        <v>-36.018069444395458</v>
      </c>
      <c r="AO3" s="115">
        <v>-34.401626537503958</v>
      </c>
      <c r="AP3" s="107">
        <f>SLOPE(AE3:AO3,AE1:AO1)</f>
        <v>0.64460986527974617</v>
      </c>
      <c r="AQ3" s="107">
        <f>SLOPE(AE3:AJ3,AE1:AJ1)</f>
        <v>0.78398059070556725</v>
      </c>
      <c r="AR3" s="137">
        <f>SLOPE(AJ3:AO3,AJ1:AO1)</f>
        <v>0.72528648116481909</v>
      </c>
      <c r="AS3" s="139"/>
      <c r="AT3" s="194">
        <f>-1/-0.533</f>
        <v>1.8761726078799248</v>
      </c>
      <c r="AU3" s="194">
        <f>-1/-0.6</f>
        <v>1.6666666666666667</v>
      </c>
      <c r="AV3" s="194">
        <f>-1/-0.921</f>
        <v>1.0857763300760044</v>
      </c>
      <c r="AW3" s="194">
        <f>-1/-0.447</f>
        <v>2.2371364653243848</v>
      </c>
      <c r="AX3" s="149">
        <f t="shared" si="1"/>
        <v>2.0566545366021547</v>
      </c>
      <c r="AY3" s="149">
        <f t="shared" si="2"/>
        <v>1.3762214983713354</v>
      </c>
      <c r="AZ3" s="150">
        <f t="shared" si="3"/>
        <v>1.7164380174867453</v>
      </c>
    </row>
    <row r="4" spans="1:52" x14ac:dyDescent="0.5">
      <c r="A4" s="226">
        <v>3</v>
      </c>
      <c r="B4" s="9" t="s">
        <v>18</v>
      </c>
      <c r="C4" s="227" t="s">
        <v>83</v>
      </c>
      <c r="D4" s="227" t="s">
        <v>88</v>
      </c>
      <c r="E4" s="227" t="s">
        <v>62</v>
      </c>
      <c r="F4" s="228">
        <v>43606</v>
      </c>
      <c r="G4" s="229">
        <v>1</v>
      </c>
      <c r="H4" s="230">
        <v>0</v>
      </c>
      <c r="I4" s="229" t="s">
        <v>18</v>
      </c>
      <c r="J4" s="229">
        <v>0</v>
      </c>
      <c r="K4" s="139"/>
      <c r="L4" s="114">
        <v>0.17</v>
      </c>
      <c r="M4" s="114">
        <v>30.744000000000003</v>
      </c>
      <c r="N4" s="114">
        <v>0.41000000000000003</v>
      </c>
      <c r="O4" s="114">
        <v>16.559999999999999</v>
      </c>
      <c r="P4" s="114">
        <v>0.44</v>
      </c>
      <c r="Q4" s="114">
        <v>5.4</v>
      </c>
      <c r="R4" s="139"/>
      <c r="S4" s="114">
        <v>-0.14230000000000001</v>
      </c>
      <c r="T4" s="194">
        <v>1.46E-2</v>
      </c>
      <c r="U4" s="114">
        <v>2.4681999999999999</v>
      </c>
      <c r="V4" s="114">
        <v>123.4098</v>
      </c>
      <c r="W4" s="114">
        <v>2.3699999999999999E-2</v>
      </c>
      <c r="X4" s="114">
        <v>8.6300000000000002E-2</v>
      </c>
      <c r="Y4" s="114">
        <v>9.7799999999999998E-2</v>
      </c>
      <c r="Z4" s="114">
        <v>3.4592000000000001</v>
      </c>
      <c r="AA4" s="114">
        <v>172.95859999999999</v>
      </c>
      <c r="AB4" s="114">
        <v>0.69059999999999999</v>
      </c>
      <c r="AC4" s="113">
        <f t="shared" si="0"/>
        <v>0.11430000000000001</v>
      </c>
      <c r="AD4" s="139"/>
      <c r="AE4" s="115">
        <v>34.370501440214703</v>
      </c>
      <c r="AF4" s="115">
        <v>14.686357225778192</v>
      </c>
      <c r="AG4" s="115">
        <v>19.553462249695091</v>
      </c>
      <c r="AH4" s="115">
        <v>23.07746777900239</v>
      </c>
      <c r="AI4" s="115">
        <v>6.6948981727579904</v>
      </c>
      <c r="AJ4" s="115">
        <v>0</v>
      </c>
      <c r="AK4" s="115">
        <v>3.9448526680421496</v>
      </c>
      <c r="AL4" s="115">
        <v>-8.6096049045557503</v>
      </c>
      <c r="AM4" s="115">
        <v>-7.7976530877102199</v>
      </c>
      <c r="AN4" s="115">
        <v>-17.64729210680601</v>
      </c>
      <c r="AO4" s="115">
        <v>-31.123947861289999</v>
      </c>
      <c r="AP4" s="107">
        <f>SLOPE(AE4:AO4,AE1:AO1)</f>
        <v>0.54998580065628022</v>
      </c>
      <c r="AQ4" s="107">
        <f>SLOPE(AE4:AJ4,AE1:AJ1)</f>
        <v>0.54943679665950518</v>
      </c>
      <c r="AR4" s="137">
        <f>SLOPE(AJ4:AO4,AJ1:AO1)</f>
        <v>0.62738349089756829</v>
      </c>
      <c r="AS4" s="139"/>
      <c r="AT4" s="194">
        <f>-1/-0.335</f>
        <v>2.9850746268656714</v>
      </c>
      <c r="AU4" s="194">
        <f>-1/-0.126</f>
        <v>7.9365079365079367</v>
      </c>
      <c r="AV4" s="194">
        <f>-1/-0.404</f>
        <v>2.4752475247524752</v>
      </c>
      <c r="AW4" s="194">
        <f>-1/-0.938</f>
        <v>1.0660980810234542</v>
      </c>
      <c r="AX4" s="149">
        <f t="shared" si="1"/>
        <v>2.0255863539445627</v>
      </c>
      <c r="AY4" s="149">
        <f t="shared" si="2"/>
        <v>5.2058777306302062</v>
      </c>
      <c r="AZ4" s="150">
        <f t="shared" si="3"/>
        <v>3.6157320422873847</v>
      </c>
    </row>
    <row r="5" spans="1:52" x14ac:dyDescent="0.5">
      <c r="A5" s="226">
        <v>4</v>
      </c>
      <c r="B5" s="227"/>
      <c r="C5" s="227" t="s">
        <v>82</v>
      </c>
      <c r="D5" s="227" t="s">
        <v>90</v>
      </c>
      <c r="E5" s="227" t="s">
        <v>4</v>
      </c>
      <c r="F5" s="228">
        <v>43606</v>
      </c>
      <c r="G5" s="229">
        <v>1</v>
      </c>
      <c r="H5" s="230">
        <v>0</v>
      </c>
      <c r="I5" s="229" t="s">
        <v>18</v>
      </c>
      <c r="J5" s="229">
        <v>0</v>
      </c>
      <c r="K5" s="139"/>
      <c r="L5" s="114">
        <v>0.4</v>
      </c>
      <c r="M5" s="114">
        <v>8.136000000000001</v>
      </c>
      <c r="N5" s="114">
        <v>0.59</v>
      </c>
      <c r="O5" s="114">
        <v>5.76</v>
      </c>
      <c r="P5" s="114">
        <v>0.72</v>
      </c>
      <c r="Q5" s="114">
        <v>0.72</v>
      </c>
      <c r="R5" s="139"/>
      <c r="S5" s="156">
        <v>-2.41E-2</v>
      </c>
      <c r="T5" s="156">
        <v>6.3399999999999998E-2</v>
      </c>
      <c r="U5" s="156">
        <v>3.0735999999999999</v>
      </c>
      <c r="V5" s="156">
        <v>153.67830000000001</v>
      </c>
      <c r="W5" s="156">
        <v>0.5665</v>
      </c>
      <c r="X5" s="156">
        <v>0.13009999999999999</v>
      </c>
      <c r="Y5" s="156">
        <v>7.8600000000000003E-2</v>
      </c>
      <c r="Z5" s="156">
        <v>-3.5665</v>
      </c>
      <c r="AA5" s="156">
        <v>-178.3235</v>
      </c>
      <c r="AB5" s="156">
        <v>0.36580000000000001</v>
      </c>
      <c r="AC5" s="113">
        <f t="shared" si="0"/>
        <v>7.7100000000000002E-2</v>
      </c>
      <c r="AD5" s="139"/>
      <c r="AE5" s="115">
        <v>26.2674850416116</v>
      </c>
      <c r="AF5" s="115">
        <v>7.5119004471501007</v>
      </c>
      <c r="AG5" s="115">
        <v>9.3110836776492008</v>
      </c>
      <c r="AH5" s="115">
        <v>2.3875319769040999</v>
      </c>
      <c r="AI5" s="115">
        <v>7.2450688798409004</v>
      </c>
      <c r="AJ5" s="115">
        <v>0</v>
      </c>
      <c r="AK5" s="115">
        <v>-2.5171759262037003</v>
      </c>
      <c r="AL5" s="115">
        <v>-0.60463299357759936</v>
      </c>
      <c r="AM5" s="115">
        <v>-10.752951545491321</v>
      </c>
      <c r="AN5" s="115">
        <v>-17.39674725768613</v>
      </c>
      <c r="AO5" s="115">
        <v>-22.9379597576491</v>
      </c>
      <c r="AP5" s="107">
        <f>SLOPE(AE5:AO5,AE1:AO1)</f>
        <v>0.38327317748370726</v>
      </c>
      <c r="AQ5" s="107">
        <f>SLOPE(AE5:AJ5,AE1:AJ1)</f>
        <v>0.39731849031637345</v>
      </c>
      <c r="AR5" s="137">
        <f>SLOPE(AJ5:AO5,AJ1:AO1)</f>
        <v>0.4842195180988757</v>
      </c>
      <c r="AS5" s="139"/>
      <c r="AT5" s="194">
        <f>-1/-0.434</f>
        <v>2.3041474654377883</v>
      </c>
      <c r="AU5" s="194">
        <f>-1/-0.282</f>
        <v>3.5460992907801421</v>
      </c>
      <c r="AV5" s="194">
        <f>-1/-0.251</f>
        <v>3.9840637450199203</v>
      </c>
      <c r="AW5" s="194">
        <f>-1/-0.421</f>
        <v>2.3752969121140142</v>
      </c>
      <c r="AX5" s="149">
        <f t="shared" si="1"/>
        <v>2.3397221887759012</v>
      </c>
      <c r="AY5" s="149">
        <f t="shared" si="2"/>
        <v>3.7650815179000312</v>
      </c>
      <c r="AZ5" s="150">
        <f t="shared" si="3"/>
        <v>3.0524018533379662</v>
      </c>
    </row>
    <row r="6" spans="1:52" x14ac:dyDescent="0.5">
      <c r="A6" s="226">
        <v>5</v>
      </c>
      <c r="B6" s="227"/>
      <c r="C6" s="227" t="s">
        <v>93</v>
      </c>
      <c r="D6" s="227" t="s">
        <v>91</v>
      </c>
      <c r="E6" s="227" t="s">
        <v>62</v>
      </c>
      <c r="F6" s="228">
        <v>43690</v>
      </c>
      <c r="G6" s="229">
        <v>1</v>
      </c>
      <c r="H6" s="230">
        <v>0</v>
      </c>
      <c r="I6" s="229" t="s">
        <v>18</v>
      </c>
      <c r="J6" s="229">
        <v>0</v>
      </c>
      <c r="K6" s="139"/>
      <c r="L6" s="114">
        <v>0.33</v>
      </c>
      <c r="M6" s="114">
        <v>26.64</v>
      </c>
      <c r="N6" s="114">
        <v>0.61</v>
      </c>
      <c r="O6" s="114">
        <v>7.02</v>
      </c>
      <c r="P6" s="114">
        <v>0.65</v>
      </c>
      <c r="Q6" s="114">
        <v>-3.96</v>
      </c>
      <c r="R6" s="139"/>
      <c r="S6" s="114">
        <v>-0.12330000000000001</v>
      </c>
      <c r="T6" s="114">
        <v>7.2499999999999995E-2</v>
      </c>
      <c r="U6" s="114">
        <v>2.6257000000000001</v>
      </c>
      <c r="V6" s="114">
        <v>131.28639999999999</v>
      </c>
      <c r="W6" s="114">
        <v>0.4803</v>
      </c>
      <c r="X6" s="114">
        <v>0.1018</v>
      </c>
      <c r="Y6" s="114">
        <v>0.1041</v>
      </c>
      <c r="Z6" s="114">
        <v>-3.0089000000000001</v>
      </c>
      <c r="AA6" s="114">
        <v>-150.44470000000001</v>
      </c>
      <c r="AB6" s="114">
        <v>0.84019999999999995</v>
      </c>
      <c r="AC6" s="113">
        <f>(ABS(S6)+ABS(X6))/2</f>
        <v>0.11255000000000001</v>
      </c>
      <c r="AD6" s="139"/>
      <c r="AE6" s="115">
        <v>31.912362983963501</v>
      </c>
      <c r="AF6" s="115">
        <v>21.7004648463646</v>
      </c>
      <c r="AG6" s="115">
        <v>16.604593153347899</v>
      </c>
      <c r="AH6" s="115">
        <v>9.8349842247099986</v>
      </c>
      <c r="AI6" s="115">
        <v>4.9589089851975681</v>
      </c>
      <c r="AJ6" s="115">
        <v>0</v>
      </c>
      <c r="AK6" s="115">
        <v>-6.6480687843229118</v>
      </c>
      <c r="AL6" s="115">
        <v>-8.9240772903110521</v>
      </c>
      <c r="AM6" s="115">
        <v>-20.3073232172583</v>
      </c>
      <c r="AN6" s="115">
        <v>-37.7422310351565</v>
      </c>
      <c r="AO6" s="115">
        <v>-39.520015247959698</v>
      </c>
      <c r="AP6" s="107">
        <f>SLOPE(AE6:AO6,AE1:AO1)</f>
        <v>0.68617593145189226</v>
      </c>
      <c r="AQ6" s="107">
        <f>SLOPE(AE6:AJ6,AE1:AJ1)</f>
        <v>0.6187316898055899</v>
      </c>
      <c r="AR6" s="137">
        <f>SLOPE(AJ6:AO6,AJ1:AO1)</f>
        <v>0.86361659691213288</v>
      </c>
      <c r="AS6" s="139"/>
      <c r="AT6" s="194">
        <f>-1/-0.168</f>
        <v>5.9523809523809517</v>
      </c>
      <c r="AU6" s="194">
        <f>-1/-0.417</f>
        <v>2.3980815347721824</v>
      </c>
      <c r="AV6" s="194">
        <f>-1/-0.299</f>
        <v>3.3444816053511706</v>
      </c>
      <c r="AW6" s="194">
        <f>-1/-0.144</f>
        <v>6.9444444444444446</v>
      </c>
      <c r="AX6" s="149">
        <f t="shared" si="1"/>
        <v>6.4484126984126977</v>
      </c>
      <c r="AY6" s="149">
        <f t="shared" si="2"/>
        <v>2.8712815700616767</v>
      </c>
      <c r="AZ6" s="150">
        <f t="shared" si="3"/>
        <v>4.6598471342371868</v>
      </c>
    </row>
    <row r="7" spans="1:52" ht="14.7" thickBot="1" x14ac:dyDescent="0.55000000000000004">
      <c r="A7" s="226">
        <v>6</v>
      </c>
      <c r="B7" s="227"/>
      <c r="C7" s="227" t="s">
        <v>92</v>
      </c>
      <c r="D7" s="227" t="s">
        <v>91</v>
      </c>
      <c r="E7" s="227" t="s">
        <v>4</v>
      </c>
      <c r="F7" s="228">
        <v>43690</v>
      </c>
      <c r="G7" s="229">
        <v>1</v>
      </c>
      <c r="H7" s="230">
        <v>0</v>
      </c>
      <c r="I7" s="229"/>
      <c r="J7" s="229">
        <v>0</v>
      </c>
      <c r="K7" s="139"/>
      <c r="L7" s="114">
        <v>0.36</v>
      </c>
      <c r="M7" s="114">
        <v>36.863999999999997</v>
      </c>
      <c r="N7" s="114">
        <v>0.73</v>
      </c>
      <c r="O7" s="114">
        <v>12.06</v>
      </c>
      <c r="P7" s="114">
        <v>1</v>
      </c>
      <c r="Q7" s="114">
        <v>1.8</v>
      </c>
      <c r="R7" s="139"/>
      <c r="S7" s="114">
        <v>-0.1246</v>
      </c>
      <c r="T7" s="114">
        <v>1.9099999999999999E-2</v>
      </c>
      <c r="U7" s="114">
        <v>1.4843</v>
      </c>
      <c r="V7" s="114">
        <v>74.217399999999998</v>
      </c>
      <c r="W7" s="114">
        <v>2.01E-2</v>
      </c>
      <c r="X7" s="114">
        <v>0.20549999999999999</v>
      </c>
      <c r="Y7" s="114">
        <v>5.3100000000000001E-2</v>
      </c>
      <c r="Z7" s="114">
        <v>3.4445999999999999</v>
      </c>
      <c r="AA7" s="114">
        <v>172.22890000000001</v>
      </c>
      <c r="AB7" s="114">
        <v>0.4259</v>
      </c>
      <c r="AC7" s="113">
        <f t="shared" ref="AC7" si="4">(ABS(S7)+ABS(X7))/2</f>
        <v>0.16505</v>
      </c>
      <c r="AD7" s="139"/>
      <c r="AE7" s="115">
        <v>38.0680578276407</v>
      </c>
      <c r="AF7" s="115">
        <v>22.406956962754997</v>
      </c>
      <c r="AG7" s="115">
        <v>17.679445541941298</v>
      </c>
      <c r="AH7" s="115">
        <v>15.874607795631601</v>
      </c>
      <c r="AI7" s="115">
        <v>11.519506430126601</v>
      </c>
      <c r="AJ7" s="115">
        <v>0</v>
      </c>
      <c r="AK7" s="115">
        <v>-7.54857517747336</v>
      </c>
      <c r="AL7" s="115">
        <v>-8.1627905535755296</v>
      </c>
      <c r="AM7" s="115">
        <v>-19.410964593181703</v>
      </c>
      <c r="AN7" s="115">
        <v>-27.092710711515402</v>
      </c>
      <c r="AO7" s="115">
        <v>-32.901653231518601</v>
      </c>
      <c r="AP7" s="107">
        <f>SLOPE(AE7:AO7,AE1:AO1)</f>
        <v>0.6647830315493285</v>
      </c>
      <c r="AQ7" s="107">
        <f>SLOPE(AE7:AJ7,AE1:AJ1)</f>
        <v>0.64230708137828108</v>
      </c>
      <c r="AR7" s="137">
        <f>SLOPE(AJ7:AO7,AJ1:AO1)</f>
        <v>0.66968241942664386</v>
      </c>
      <c r="AS7" s="139"/>
      <c r="AT7" s="194">
        <f>-1/-0.193</f>
        <v>5.1813471502590671</v>
      </c>
      <c r="AU7" s="194">
        <f>-1/-0.24</f>
        <v>4.166666666666667</v>
      </c>
      <c r="AV7" s="194">
        <f>-1/-0.278</f>
        <v>3.5971223021582732</v>
      </c>
      <c r="AW7" s="194">
        <f>-1/-0.18</f>
        <v>5.5555555555555554</v>
      </c>
      <c r="AX7" s="149">
        <f t="shared" si="1"/>
        <v>5.3684513529073108</v>
      </c>
      <c r="AY7" s="149">
        <f t="shared" si="2"/>
        <v>3.8818944844124701</v>
      </c>
      <c r="AZ7" s="150">
        <f t="shared" si="3"/>
        <v>4.6251729186598913</v>
      </c>
    </row>
    <row r="8" spans="1:52" x14ac:dyDescent="0.5">
      <c r="A8" s="231" t="s">
        <v>118</v>
      </c>
      <c r="B8" s="232"/>
      <c r="C8" s="232"/>
      <c r="D8" s="232"/>
      <c r="E8" s="232"/>
      <c r="F8" s="233"/>
      <c r="G8" s="234"/>
      <c r="H8" s="235"/>
      <c r="I8" s="234" t="s">
        <v>18</v>
      </c>
      <c r="J8" s="129">
        <f t="shared" ref="J8" si="5">AVERAGE(J2:J7)</f>
        <v>0</v>
      </c>
      <c r="K8" s="140"/>
      <c r="L8" s="129">
        <f t="shared" ref="L8:P8" si="6">AVERAGE(L2:L7)</f>
        <v>0.34833333333333333</v>
      </c>
      <c r="M8" s="129">
        <v>24.516000000000002</v>
      </c>
      <c r="N8" s="129">
        <f t="shared" si="6"/>
        <v>0.60333333333333328</v>
      </c>
      <c r="O8" s="129">
        <v>10.200000000000001</v>
      </c>
      <c r="P8" s="129">
        <f t="shared" si="6"/>
        <v>0.73999999999999988</v>
      </c>
      <c r="Q8" s="129">
        <v>-0.24000000000000002</v>
      </c>
      <c r="R8" s="140"/>
      <c r="S8" s="129">
        <f>ABS(AVERAGE(S2:S7))</f>
        <v>9.9750000000000005E-2</v>
      </c>
      <c r="T8" s="129">
        <f t="shared" ref="T8:AX8" si="7">AVERAGE(T2:T7)</f>
        <v>4.2949999999999995E-2</v>
      </c>
      <c r="U8" s="129">
        <f t="shared" si="7"/>
        <v>2.3615499999999998</v>
      </c>
      <c r="V8" s="129">
        <f t="shared" si="7"/>
        <v>118.07776666666666</v>
      </c>
      <c r="W8" s="129">
        <f t="shared" si="7"/>
        <v>0.32779999999999998</v>
      </c>
      <c r="X8" s="129">
        <f>ABS(AVERAGE(X2:X7))</f>
        <v>0.12085000000000001</v>
      </c>
      <c r="Y8" s="129">
        <f t="shared" si="7"/>
        <v>7.2749999999999995E-2</v>
      </c>
      <c r="Z8" s="129">
        <f t="shared" si="7"/>
        <v>1.7666666666666647E-2</v>
      </c>
      <c r="AA8" s="129">
        <f t="shared" si="7"/>
        <v>0.88393333333333146</v>
      </c>
      <c r="AB8" s="129">
        <f t="shared" si="7"/>
        <v>0.54773333333333329</v>
      </c>
      <c r="AC8" s="129">
        <f t="shared" si="7"/>
        <v>0.11030000000000001</v>
      </c>
      <c r="AD8" s="140"/>
      <c r="AE8" s="129">
        <f t="shared" si="7"/>
        <v>34.602719971265188</v>
      </c>
      <c r="AF8" s="129">
        <f t="shared" si="7"/>
        <v>18.280064279052052</v>
      </c>
      <c r="AG8" s="129">
        <f t="shared" si="7"/>
        <v>12.945170015131543</v>
      </c>
      <c r="AH8" s="129">
        <f t="shared" si="7"/>
        <v>9.9692027065627471</v>
      </c>
      <c r="AI8" s="129">
        <f t="shared" si="7"/>
        <v>4.0592314608396434</v>
      </c>
      <c r="AJ8" s="129">
        <f t="shared" si="7"/>
        <v>0</v>
      </c>
      <c r="AK8" s="129">
        <f t="shared" si="7"/>
        <v>-5.0119770848701011</v>
      </c>
      <c r="AL8" s="129">
        <f t="shared" si="7"/>
        <v>-7.7158295768955965</v>
      </c>
      <c r="AM8" s="129">
        <f t="shared" si="7"/>
        <v>-16.695561046360403</v>
      </c>
      <c r="AN8" s="129">
        <f t="shared" si="7"/>
        <v>-25.355586202786117</v>
      </c>
      <c r="AO8" s="129">
        <f t="shared" si="7"/>
        <v>-32.755390933538258</v>
      </c>
      <c r="AP8" s="129">
        <f t="shared" si="7"/>
        <v>0.58608783886224736</v>
      </c>
      <c r="AQ8" s="129">
        <f t="shared" si="7"/>
        <v>0.62472018748437708</v>
      </c>
      <c r="AR8" s="129">
        <f t="shared" si="7"/>
        <v>0.66796432425972618</v>
      </c>
      <c r="AS8" s="140"/>
      <c r="AT8" s="129">
        <f>AVERAGE(AT2:AT7)</f>
        <v>3.6671377510878513</v>
      </c>
      <c r="AU8" s="129">
        <f>AVERAGE(AU2:AU7)</f>
        <v>4.1026638132845532</v>
      </c>
      <c r="AV8" s="129">
        <f t="shared" si="7"/>
        <v>2.8084596168685452</v>
      </c>
      <c r="AW8" s="129">
        <f t="shared" si="7"/>
        <v>4.0981313114530442</v>
      </c>
      <c r="AX8" s="129">
        <f t="shared" si="7"/>
        <v>3.8826345312704476</v>
      </c>
      <c r="AY8" s="129">
        <f>AVERAGE(AY2:AY7)</f>
        <v>3.455561715076549</v>
      </c>
      <c r="AZ8" s="131">
        <f>AVERAGE(AZ2:AZ7)</f>
        <v>3.6690981231734985</v>
      </c>
    </row>
    <row r="9" spans="1:52" ht="14.7" thickBot="1" x14ac:dyDescent="0.55000000000000004">
      <c r="A9" s="236" t="s">
        <v>1592</v>
      </c>
      <c r="B9" s="237"/>
      <c r="C9" s="237"/>
      <c r="D9" s="237"/>
      <c r="E9" s="237"/>
      <c r="F9" s="238"/>
      <c r="G9" s="239"/>
      <c r="H9" s="240"/>
      <c r="I9" s="239" t="s">
        <v>18</v>
      </c>
      <c r="J9" s="130">
        <f>_xlfn.STDEV.S(J2:J7)</f>
        <v>0</v>
      </c>
      <c r="K9" s="130" t="e">
        <f t="shared" ref="K9:AZ9" si="8">_xlfn.STDEV.S(K2:K7)</f>
        <v>#DIV/0!</v>
      </c>
      <c r="L9" s="130">
        <f t="shared" si="8"/>
        <v>0.11856081421222905</v>
      </c>
      <c r="M9" s="130">
        <v>10.567162116670685</v>
      </c>
      <c r="N9" s="130">
        <f t="shared" si="8"/>
        <v>0.11075498483890799</v>
      </c>
      <c r="O9" s="130">
        <v>3.9050736228655136</v>
      </c>
      <c r="P9" s="130">
        <f t="shared" si="8"/>
        <v>0.20425474290698883</v>
      </c>
      <c r="Q9" s="130">
        <v>3.5613929858975126</v>
      </c>
      <c r="R9" s="130" t="e">
        <f t="shared" si="8"/>
        <v>#DIV/0!</v>
      </c>
      <c r="S9" s="130">
        <f t="shared" si="8"/>
        <v>5.0953537659322541E-2</v>
      </c>
      <c r="T9" s="130">
        <f t="shared" si="8"/>
        <v>2.4720740280177702E-2</v>
      </c>
      <c r="U9" s="130">
        <f t="shared" si="8"/>
        <v>0.52809923593960961</v>
      </c>
      <c r="V9" s="130">
        <f t="shared" si="8"/>
        <v>26.403746092451858</v>
      </c>
      <c r="W9" s="130">
        <f t="shared" si="8"/>
        <v>0.28759092475250331</v>
      </c>
      <c r="X9" s="130">
        <f t="shared" si="8"/>
        <v>4.4785745500103002E-2</v>
      </c>
      <c r="Y9" s="130">
        <f t="shared" si="8"/>
        <v>2.7778606876515621E-2</v>
      </c>
      <c r="Z9" s="130">
        <f t="shared" si="8"/>
        <v>3.6618245996588459</v>
      </c>
      <c r="AA9" s="130">
        <f t="shared" si="8"/>
        <v>183.09047681627428</v>
      </c>
      <c r="AB9" s="130">
        <f t="shared" si="8"/>
        <v>0.18226292729643817</v>
      </c>
      <c r="AC9" s="130">
        <f t="shared" si="8"/>
        <v>3.5500112675877528E-2</v>
      </c>
      <c r="AD9" s="130" t="e">
        <f t="shared" si="8"/>
        <v>#DIV/0!</v>
      </c>
      <c r="AE9" s="130">
        <f t="shared" si="8"/>
        <v>4.9171409397824064</v>
      </c>
      <c r="AF9" s="130">
        <f t="shared" si="8"/>
        <v>6.0139259587641929</v>
      </c>
      <c r="AG9" s="130">
        <f t="shared" si="8"/>
        <v>6.282018125255286</v>
      </c>
      <c r="AH9" s="130">
        <f t="shared" si="8"/>
        <v>8.4654248601593896</v>
      </c>
      <c r="AI9" s="130">
        <f t="shared" si="8"/>
        <v>6.250478669880053</v>
      </c>
      <c r="AJ9" s="130">
        <f t="shared" si="8"/>
        <v>0</v>
      </c>
      <c r="AK9" s="130">
        <f t="shared" si="8"/>
        <v>6.0718837246486208</v>
      </c>
      <c r="AL9" s="130">
        <f t="shared" si="8"/>
        <v>3.5665189765934522</v>
      </c>
      <c r="AM9" s="130">
        <f t="shared" si="8"/>
        <v>6.9110925928117251</v>
      </c>
      <c r="AN9" s="130">
        <f t="shared" si="8"/>
        <v>9.7576060289232469</v>
      </c>
      <c r="AO9" s="130">
        <f t="shared" si="8"/>
        <v>5.5838591967095557</v>
      </c>
      <c r="AP9" s="130">
        <f t="shared" si="8"/>
        <v>0.11142273359593211</v>
      </c>
      <c r="AQ9" s="130">
        <f t="shared" si="8"/>
        <v>0.14175071649839241</v>
      </c>
      <c r="AR9" s="130">
        <f t="shared" si="8"/>
        <v>0.12481962895442196</v>
      </c>
      <c r="AS9" s="130" t="e">
        <f t="shared" si="8"/>
        <v>#DIV/0!</v>
      </c>
      <c r="AT9" s="130">
        <f t="shared" si="8"/>
        <v>1.6153645056687009</v>
      </c>
      <c r="AU9" s="130">
        <f t="shared" si="8"/>
        <v>2.2131777915283455</v>
      </c>
      <c r="AV9" s="130">
        <f t="shared" si="8"/>
        <v>1.055225756772231</v>
      </c>
      <c r="AW9" s="130">
        <f t="shared" si="8"/>
        <v>2.4978467545526559</v>
      </c>
      <c r="AX9" s="130">
        <f t="shared" si="8"/>
        <v>1.9663858225006259</v>
      </c>
      <c r="AY9" s="130">
        <f t="shared" si="8"/>
        <v>1.2678877276492346</v>
      </c>
      <c r="AZ9" s="130">
        <f t="shared" si="8"/>
        <v>1.1444252110581192</v>
      </c>
    </row>
    <row r="10" spans="1:52" x14ac:dyDescent="0.5">
      <c r="A10" s="241">
        <v>1</v>
      </c>
      <c r="B10" s="242"/>
      <c r="C10" s="242" t="s">
        <v>95</v>
      </c>
      <c r="D10" s="242" t="s">
        <v>94</v>
      </c>
      <c r="E10" s="242" t="s">
        <v>4</v>
      </c>
      <c r="F10" s="243">
        <v>43615</v>
      </c>
      <c r="G10" s="244">
        <v>0</v>
      </c>
      <c r="H10" s="245">
        <v>1</v>
      </c>
      <c r="I10" s="246" t="s">
        <v>18</v>
      </c>
      <c r="J10" s="246">
        <v>0</v>
      </c>
      <c r="K10" s="139"/>
      <c r="L10" s="135">
        <v>0.12</v>
      </c>
      <c r="M10" s="114">
        <v>36.072000000000003</v>
      </c>
      <c r="N10" s="142">
        <v>0.44</v>
      </c>
      <c r="O10" s="114">
        <v>13.5</v>
      </c>
      <c r="P10" s="142">
        <v>0.61</v>
      </c>
      <c r="Q10" s="114">
        <v>1.44</v>
      </c>
      <c r="R10" s="139"/>
      <c r="S10" s="134">
        <v>-9.2600000000000002E-2</v>
      </c>
      <c r="T10" s="134">
        <v>6.5199999999999994E-2</v>
      </c>
      <c r="U10" s="134">
        <v>0.59589999999999999</v>
      </c>
      <c r="V10" s="134">
        <v>29.793099999999999</v>
      </c>
      <c r="W10" s="134">
        <v>0.77769999999999995</v>
      </c>
      <c r="X10" s="135">
        <v>5.6800000000000003E-2</v>
      </c>
      <c r="Y10" s="134">
        <v>2.07E-2</v>
      </c>
      <c r="Z10" s="134">
        <v>-3.2810000000000001</v>
      </c>
      <c r="AA10" s="134">
        <v>-164.04810000000001</v>
      </c>
      <c r="AB10" s="136">
        <v>0.61119999999999997</v>
      </c>
      <c r="AC10" s="113">
        <f t="shared" ref="AC10:AC11" si="9">(ABS(S10)+ABS(X10))/2</f>
        <v>7.4700000000000003E-2</v>
      </c>
      <c r="AD10" s="139"/>
      <c r="AE10" s="154">
        <v>40.105217535900849</v>
      </c>
      <c r="AF10" s="154">
        <v>30.965444897365252</v>
      </c>
      <c r="AG10" s="154">
        <v>15.810513030947149</v>
      </c>
      <c r="AH10" s="154">
        <v>14.889583945435749</v>
      </c>
      <c r="AI10" s="154">
        <v>3.0184602978703001</v>
      </c>
      <c r="AJ10" s="154">
        <v>0</v>
      </c>
      <c r="AK10" s="154">
        <v>-0.29752949948113994</v>
      </c>
      <c r="AL10" s="154">
        <v>-22.76009584506485</v>
      </c>
      <c r="AM10" s="154">
        <v>-19.910288425969348</v>
      </c>
      <c r="AN10" s="154">
        <v>-23.986518777119951</v>
      </c>
      <c r="AO10" s="154">
        <v>-32.628331661351751</v>
      </c>
      <c r="AP10" s="107">
        <f>SLOPE(AE10:AO10,AE1:AO1)</f>
        <v>0.69932123130300539</v>
      </c>
      <c r="AQ10" s="107">
        <f>SLOPE(AE10:AJ10,AE1:AJ1)</f>
        <v>0.81510848732428709</v>
      </c>
      <c r="AR10" s="137">
        <f>SLOPE(AJ10:AO10,AJ1:AO1)</f>
        <v>0.66102519634451329</v>
      </c>
      <c r="AS10" s="139"/>
      <c r="AT10" s="194">
        <f>-1/-0.245</f>
        <v>4.0816326530612246</v>
      </c>
      <c r="AU10" s="194">
        <f>-1/-0.43</f>
        <v>2.3255813953488373</v>
      </c>
      <c r="AV10" s="194">
        <f>-1/-0.533</f>
        <v>1.8761726078799248</v>
      </c>
      <c r="AW10" s="194">
        <f>-1/-0.351</f>
        <v>2.8490028490028494</v>
      </c>
      <c r="AX10" s="149">
        <f t="shared" ref="AX10:AX15" si="10">AVERAGE(AW10,AT10)</f>
        <v>3.4653177510320372</v>
      </c>
      <c r="AY10" s="149">
        <f t="shared" ref="AY10:AY15" si="11">AVERAGE(AV10,AU10)</f>
        <v>2.1008770016143812</v>
      </c>
      <c r="AZ10" s="150">
        <f t="shared" ref="AZ10:AZ15" si="12">AVERAGE(AV10,AW10,AT10,AU10)</f>
        <v>2.7830973763232092</v>
      </c>
    </row>
    <row r="11" spans="1:52" x14ac:dyDescent="0.5">
      <c r="A11" s="247">
        <v>2</v>
      </c>
      <c r="B11" s="248"/>
      <c r="C11" s="248" t="s">
        <v>96</v>
      </c>
      <c r="D11" s="248" t="s">
        <v>94</v>
      </c>
      <c r="E11" s="248" t="s">
        <v>4</v>
      </c>
      <c r="F11" s="249">
        <v>43615</v>
      </c>
      <c r="G11" s="246">
        <v>0</v>
      </c>
      <c r="H11" s="250">
        <v>1</v>
      </c>
      <c r="I11" s="246" t="s">
        <v>18</v>
      </c>
      <c r="J11" s="246">
        <v>0</v>
      </c>
      <c r="K11" s="139"/>
      <c r="L11" s="135">
        <v>0.4</v>
      </c>
      <c r="M11" s="114">
        <v>32.327999999999996</v>
      </c>
      <c r="N11" s="142">
        <v>0.81</v>
      </c>
      <c r="O11" s="114">
        <v>15.3</v>
      </c>
      <c r="P11" s="142">
        <v>0.87</v>
      </c>
      <c r="Q11" s="114">
        <v>-3.24</v>
      </c>
      <c r="R11" s="139"/>
      <c r="S11" s="134">
        <v>-8.7499999999999994E-2</v>
      </c>
      <c r="T11" s="134">
        <v>4.8500000000000001E-2</v>
      </c>
      <c r="U11" s="134">
        <v>2.1366999999999998</v>
      </c>
      <c r="V11" s="134">
        <v>106.8338</v>
      </c>
      <c r="W11" s="134">
        <v>0.64410000000000001</v>
      </c>
      <c r="X11" s="135">
        <v>9.0800000000000006E-2</v>
      </c>
      <c r="Y11" s="134">
        <v>4.5100000000000001E-2</v>
      </c>
      <c r="Z11" s="134">
        <v>-2.7178</v>
      </c>
      <c r="AA11" s="134">
        <v>-135.8913</v>
      </c>
      <c r="AB11" s="136">
        <v>0.627</v>
      </c>
      <c r="AC11" s="113">
        <f t="shared" si="9"/>
        <v>8.9150000000000007E-2</v>
      </c>
      <c r="AD11" s="139"/>
      <c r="AE11" s="154">
        <v>43.189039644997933</v>
      </c>
      <c r="AF11" s="154">
        <v>38.191138242027733</v>
      </c>
      <c r="AG11" s="154">
        <v>25.465772050967129</v>
      </c>
      <c r="AH11" s="154">
        <v>13.07668653360173</v>
      </c>
      <c r="AI11" s="154">
        <v>3.7171511371272299</v>
      </c>
      <c r="AJ11" s="154">
        <v>0</v>
      </c>
      <c r="AK11" s="154">
        <v>-6.4760133563232305</v>
      </c>
      <c r="AL11" s="154">
        <v>-14.65309060414787</v>
      </c>
      <c r="AM11" s="154">
        <v>-25.832179164666069</v>
      </c>
      <c r="AN11" s="154">
        <v>-34.648356797519568</v>
      </c>
      <c r="AO11" s="154">
        <v>-40.01401229803777</v>
      </c>
      <c r="AP11" s="107">
        <f>SLOPE(AE11:AO11,AE1:AO1)</f>
        <v>0.84265437480837901</v>
      </c>
      <c r="AQ11" s="107">
        <f>SLOPE(AE11:AJ11,AE1:AJ1)</f>
        <v>0.94787498587730457</v>
      </c>
      <c r="AR11" s="137">
        <f>SLOPE(AJ11:AO11,AJ1:AO1)</f>
        <v>0.84504622964084597</v>
      </c>
      <c r="AS11" s="139"/>
      <c r="AT11" s="194">
        <f>-1/-0.242</f>
        <v>4.1322314049586781</v>
      </c>
      <c r="AU11" s="194">
        <f>-1/-0.385</f>
        <v>2.5974025974025974</v>
      </c>
      <c r="AV11" s="194">
        <f>-1/-0.427</f>
        <v>2.3419203747072599</v>
      </c>
      <c r="AW11" s="194">
        <f>-1/-0.325</f>
        <v>3.0769230769230766</v>
      </c>
      <c r="AX11" s="149">
        <f t="shared" si="10"/>
        <v>3.6045772409408774</v>
      </c>
      <c r="AY11" s="149">
        <f t="shared" si="11"/>
        <v>2.4696614860549286</v>
      </c>
      <c r="AZ11" s="150">
        <f t="shared" si="12"/>
        <v>3.037119363497903</v>
      </c>
    </row>
    <row r="12" spans="1:52" x14ac:dyDescent="0.5">
      <c r="A12" s="247">
        <v>3</v>
      </c>
      <c r="B12" s="116"/>
      <c r="C12" s="248" t="s">
        <v>100</v>
      </c>
      <c r="D12" s="248" t="s">
        <v>99</v>
      </c>
      <c r="E12" s="248" t="s">
        <v>62</v>
      </c>
      <c r="F12" s="249">
        <v>43812</v>
      </c>
      <c r="G12" s="246">
        <v>0</v>
      </c>
      <c r="H12" s="250">
        <v>1</v>
      </c>
      <c r="I12" s="246" t="s">
        <v>18</v>
      </c>
      <c r="J12" s="246">
        <v>0</v>
      </c>
      <c r="K12" s="139"/>
      <c r="L12" s="114">
        <v>0.22</v>
      </c>
      <c r="M12" s="114">
        <v>39.312000000000005</v>
      </c>
      <c r="N12" s="114">
        <v>0.7</v>
      </c>
      <c r="O12" s="114">
        <v>18.72</v>
      </c>
      <c r="P12" s="114">
        <v>0.88</v>
      </c>
      <c r="Q12" s="114">
        <v>0.36</v>
      </c>
      <c r="R12" s="139"/>
      <c r="S12" s="156">
        <v>-0.2019</v>
      </c>
      <c r="T12" s="156">
        <v>0.1009</v>
      </c>
      <c r="U12" s="156">
        <v>-2.2522000000000002</v>
      </c>
      <c r="V12" s="156">
        <v>-112.60760000000001</v>
      </c>
      <c r="W12" s="156">
        <v>0.40100000000000002</v>
      </c>
      <c r="X12" s="156">
        <v>4.7199999999999999E-2</v>
      </c>
      <c r="Y12" s="156">
        <v>4.2500000000000003E-2</v>
      </c>
      <c r="Z12" s="156">
        <v>1.4602999999999999</v>
      </c>
      <c r="AA12" s="156">
        <v>73.012699999999995</v>
      </c>
      <c r="AB12" s="156">
        <v>0.21659999999999999</v>
      </c>
      <c r="AC12" s="113">
        <f>(ABS(S12)+ABS(X12))/2</f>
        <v>0.12454999999999999</v>
      </c>
      <c r="AD12" s="139"/>
      <c r="AE12" s="251">
        <v>26.411306656255761</v>
      </c>
      <c r="AF12" s="251">
        <v>22.866432356905161</v>
      </c>
      <c r="AG12" s="251">
        <v>18.920841296212359</v>
      </c>
      <c r="AH12" s="251">
        <v>1.0384559798692798</v>
      </c>
      <c r="AI12" s="251">
        <v>3.0894013967827303</v>
      </c>
      <c r="AJ12" s="251">
        <v>0</v>
      </c>
      <c r="AK12" s="251">
        <v>-3.7870142062630201</v>
      </c>
      <c r="AL12" s="251">
        <v>-14.22970412786394</v>
      </c>
      <c r="AM12" s="251">
        <v>-22.704397535110239</v>
      </c>
      <c r="AN12" s="251">
        <v>-22.466591517030441</v>
      </c>
      <c r="AO12" s="251">
        <v>-24.776029623966341</v>
      </c>
      <c r="AP12" s="107">
        <f>SLOPE(AE12:AO12,AE1:AO1)</f>
        <v>0.54505202655393903</v>
      </c>
      <c r="AQ12" s="107">
        <f>SLOPE(AE12:AJ12,AE1:AJ1)</f>
        <v>0.5979143185085406</v>
      </c>
      <c r="AR12" s="137">
        <f>SLOPE(AJ12:AO12,AJ1:AO1)</f>
        <v>0.5382673527410865</v>
      </c>
      <c r="AS12" s="139"/>
      <c r="AT12" s="194">
        <f>-1/-0.388</f>
        <v>2.5773195876288657</v>
      </c>
      <c r="AU12" s="194">
        <f>-1/-0.321</f>
        <v>3.1152647975077881</v>
      </c>
      <c r="AV12" s="194">
        <f>-1/-0.931</f>
        <v>1.0741138560687433</v>
      </c>
      <c r="AW12" s="194">
        <f>-1/-0.348</f>
        <v>2.8735632183908049</v>
      </c>
      <c r="AX12" s="149">
        <f t="shared" si="10"/>
        <v>2.7254414030098353</v>
      </c>
      <c r="AY12" s="149">
        <f t="shared" si="11"/>
        <v>2.0946893267882656</v>
      </c>
      <c r="AZ12" s="150">
        <f t="shared" si="12"/>
        <v>2.4100653648990504</v>
      </c>
    </row>
    <row r="13" spans="1:52" x14ac:dyDescent="0.5">
      <c r="A13" s="247">
        <v>4</v>
      </c>
      <c r="B13" s="248"/>
      <c r="C13" s="248" t="s">
        <v>188</v>
      </c>
      <c r="D13" s="248" t="s">
        <v>99</v>
      </c>
      <c r="E13" s="248" t="s">
        <v>62</v>
      </c>
      <c r="F13" s="249">
        <v>43812</v>
      </c>
      <c r="G13" s="246">
        <v>0</v>
      </c>
      <c r="H13" s="250">
        <v>1</v>
      </c>
      <c r="I13" s="246" t="s">
        <v>18</v>
      </c>
      <c r="J13" s="246">
        <v>0</v>
      </c>
      <c r="K13" s="139"/>
      <c r="L13" s="114">
        <v>0.27</v>
      </c>
      <c r="M13" s="114">
        <v>23.184000000000005</v>
      </c>
      <c r="N13" s="114">
        <v>0.51</v>
      </c>
      <c r="O13" s="114">
        <v>8.1324000000000005</v>
      </c>
      <c r="P13" s="114">
        <v>0.51</v>
      </c>
      <c r="Q13" s="114">
        <v>1.8144</v>
      </c>
      <c r="R13" s="139"/>
      <c r="S13" s="156">
        <v>-2.86E-2</v>
      </c>
      <c r="T13" s="156">
        <v>4.6199999999999998E-2</v>
      </c>
      <c r="U13" s="156">
        <v>1.6234999999999999</v>
      </c>
      <c r="V13" s="156">
        <v>81.176000000000002</v>
      </c>
      <c r="W13" s="156">
        <v>0.55349999999999999</v>
      </c>
      <c r="X13" s="156">
        <v>4.07E-2</v>
      </c>
      <c r="Y13" s="156">
        <v>6.59E-2</v>
      </c>
      <c r="Z13" s="156">
        <v>-3.4790999999999999</v>
      </c>
      <c r="AA13" s="156">
        <v>-173.95259999999999</v>
      </c>
      <c r="AB13" s="156">
        <v>0.18629999999999999</v>
      </c>
      <c r="AC13" s="113">
        <f t="shared" ref="AC13" si="13">(ABS(S13)+ABS(X13))/2</f>
        <v>3.465E-2</v>
      </c>
      <c r="AD13" s="139"/>
      <c r="AE13" s="251">
        <v>38.371710730309651</v>
      </c>
      <c r="AF13" s="251">
        <v>32.735269449117048</v>
      </c>
      <c r="AG13" s="251">
        <v>12.966396192098051</v>
      </c>
      <c r="AH13" s="251">
        <v>15.61821063933475</v>
      </c>
      <c r="AI13" s="251">
        <v>9.0602693217459951E-2</v>
      </c>
      <c r="AJ13" s="251">
        <v>0</v>
      </c>
      <c r="AK13" s="251">
        <v>-13.62717727028855</v>
      </c>
      <c r="AL13" s="251">
        <v>-11.393037534489949</v>
      </c>
      <c r="AM13" s="251">
        <v>-8.4101603427735903</v>
      </c>
      <c r="AN13" s="251">
        <v>-13.026833365235349</v>
      </c>
      <c r="AO13" s="251">
        <v>-21.37511508221915</v>
      </c>
      <c r="AP13" s="107">
        <f>SLOPE(AE13:AO13,AE1:AO1)</f>
        <v>0.55786589657802188</v>
      </c>
      <c r="AQ13" s="107">
        <f>SLOPE(AE13:AJ13,AE1:AJ1)</f>
        <v>0.82040211277717234</v>
      </c>
      <c r="AR13" s="137">
        <f>SLOPE(AJ13:AO13,AJ1:AO1)</f>
        <v>0.29169047572634221</v>
      </c>
      <c r="AS13" s="139"/>
      <c r="AT13" s="194">
        <f>-1/-0.187</f>
        <v>5.3475935828877006</v>
      </c>
      <c r="AU13" s="194">
        <f>-1/-0.175</f>
        <v>5.7142857142857144</v>
      </c>
      <c r="AV13" s="194">
        <f>-1/-0.162</f>
        <v>6.1728395061728394</v>
      </c>
      <c r="AW13" s="194">
        <f>-1/-0.26</f>
        <v>3.8461538461538458</v>
      </c>
      <c r="AX13" s="149">
        <f t="shared" si="10"/>
        <v>4.5968737145207736</v>
      </c>
      <c r="AY13" s="149">
        <f t="shared" si="11"/>
        <v>5.9435626102292769</v>
      </c>
      <c r="AZ13" s="150">
        <f t="shared" si="12"/>
        <v>5.2702181623750253</v>
      </c>
    </row>
    <row r="14" spans="1:52" x14ac:dyDescent="0.5">
      <c r="A14" s="247">
        <v>5</v>
      </c>
      <c r="B14" s="116" t="s">
        <v>18</v>
      </c>
      <c r="C14" s="248" t="s">
        <v>97</v>
      </c>
      <c r="D14" s="248" t="s">
        <v>99</v>
      </c>
      <c r="E14" s="248" t="s">
        <v>62</v>
      </c>
      <c r="F14" s="249">
        <v>43784</v>
      </c>
      <c r="G14" s="246">
        <v>0</v>
      </c>
      <c r="H14" s="250">
        <v>1</v>
      </c>
      <c r="I14" s="246" t="s">
        <v>18</v>
      </c>
      <c r="J14" s="246">
        <v>0</v>
      </c>
      <c r="K14" s="139"/>
      <c r="L14" s="114">
        <v>0.28999999999999998</v>
      </c>
      <c r="M14" s="114">
        <v>16.919999999999998</v>
      </c>
      <c r="N14" s="114">
        <v>0.45</v>
      </c>
      <c r="O14" s="114">
        <v>-5.94</v>
      </c>
      <c r="P14" s="114">
        <v>0.48</v>
      </c>
      <c r="Q14" s="114">
        <v>-9.36</v>
      </c>
      <c r="R14" s="139"/>
      <c r="S14" s="114">
        <v>-0.1973</v>
      </c>
      <c r="T14" s="114">
        <v>5.6399999999999999E-2</v>
      </c>
      <c r="U14" s="114">
        <v>2.8140000000000001</v>
      </c>
      <c r="V14" s="114">
        <v>140.6978</v>
      </c>
      <c r="W14" s="114">
        <v>0.17180000000000001</v>
      </c>
      <c r="X14" s="114">
        <v>0.22869999999999999</v>
      </c>
      <c r="Y14" s="114">
        <v>0.14219999999999999</v>
      </c>
      <c r="Z14" s="114">
        <v>-3.3595000000000002</v>
      </c>
      <c r="AA14" s="114">
        <v>-167.97630000000001</v>
      </c>
      <c r="AB14" s="114">
        <v>0.81779999999999997</v>
      </c>
      <c r="AC14" s="113">
        <f>(ABS(S14)+ABS(X14))/2</f>
        <v>0.21299999999999999</v>
      </c>
      <c r="AD14" s="139"/>
      <c r="AE14" s="251">
        <v>12.557602599120099</v>
      </c>
      <c r="AF14" s="251">
        <v>14.291103851145898</v>
      </c>
      <c r="AG14" s="251">
        <v>13.6919709111164</v>
      </c>
      <c r="AH14" s="251">
        <v>7.8671022313324004</v>
      </c>
      <c r="AI14" s="251">
        <v>5.2112763600544989</v>
      </c>
      <c r="AJ14" s="251">
        <v>0</v>
      </c>
      <c r="AK14" s="251">
        <v>-3.4669716593714002</v>
      </c>
      <c r="AL14" s="251">
        <v>-7.9490930145322505</v>
      </c>
      <c r="AM14" s="251">
        <v>-13.896386945597051</v>
      </c>
      <c r="AN14" s="251">
        <v>-16.364770847188399</v>
      </c>
      <c r="AO14" s="251">
        <v>-25.7066237765452</v>
      </c>
      <c r="AP14" s="107">
        <f>SLOPE(AE14:AO14,AE1:AO1)</f>
        <v>0.39729122068450834</v>
      </c>
      <c r="AQ14" s="107">
        <f>SLOPE(AE14:AJ14,AE1:AJ1)</f>
        <v>0.27386389756759627</v>
      </c>
      <c r="AR14" s="137">
        <f>SLOPE(AJ14:AO14,AJ1:AO1)</f>
        <v>0.494782315363548</v>
      </c>
      <c r="AS14" s="139"/>
      <c r="AT14" s="194">
        <f>-1/-0.763</f>
        <v>1.310615989515072</v>
      </c>
      <c r="AU14" s="194">
        <f>-1/-0.204</f>
        <v>4.9019607843137258</v>
      </c>
      <c r="AV14" s="194">
        <f>-1/-0.22</f>
        <v>4.5454545454545459</v>
      </c>
      <c r="AW14" s="194">
        <f>-1/-0.181</f>
        <v>5.5248618784530388</v>
      </c>
      <c r="AX14" s="149">
        <f t="shared" si="10"/>
        <v>3.4177389339840554</v>
      </c>
      <c r="AY14" s="149">
        <f t="shared" si="11"/>
        <v>4.7237076648841363</v>
      </c>
      <c r="AZ14" s="150">
        <f t="shared" si="12"/>
        <v>4.0707232994340954</v>
      </c>
    </row>
    <row r="15" spans="1:52" ht="14.7" thickBot="1" x14ac:dyDescent="0.55000000000000004">
      <c r="A15" s="247">
        <v>6</v>
      </c>
      <c r="B15" s="248"/>
      <c r="C15" s="248" t="s">
        <v>98</v>
      </c>
      <c r="D15" s="248" t="s">
        <v>99</v>
      </c>
      <c r="E15" s="248" t="s">
        <v>62</v>
      </c>
      <c r="F15" s="249">
        <v>43812</v>
      </c>
      <c r="G15" s="246">
        <v>0</v>
      </c>
      <c r="H15" s="250">
        <v>1</v>
      </c>
      <c r="I15" s="246" t="s">
        <v>18</v>
      </c>
      <c r="J15" s="246">
        <v>0</v>
      </c>
      <c r="K15" s="139"/>
      <c r="L15" s="114">
        <v>0.22</v>
      </c>
      <c r="M15" s="114">
        <v>27.936000000000003</v>
      </c>
      <c r="N15" s="114">
        <v>0.57999999999999996</v>
      </c>
      <c r="O15" s="114">
        <v>10.08</v>
      </c>
      <c r="P15" s="114">
        <v>0.63</v>
      </c>
      <c r="Q15" s="114">
        <v>-3.96</v>
      </c>
      <c r="R15" s="139"/>
      <c r="S15" s="114">
        <v>-0.1686</v>
      </c>
      <c r="T15" s="114">
        <v>9.2100000000000001E-2</v>
      </c>
      <c r="U15" s="114">
        <v>1.5502</v>
      </c>
      <c r="V15" s="114">
        <v>77.508099999999999</v>
      </c>
      <c r="W15" s="114">
        <v>0.61939999999999995</v>
      </c>
      <c r="X15" s="114">
        <v>0.12139999999999999</v>
      </c>
      <c r="Y15" s="114">
        <v>4.3400000000000001E-2</v>
      </c>
      <c r="Z15" s="114">
        <v>2.5657000000000001</v>
      </c>
      <c r="AA15" s="114">
        <v>128.28460000000001</v>
      </c>
      <c r="AB15" s="114">
        <v>5.3900000000000003E-2</v>
      </c>
      <c r="AC15" s="113">
        <f>(ABS(S15)+ABS(X15))/2</f>
        <v>0.14499999999999999</v>
      </c>
      <c r="AD15" s="139"/>
      <c r="AE15" s="251">
        <v>25.113044542721759</v>
      </c>
      <c r="AF15" s="251">
        <v>18.185349919428859</v>
      </c>
      <c r="AG15" s="251">
        <v>14.517324991601061</v>
      </c>
      <c r="AH15" s="251">
        <v>6.9859665228358612</v>
      </c>
      <c r="AI15" s="251">
        <v>7.7781919289102603</v>
      </c>
      <c r="AJ15" s="251">
        <v>0</v>
      </c>
      <c r="AK15" s="251">
        <v>-12.78145433940232</v>
      </c>
      <c r="AL15" s="251">
        <v>-17.816643449598438</v>
      </c>
      <c r="AM15" s="251">
        <v>-33.354627487008841</v>
      </c>
      <c r="AN15" s="251">
        <v>-39.088580423820346</v>
      </c>
      <c r="AO15" s="251">
        <v>-46.452767842016144</v>
      </c>
      <c r="AP15" s="107">
        <f>SLOPE(AE15:AO15,AE1:AO1)</f>
        <v>0.72791409722336109</v>
      </c>
      <c r="AQ15" s="107">
        <f>SLOPE(AE15:AJ15,AE1:AJ1)</f>
        <v>0.46948015758265654</v>
      </c>
      <c r="AR15" s="137">
        <f>SLOPE(AJ15:AO15,AJ1:AO1)</f>
        <v>0.9334948614307006</v>
      </c>
      <c r="AS15" s="139"/>
      <c r="AT15" s="194">
        <f>-1/-0.215</f>
        <v>4.6511627906976747</v>
      </c>
      <c r="AU15" s="194">
        <f>-1/-0.22</f>
        <v>4.5454545454545459</v>
      </c>
      <c r="AV15" s="194">
        <f>-1/-0.197</f>
        <v>5.0761421319796955</v>
      </c>
      <c r="AW15" s="194">
        <f>-1/-0.127</f>
        <v>7.8740157480314963</v>
      </c>
      <c r="AX15" s="149">
        <f t="shared" si="10"/>
        <v>6.2625892693645859</v>
      </c>
      <c r="AY15" s="149">
        <f t="shared" si="11"/>
        <v>4.8107983387171203</v>
      </c>
      <c r="AZ15" s="150">
        <f t="shared" si="12"/>
        <v>5.5366938040408531</v>
      </c>
    </row>
    <row r="16" spans="1:52" x14ac:dyDescent="0.5">
      <c r="A16" s="252" t="s">
        <v>118</v>
      </c>
      <c r="B16" s="253"/>
      <c r="C16" s="253"/>
      <c r="D16" s="253"/>
      <c r="E16" s="253"/>
      <c r="F16" s="253"/>
      <c r="G16" s="253"/>
      <c r="H16" s="253"/>
      <c r="I16" s="108" t="s">
        <v>18</v>
      </c>
      <c r="J16" s="108">
        <f t="shared" ref="J16:AZ16" si="14">AVERAGE(J10:J15)</f>
        <v>0</v>
      </c>
      <c r="K16" s="140"/>
      <c r="L16" s="108">
        <f t="shared" si="14"/>
        <v>0.25333333333333335</v>
      </c>
      <c r="M16" s="108">
        <v>29.292000000000002</v>
      </c>
      <c r="N16" s="108">
        <f t="shared" si="14"/>
        <v>0.58166666666666667</v>
      </c>
      <c r="O16" s="108">
        <v>9.9654000000000007</v>
      </c>
      <c r="P16" s="108">
        <f t="shared" si="14"/>
        <v>0.66333333333333333</v>
      </c>
      <c r="Q16" s="108">
        <v>-2.1576</v>
      </c>
      <c r="R16" s="140"/>
      <c r="S16" s="108">
        <f>ABS(AVERAGE(S10:S15))</f>
        <v>0.12941666666666665</v>
      </c>
      <c r="T16" s="108">
        <f t="shared" ref="T16:AB16" si="15">AVERAGE(T10:T15)</f>
        <v>6.8216666666666675E-2</v>
      </c>
      <c r="U16" s="108">
        <f t="shared" si="15"/>
        <v>1.0780166666666666</v>
      </c>
      <c r="V16" s="108">
        <f t="shared" si="15"/>
        <v>53.900200000000005</v>
      </c>
      <c r="W16" s="108">
        <f t="shared" si="15"/>
        <v>0.5279166666666667</v>
      </c>
      <c r="X16" s="108">
        <f t="shared" si="15"/>
        <v>9.7599999999999978E-2</v>
      </c>
      <c r="Y16" s="108">
        <f t="shared" si="15"/>
        <v>5.9966666666666668E-2</v>
      </c>
      <c r="Z16" s="108">
        <f t="shared" si="15"/>
        <v>-1.4685666666666668</v>
      </c>
      <c r="AA16" s="108">
        <f t="shared" si="15"/>
        <v>-73.4285</v>
      </c>
      <c r="AB16" s="108">
        <f t="shared" si="15"/>
        <v>0.41880000000000001</v>
      </c>
      <c r="AC16" s="108">
        <f>AVERAGE(AC10:AC15)</f>
        <v>0.11350833333333334</v>
      </c>
      <c r="AD16" s="140"/>
      <c r="AE16" s="108">
        <f t="shared" si="14"/>
        <v>30.957986951551007</v>
      </c>
      <c r="AF16" s="108">
        <f t="shared" si="14"/>
        <v>26.205789785998324</v>
      </c>
      <c r="AG16" s="108">
        <f t="shared" si="14"/>
        <v>16.895469745490356</v>
      </c>
      <c r="AH16" s="108">
        <f t="shared" si="14"/>
        <v>9.9126676420682944</v>
      </c>
      <c r="AI16" s="108">
        <f t="shared" si="14"/>
        <v>3.8175139689937461</v>
      </c>
      <c r="AJ16" s="108">
        <f t="shared" si="14"/>
        <v>0</v>
      </c>
      <c r="AK16" s="108">
        <f t="shared" si="14"/>
        <v>-6.7393600551882757</v>
      </c>
      <c r="AL16" s="108">
        <f t="shared" si="14"/>
        <v>-14.800277429282881</v>
      </c>
      <c r="AM16" s="108">
        <f t="shared" si="14"/>
        <v>-20.684673316854191</v>
      </c>
      <c r="AN16" s="108">
        <f t="shared" si="14"/>
        <v>-24.930275287985676</v>
      </c>
      <c r="AO16" s="108">
        <f t="shared" si="14"/>
        <v>-31.825480047356063</v>
      </c>
      <c r="AP16" s="108">
        <f t="shared" si="14"/>
        <v>0.62834980785853589</v>
      </c>
      <c r="AQ16" s="108">
        <f t="shared" si="14"/>
        <v>0.65410732660625959</v>
      </c>
      <c r="AR16" s="108">
        <f>AVERAGE(AR10:AR15)</f>
        <v>0.62738440520783945</v>
      </c>
      <c r="AS16" s="140"/>
      <c r="AT16" s="108">
        <f>AVERAGE(AT10:AT15)</f>
        <v>3.6834260014582028</v>
      </c>
      <c r="AU16" s="108">
        <f>AVERAGE(AU10:AU15)</f>
        <v>3.8666583057188681</v>
      </c>
      <c r="AV16" s="108">
        <f t="shared" si="14"/>
        <v>3.5144405037105018</v>
      </c>
      <c r="AW16" s="108">
        <f t="shared" si="14"/>
        <v>4.3407534361591855</v>
      </c>
      <c r="AX16" s="108">
        <f t="shared" si="14"/>
        <v>4.0120897188086939</v>
      </c>
      <c r="AY16" s="108">
        <f>AVERAGE(AY10:AY15)</f>
        <v>3.6905494047146852</v>
      </c>
      <c r="AZ16" s="132">
        <f t="shared" si="14"/>
        <v>3.8513195617616893</v>
      </c>
    </row>
    <row r="17" spans="1:52" ht="14.7" thickBot="1" x14ac:dyDescent="0.55000000000000004">
      <c r="A17" s="254" t="s">
        <v>1592</v>
      </c>
      <c r="B17" s="255"/>
      <c r="C17" s="255"/>
      <c r="D17" s="255"/>
      <c r="E17" s="255"/>
      <c r="F17" s="255"/>
      <c r="G17" s="255"/>
      <c r="H17" s="255"/>
      <c r="I17" s="109" t="s">
        <v>18</v>
      </c>
      <c r="J17" s="109">
        <f>_xlfn.STDEV.S(J10:J15)</f>
        <v>0</v>
      </c>
      <c r="K17" s="109" t="e">
        <f t="shared" ref="K17:AZ17" si="16">_xlfn.STDEV.S(K10:K15)</f>
        <v>#DIV/0!</v>
      </c>
      <c r="L17" s="109">
        <f t="shared" si="16"/>
        <v>9.2879850703296629E-2</v>
      </c>
      <c r="M17" s="109">
        <v>8.3402503559545416</v>
      </c>
      <c r="N17" s="109">
        <f t="shared" si="16"/>
        <v>0.14743360087397514</v>
      </c>
      <c r="O17" s="109">
        <v>8.6481113175074231</v>
      </c>
      <c r="P17" s="109">
        <f t="shared" si="16"/>
        <v>0.17362795473847706</v>
      </c>
      <c r="Q17" s="109">
        <v>4.2744033688925525</v>
      </c>
      <c r="R17" s="109" t="e">
        <f t="shared" si="16"/>
        <v>#DIV/0!</v>
      </c>
      <c r="S17" s="109">
        <f t="shared" si="16"/>
        <v>7.0247830334229322E-2</v>
      </c>
      <c r="T17" s="109">
        <f t="shared" si="16"/>
        <v>2.3068716190257833E-2</v>
      </c>
      <c r="U17" s="109">
        <f t="shared" si="16"/>
        <v>1.7876094220121652</v>
      </c>
      <c r="V17" s="109">
        <f t="shared" si="16"/>
        <v>89.379070608302925</v>
      </c>
      <c r="W17" s="109">
        <f t="shared" si="16"/>
        <v>0.21346705054098294</v>
      </c>
      <c r="X17" s="109">
        <f t="shared" si="16"/>
        <v>7.1052515789379336E-2</v>
      </c>
      <c r="Y17" s="109">
        <f t="shared" si="16"/>
        <v>4.2755007503994975E-2</v>
      </c>
      <c r="Z17" s="109">
        <f t="shared" si="16"/>
        <v>2.7319201728210629</v>
      </c>
      <c r="AA17" s="109">
        <f t="shared" si="16"/>
        <v>136.5950908508062</v>
      </c>
      <c r="AB17" s="109">
        <f t="shared" si="16"/>
        <v>0.30582972386607543</v>
      </c>
      <c r="AC17" s="109">
        <f t="shared" si="16"/>
        <v>6.2177627943390261E-2</v>
      </c>
      <c r="AD17" s="109" t="e">
        <f t="shared" si="16"/>
        <v>#DIV/0!</v>
      </c>
      <c r="AE17" s="109">
        <f t="shared" si="16"/>
        <v>11.675988826717974</v>
      </c>
      <c r="AF17" s="109">
        <f t="shared" si="16"/>
        <v>9.2344518373464428</v>
      </c>
      <c r="AG17" s="109">
        <f t="shared" si="16"/>
        <v>4.6922263124964552</v>
      </c>
      <c r="AH17" s="109">
        <f t="shared" si="16"/>
        <v>5.6362306951860299</v>
      </c>
      <c r="AI17" s="109">
        <f t="shared" si="16"/>
        <v>2.5572687988391101</v>
      </c>
      <c r="AJ17" s="109">
        <f t="shared" si="16"/>
        <v>0</v>
      </c>
      <c r="AK17" s="109">
        <f t="shared" si="16"/>
        <v>5.3840567148749869</v>
      </c>
      <c r="AL17" s="109">
        <f t="shared" si="16"/>
        <v>5.1254736877699827</v>
      </c>
      <c r="AM17" s="109">
        <f t="shared" si="16"/>
        <v>8.8141705635094905</v>
      </c>
      <c r="AN17" s="109">
        <f t="shared" si="16"/>
        <v>10.167781690752649</v>
      </c>
      <c r="AO17" s="109">
        <f t="shared" si="16"/>
        <v>9.7775197325456045</v>
      </c>
      <c r="AP17" s="109">
        <f t="shared" si="16"/>
        <v>0.15885276888020622</v>
      </c>
      <c r="AQ17" s="109">
        <f t="shared" si="16"/>
        <v>0.25365515106994824</v>
      </c>
      <c r="AR17" s="109">
        <f t="shared" si="16"/>
        <v>0.23682380016161322</v>
      </c>
      <c r="AS17" s="109" t="e">
        <f t="shared" si="16"/>
        <v>#DIV/0!</v>
      </c>
      <c r="AT17" s="109">
        <f t="shared" si="16"/>
        <v>1.4778133719392645</v>
      </c>
      <c r="AU17" s="109">
        <f t="shared" si="16"/>
        <v>1.3781772671976737</v>
      </c>
      <c r="AV17" s="109">
        <f t="shared" si="16"/>
        <v>2.0289360012046789</v>
      </c>
      <c r="AW17" s="109">
        <f t="shared" si="16"/>
        <v>2.0052889192515715</v>
      </c>
      <c r="AX17" s="109">
        <f t="shared" si="16"/>
        <v>1.255425290252455</v>
      </c>
      <c r="AY17" s="109">
        <f t="shared" si="16"/>
        <v>1.6710976761602205</v>
      </c>
      <c r="AZ17" s="109">
        <f t="shared" si="16"/>
        <v>1.3253778205293074</v>
      </c>
    </row>
    <row r="18" spans="1:52" s="256" customFormat="1" x14ac:dyDescent="0.5">
      <c r="K18" s="257"/>
      <c r="R18" s="257"/>
      <c r="AD18" s="257"/>
      <c r="AS18" s="257"/>
    </row>
    <row r="19" spans="1:52" s="256" customFormat="1" x14ac:dyDescent="0.5">
      <c r="K19" s="257"/>
      <c r="R19" s="257"/>
      <c r="AD19" s="257"/>
      <c r="AS19" s="257"/>
    </row>
    <row r="20" spans="1:52" s="256" customFormat="1" ht="14.7" thickBot="1" x14ac:dyDescent="0.55000000000000004">
      <c r="K20" s="257"/>
      <c r="R20" s="257"/>
      <c r="AD20" s="257"/>
      <c r="AS20" s="257"/>
    </row>
    <row r="21" spans="1:52" ht="14.7" thickBot="1" x14ac:dyDescent="0.55000000000000004">
      <c r="A21" s="219"/>
      <c r="B21" s="220" t="s">
        <v>12</v>
      </c>
      <c r="C21" s="220" t="s">
        <v>85</v>
      </c>
      <c r="D21" s="220" t="s">
        <v>84</v>
      </c>
      <c r="E21" s="220" t="s">
        <v>3</v>
      </c>
      <c r="F21" s="220" t="s">
        <v>0</v>
      </c>
      <c r="G21" s="221" t="s">
        <v>7</v>
      </c>
      <c r="H21" s="222" t="s">
        <v>8</v>
      </c>
      <c r="I21" s="221" t="s">
        <v>153</v>
      </c>
      <c r="J21" s="222" t="s">
        <v>155</v>
      </c>
      <c r="K21" s="141"/>
      <c r="L21" s="223" t="s">
        <v>124</v>
      </c>
      <c r="M21" s="221"/>
      <c r="N21" s="221" t="s">
        <v>125</v>
      </c>
      <c r="O21" s="221"/>
      <c r="P21" s="221" t="s">
        <v>126</v>
      </c>
      <c r="Q21" s="221"/>
      <c r="R21" s="141"/>
      <c r="S21" s="143" t="s">
        <v>127</v>
      </c>
      <c r="T21" s="145" t="s">
        <v>108</v>
      </c>
      <c r="U21" s="145" t="s">
        <v>109</v>
      </c>
      <c r="V21" s="145" t="s">
        <v>104</v>
      </c>
      <c r="W21" s="146" t="s">
        <v>103</v>
      </c>
      <c r="X21" s="143" t="s">
        <v>128</v>
      </c>
      <c r="Y21" s="145" t="s">
        <v>108</v>
      </c>
      <c r="Z21" s="145" t="s">
        <v>109</v>
      </c>
      <c r="AA21" s="145" t="s">
        <v>104</v>
      </c>
      <c r="AB21" s="152" t="s">
        <v>103</v>
      </c>
      <c r="AC21" s="153" t="s">
        <v>129</v>
      </c>
      <c r="AD21" s="141"/>
      <c r="AE21" s="143">
        <v>50</v>
      </c>
      <c r="AF21" s="144">
        <v>40</v>
      </c>
      <c r="AG21" s="145">
        <v>30</v>
      </c>
      <c r="AH21" s="145">
        <v>20</v>
      </c>
      <c r="AI21" s="145">
        <v>10</v>
      </c>
      <c r="AJ21" s="145">
        <v>0</v>
      </c>
      <c r="AK21" s="145">
        <v>-10</v>
      </c>
      <c r="AL21" s="145">
        <v>-20</v>
      </c>
      <c r="AM21" s="145">
        <v>-30</v>
      </c>
      <c r="AN21" s="146">
        <v>-40</v>
      </c>
      <c r="AO21" s="146">
        <v>-50</v>
      </c>
      <c r="AP21" s="151" t="s">
        <v>131</v>
      </c>
      <c r="AQ21" s="151" t="s">
        <v>132</v>
      </c>
      <c r="AR21" s="151" t="s">
        <v>133</v>
      </c>
      <c r="AS21" s="141"/>
      <c r="AT21" s="258" t="s">
        <v>136</v>
      </c>
      <c r="AU21" s="258" t="s">
        <v>137</v>
      </c>
      <c r="AV21" s="259" t="s">
        <v>134</v>
      </c>
      <c r="AW21" s="258" t="s">
        <v>135</v>
      </c>
      <c r="AX21" s="258" t="s">
        <v>364</v>
      </c>
      <c r="AY21" s="258" t="s">
        <v>363</v>
      </c>
      <c r="AZ21" s="260" t="s">
        <v>138</v>
      </c>
    </row>
    <row r="22" spans="1:52" x14ac:dyDescent="0.5">
      <c r="A22" s="226">
        <v>1</v>
      </c>
      <c r="B22" s="9">
        <v>3729060</v>
      </c>
      <c r="C22" s="9"/>
      <c r="D22" s="9" t="s">
        <v>86</v>
      </c>
      <c r="E22" s="227" t="s">
        <v>4</v>
      </c>
      <c r="F22" s="228">
        <v>43430</v>
      </c>
      <c r="G22" s="229">
        <v>1</v>
      </c>
      <c r="H22" s="230">
        <v>0</v>
      </c>
      <c r="I22" s="229" t="s">
        <v>187</v>
      </c>
      <c r="J22" s="229">
        <v>14</v>
      </c>
      <c r="K22" s="139"/>
      <c r="L22" s="114">
        <v>1.0000000000000002E-2</v>
      </c>
      <c r="M22" s="114">
        <v>69.984000000000009</v>
      </c>
      <c r="N22" s="114">
        <v>6.0000000000000012E-2</v>
      </c>
      <c r="O22" s="114">
        <v>44.64</v>
      </c>
      <c r="P22" s="114">
        <v>0.23</v>
      </c>
      <c r="Q22" s="114">
        <v>69.48</v>
      </c>
      <c r="R22" s="139"/>
      <c r="S22" s="114">
        <v>-1.04E-2</v>
      </c>
      <c r="T22" s="114">
        <v>7.3400000000000007E-2</v>
      </c>
      <c r="U22" s="114">
        <v>2.0137</v>
      </c>
      <c r="V22" s="114">
        <v>100.6866</v>
      </c>
      <c r="W22" s="114">
        <v>0.61750000000000005</v>
      </c>
      <c r="X22" s="114">
        <v>1.5599999999999999E-2</v>
      </c>
      <c r="Y22" s="114">
        <v>6.3500000000000001E-2</v>
      </c>
      <c r="Z22" s="114">
        <v>-3.1088</v>
      </c>
      <c r="AA22" s="114">
        <v>-155.44069999999999</v>
      </c>
      <c r="AB22" s="114">
        <v>0.71589999999999998</v>
      </c>
      <c r="AC22" s="113">
        <f t="shared" ref="AC22:AC23" si="17">(ABS(S22)+ABS(X22))/2</f>
        <v>1.2999999999999999E-2</v>
      </c>
      <c r="AD22" s="139"/>
      <c r="AE22" s="155">
        <v>9.7128908060871009</v>
      </c>
      <c r="AF22" s="149">
        <v>13.275268581433499</v>
      </c>
      <c r="AG22" s="149">
        <v>9.3121692172303003</v>
      </c>
      <c r="AH22" s="149">
        <v>10.552027049050801</v>
      </c>
      <c r="AI22" s="149">
        <v>5.1328019034168992</v>
      </c>
      <c r="AJ22" s="149">
        <v>0</v>
      </c>
      <c r="AK22" s="149">
        <v>7.6923371165146985</v>
      </c>
      <c r="AL22" s="149">
        <v>-2.9971721375582003</v>
      </c>
      <c r="AM22" s="149">
        <v>-7.9932639342562499</v>
      </c>
      <c r="AN22" s="149">
        <v>-23.737167025979602</v>
      </c>
      <c r="AO22" s="149">
        <v>-19.896245119561549</v>
      </c>
      <c r="AP22" s="107">
        <f>SLOPE(AE22:AO22,AE21:AO21)</f>
        <v>0.33868234970225047</v>
      </c>
      <c r="AQ22" s="107">
        <f>SLOPE(AE22:AJ22,AE21:AJ21)</f>
        <v>0.20500570352189945</v>
      </c>
      <c r="AR22" s="137">
        <f>SLOPE(AJ22:AO22,AJ21:AO21)</f>
        <v>0.56790237091996776</v>
      </c>
      <c r="AS22" s="139"/>
      <c r="AT22" s="149">
        <v>0</v>
      </c>
      <c r="AU22" s="149">
        <v>0</v>
      </c>
      <c r="AV22" s="149">
        <v>0</v>
      </c>
      <c r="AW22" s="149">
        <v>0</v>
      </c>
      <c r="AX22" s="149">
        <f>AVERAGE(AW22,AT22)</f>
        <v>0</v>
      </c>
      <c r="AY22" s="149">
        <f t="shared" ref="AY22:AY27" si="18">AVERAGE(AV22,AU22)</f>
        <v>0</v>
      </c>
      <c r="AZ22" s="150">
        <f>AVERAGE(AV30,AW30,AT30,AU30)</f>
        <v>0</v>
      </c>
    </row>
    <row r="23" spans="1:52" x14ac:dyDescent="0.5">
      <c r="A23" s="226">
        <v>2</v>
      </c>
      <c r="B23" s="9">
        <v>3729172</v>
      </c>
      <c r="C23" s="9" t="s">
        <v>63</v>
      </c>
      <c r="D23" s="9" t="s">
        <v>87</v>
      </c>
      <c r="E23" s="227" t="s">
        <v>62</v>
      </c>
      <c r="F23" s="228">
        <v>43555</v>
      </c>
      <c r="G23" s="229">
        <v>1</v>
      </c>
      <c r="H23" s="230">
        <v>0</v>
      </c>
      <c r="I23" s="229" t="s">
        <v>187</v>
      </c>
      <c r="J23" s="229">
        <v>46</v>
      </c>
      <c r="K23" s="139"/>
      <c r="L23" s="114">
        <v>0.01</v>
      </c>
      <c r="M23" s="114">
        <v>15.696000000000012</v>
      </c>
      <c r="N23" s="114">
        <v>0.03</v>
      </c>
      <c r="O23" s="114">
        <v>73.44</v>
      </c>
      <c r="P23" s="114">
        <v>0.05</v>
      </c>
      <c r="Q23" s="114">
        <v>-12.24</v>
      </c>
      <c r="R23" s="139"/>
      <c r="S23" s="114">
        <v>3.7999999999999999E-2</v>
      </c>
      <c r="T23" s="114">
        <v>6.2399999999999997E-2</v>
      </c>
      <c r="U23" s="114">
        <v>0.2248</v>
      </c>
      <c r="V23" s="114">
        <v>11.240500000000001</v>
      </c>
      <c r="W23" s="114">
        <v>0.45490000000000003</v>
      </c>
      <c r="X23" s="114">
        <v>-5.1000000000000004E-3</v>
      </c>
      <c r="Y23" s="114">
        <v>2.2499999999999999E-2</v>
      </c>
      <c r="Z23" s="114">
        <v>2.9350999999999998</v>
      </c>
      <c r="AA23" s="114">
        <v>146.75319999999999</v>
      </c>
      <c r="AB23" s="114">
        <v>0.46989999999999998</v>
      </c>
      <c r="AC23" s="113">
        <f t="shared" si="17"/>
        <v>2.155E-2</v>
      </c>
      <c r="AD23" s="139"/>
      <c r="AE23" s="155">
        <v>21.229005430433176</v>
      </c>
      <c r="AF23" s="149">
        <v>17.475611814188795</v>
      </c>
      <c r="AG23" s="149">
        <v>15.736922097207355</v>
      </c>
      <c r="AH23" s="149">
        <v>9.2034265650852234</v>
      </c>
      <c r="AI23" s="149">
        <v>5.8535146024077829</v>
      </c>
      <c r="AJ23" s="149">
        <v>0</v>
      </c>
      <c r="AK23" s="149">
        <v>2.0058868832859709</v>
      </c>
      <c r="AL23" s="149">
        <v>-2.2262573054890664</v>
      </c>
      <c r="AM23" s="149">
        <v>-1.3654432112309172</v>
      </c>
      <c r="AN23" s="149">
        <v>-15.409288045370777</v>
      </c>
      <c r="AO23" s="149">
        <v>-19.010043368442343</v>
      </c>
      <c r="AP23" s="107">
        <f>SLOPE(AE23:AO23,AE21:AO21)</f>
        <v>0.37340812256200101</v>
      </c>
      <c r="AQ23" s="107">
        <f>SLOPE(AE23:AJ23,AE21:AJ21)</f>
        <v>0.42155661234180297</v>
      </c>
      <c r="AR23" s="137">
        <f>SLOPE(AJ23:AO23,AJ21:AO21)</f>
        <v>0.41838550723978235</v>
      </c>
      <c r="AS23" s="139"/>
      <c r="AT23" s="149">
        <v>0</v>
      </c>
      <c r="AU23" s="149">
        <v>0</v>
      </c>
      <c r="AV23" s="149">
        <v>0</v>
      </c>
      <c r="AW23" s="149">
        <v>0</v>
      </c>
      <c r="AX23" s="149">
        <f>AVERAGE(AW23,AT23)</f>
        <v>0</v>
      </c>
      <c r="AY23" s="149">
        <f t="shared" si="18"/>
        <v>0</v>
      </c>
      <c r="AZ23" s="150">
        <f>AVERAGE(AV23,AW23,AT23,AU23)</f>
        <v>0</v>
      </c>
    </row>
    <row r="24" spans="1:52" x14ac:dyDescent="0.5">
      <c r="A24" s="226">
        <v>3</v>
      </c>
      <c r="B24" s="9" t="s">
        <v>18</v>
      </c>
      <c r="C24" s="227" t="s">
        <v>83</v>
      </c>
      <c r="D24" s="227" t="s">
        <v>88</v>
      </c>
      <c r="E24" s="227" t="s">
        <v>62</v>
      </c>
      <c r="F24" s="228">
        <v>43606</v>
      </c>
      <c r="G24" s="229">
        <v>1</v>
      </c>
      <c r="H24" s="230">
        <v>0</v>
      </c>
      <c r="I24" s="229" t="s">
        <v>187</v>
      </c>
      <c r="J24" s="229">
        <v>42</v>
      </c>
      <c r="K24" s="139"/>
      <c r="L24" s="114">
        <v>0.04</v>
      </c>
      <c r="M24" s="114">
        <v>77.112000000000023</v>
      </c>
      <c r="N24" s="114">
        <v>0.01</v>
      </c>
      <c r="O24" s="114">
        <v>-29.16</v>
      </c>
      <c r="P24" s="114">
        <v>0.08</v>
      </c>
      <c r="Q24" s="114">
        <v>-7.92</v>
      </c>
      <c r="R24" s="139"/>
      <c r="S24" s="114">
        <v>-1.1599999999999999E-2</v>
      </c>
      <c r="T24" s="114">
        <v>8.2600000000000007E-2</v>
      </c>
      <c r="U24" s="114">
        <v>1.3581000000000001</v>
      </c>
      <c r="V24" s="114">
        <v>67.9054</v>
      </c>
      <c r="W24" s="114">
        <v>0.82579999999999998</v>
      </c>
      <c r="X24" s="114">
        <v>-3.3999999999999998E-3</v>
      </c>
      <c r="Y24" s="114">
        <v>3.5000000000000003E-2</v>
      </c>
      <c r="Z24" s="114">
        <v>0.46379999999999999</v>
      </c>
      <c r="AA24" s="114">
        <v>23.189699999999998</v>
      </c>
      <c r="AB24" s="114">
        <v>0.4501</v>
      </c>
      <c r="AC24" s="113">
        <f>(ABS(S24)+ABS(X24))/2</f>
        <v>7.4999999999999997E-3</v>
      </c>
      <c r="AD24" s="139"/>
      <c r="AE24" s="155">
        <v>7.6674174868369995</v>
      </c>
      <c r="AF24" s="149">
        <v>5.7155163692868989</v>
      </c>
      <c r="AG24" s="149">
        <v>8.4167839361969001</v>
      </c>
      <c r="AH24" s="149">
        <v>7.5626341763592997</v>
      </c>
      <c r="AI24" s="149">
        <v>2.5290631284745011</v>
      </c>
      <c r="AJ24" s="149">
        <v>0</v>
      </c>
      <c r="AK24" s="149">
        <v>3.2525972587788985</v>
      </c>
      <c r="AL24" s="149">
        <v>-9.1417883581000225E-2</v>
      </c>
      <c r="AM24" s="149">
        <v>-0.27839100687540075</v>
      </c>
      <c r="AN24" s="149">
        <v>-5.8360410196009695</v>
      </c>
      <c r="AO24" s="149">
        <v>-6.4256941479669498</v>
      </c>
      <c r="AP24" s="107">
        <f>SLOPE(AE24:AO24,AE21:AO21)</f>
        <v>0.14303807504396757</v>
      </c>
      <c r="AQ24" s="107">
        <f>SLOPE(AE24:AJ24,AE21:AJ21)</f>
        <v>0.1392874197613137</v>
      </c>
      <c r="AR24" s="137">
        <f>SLOPE(AJ24:AO24,AJ21:AO21)</f>
        <v>0.170232453423625</v>
      </c>
      <c r="AS24" s="139"/>
      <c r="AT24" s="149">
        <v>0</v>
      </c>
      <c r="AU24" s="149">
        <v>0</v>
      </c>
      <c r="AV24" s="149">
        <v>0</v>
      </c>
      <c r="AW24" s="149">
        <v>0</v>
      </c>
      <c r="AX24" s="149">
        <f t="shared" ref="AX24:AX26" si="19">AVERAGE(AW24,AT24)</f>
        <v>0</v>
      </c>
      <c r="AY24" s="149">
        <f t="shared" si="18"/>
        <v>0</v>
      </c>
      <c r="AZ24" s="150">
        <f>AVERAGE(AV24,AW24,AT24,AU24)</f>
        <v>0</v>
      </c>
    </row>
    <row r="25" spans="1:52" x14ac:dyDescent="0.5">
      <c r="A25" s="226">
        <v>4</v>
      </c>
      <c r="B25" s="227"/>
      <c r="C25" s="227" t="s">
        <v>82</v>
      </c>
      <c r="D25" s="227" t="s">
        <v>90</v>
      </c>
      <c r="E25" s="227" t="s">
        <v>4</v>
      </c>
      <c r="F25" s="228">
        <v>43606</v>
      </c>
      <c r="G25" s="229">
        <v>1</v>
      </c>
      <c r="H25" s="230">
        <v>0</v>
      </c>
      <c r="I25" s="229" t="s">
        <v>187</v>
      </c>
      <c r="J25" s="229">
        <v>8</v>
      </c>
      <c r="K25" s="139"/>
      <c r="L25" s="114">
        <v>7.0000000000000007E-2</v>
      </c>
      <c r="M25" s="114">
        <v>20.448</v>
      </c>
      <c r="N25" s="133">
        <v>0.06</v>
      </c>
      <c r="O25" s="114">
        <v>64.44</v>
      </c>
      <c r="P25" s="114">
        <v>0.06</v>
      </c>
      <c r="Q25" s="114">
        <v>-47.16</v>
      </c>
      <c r="R25" s="139"/>
      <c r="S25" s="114">
        <v>-7.0000000000000001E-3</v>
      </c>
      <c r="T25" s="114">
        <v>1.7399999999999999E-2</v>
      </c>
      <c r="U25" s="114">
        <v>0.27229999999999999</v>
      </c>
      <c r="V25" s="114">
        <v>13.616400000000001</v>
      </c>
      <c r="W25" s="114">
        <v>0.85319999999999996</v>
      </c>
      <c r="X25" s="114">
        <v>3.2000000000000002E-3</v>
      </c>
      <c r="Y25" s="114">
        <v>5.1900000000000002E-2</v>
      </c>
      <c r="Z25" s="114">
        <v>-1.2628999999999999</v>
      </c>
      <c r="AA25" s="114">
        <v>-63.143599999999999</v>
      </c>
      <c r="AB25" s="114">
        <v>0.38250000000000001</v>
      </c>
      <c r="AC25" s="113">
        <f t="shared" ref="AC25:AC27" si="20">(ABS(S25)+ABS(X25))/2</f>
        <v>5.1000000000000004E-3</v>
      </c>
      <c r="AD25" s="139"/>
      <c r="AE25" s="155">
        <v>21.385948273755098</v>
      </c>
      <c r="AF25" s="149">
        <v>2.6929687566731992</v>
      </c>
      <c r="AG25" s="149">
        <v>17.351652477440204</v>
      </c>
      <c r="AH25" s="149">
        <v>4.8407894085923999</v>
      </c>
      <c r="AI25" s="149">
        <v>7.1245599043910985</v>
      </c>
      <c r="AJ25" s="149">
        <v>0</v>
      </c>
      <c r="AK25" s="149">
        <v>-1.6483619319285978</v>
      </c>
      <c r="AL25" s="149">
        <v>-3.8031936706508986</v>
      </c>
      <c r="AM25" s="149">
        <v>11.854088111083399</v>
      </c>
      <c r="AN25" s="149">
        <v>-4.8999613650845006</v>
      </c>
      <c r="AO25" s="149">
        <v>1.7094615842799001</v>
      </c>
      <c r="AP25" s="107">
        <f>SLOPE(AE25:AO25,AE21:AO21)</f>
        <v>0.1557343045711668</v>
      </c>
      <c r="AQ25" s="107">
        <f>SLOPE(AE25:AJ25,AE21:AJ21)</f>
        <v>0.3032738028413417</v>
      </c>
      <c r="AR25" s="137">
        <f>SLOPE(AJ25:AO25,AJ21:AO21)</f>
        <v>-4.1285118296188833E-2</v>
      </c>
      <c r="AS25" s="139"/>
      <c r="AT25" s="149">
        <v>0</v>
      </c>
      <c r="AU25" s="149">
        <v>0</v>
      </c>
      <c r="AV25" s="149">
        <v>0</v>
      </c>
      <c r="AW25" s="149">
        <v>0</v>
      </c>
      <c r="AX25" s="149">
        <f t="shared" si="19"/>
        <v>0</v>
      </c>
      <c r="AY25" s="149">
        <f t="shared" si="18"/>
        <v>0</v>
      </c>
      <c r="AZ25" s="150">
        <f>AVERAGE(AV25,AW25,AT25,AU25)</f>
        <v>0</v>
      </c>
    </row>
    <row r="26" spans="1:52" x14ac:dyDescent="0.5">
      <c r="A26" s="226">
        <v>5</v>
      </c>
      <c r="B26" s="227"/>
      <c r="C26" s="227" t="s">
        <v>93</v>
      </c>
      <c r="D26" s="227" t="s">
        <v>91</v>
      </c>
      <c r="E26" s="227" t="s">
        <v>62</v>
      </c>
      <c r="F26" s="228">
        <v>43690</v>
      </c>
      <c r="G26" s="229">
        <v>1</v>
      </c>
      <c r="H26" s="230">
        <v>0</v>
      </c>
      <c r="I26" s="229" t="s">
        <v>187</v>
      </c>
      <c r="J26" s="229">
        <v>37</v>
      </c>
      <c r="K26" s="139"/>
      <c r="L26" s="114">
        <v>0.03</v>
      </c>
      <c r="M26" s="114">
        <v>34.128000000000007</v>
      </c>
      <c r="N26" s="114">
        <v>0.05</v>
      </c>
      <c r="O26" s="114">
        <v>54.360000000000014</v>
      </c>
      <c r="P26" s="114">
        <v>0.1</v>
      </c>
      <c r="Q26" s="114">
        <v>62.64</v>
      </c>
      <c r="R26" s="139"/>
      <c r="S26" s="114">
        <v>1.12E-2</v>
      </c>
      <c r="T26" s="114">
        <v>4.7000000000000002E-3</v>
      </c>
      <c r="U26" s="114">
        <v>-0.45789999999999997</v>
      </c>
      <c r="V26" s="114">
        <v>-22.895700000000001</v>
      </c>
      <c r="W26" s="114">
        <v>8.8999999999999996E-2</v>
      </c>
      <c r="X26" s="114">
        <v>9.9000000000000008E-3</v>
      </c>
      <c r="Y26" s="114">
        <v>1.5699999999999999E-2</v>
      </c>
      <c r="Z26" s="114">
        <v>2.0767000000000002</v>
      </c>
      <c r="AA26" s="114">
        <v>103.83620000000001</v>
      </c>
      <c r="AB26" s="114">
        <v>0.69340000000000002</v>
      </c>
      <c r="AC26" s="113">
        <f t="shared" si="20"/>
        <v>1.055E-2</v>
      </c>
      <c r="AD26" s="139"/>
      <c r="AE26" s="155">
        <v>30.24286910177258</v>
      </c>
      <c r="AF26" s="149">
        <v>23.524265795578881</v>
      </c>
      <c r="AG26" s="149">
        <v>22.584129580330181</v>
      </c>
      <c r="AH26" s="149">
        <v>14.73611163640048</v>
      </c>
      <c r="AI26" s="149">
        <v>10.919750190473081</v>
      </c>
      <c r="AJ26" s="149">
        <v>0</v>
      </c>
      <c r="AK26" s="149">
        <v>-3.9867572198394603</v>
      </c>
      <c r="AL26" s="149">
        <v>-10.663427988910708</v>
      </c>
      <c r="AM26" s="149">
        <v>-14.32687482031432</v>
      </c>
      <c r="AN26" s="149">
        <v>-17.673543635675919</v>
      </c>
      <c r="AO26" s="149">
        <v>-20.94049269605312</v>
      </c>
      <c r="AP26" s="107">
        <f>SLOPE(AE26:AO26,AE21:AO21)</f>
        <v>0.54286058779728741</v>
      </c>
      <c r="AQ26" s="107">
        <f>SLOPE(AE26:AJ26,AE21:AJ21)</f>
        <v>0.56250260076602865</v>
      </c>
      <c r="AR26" s="137">
        <f>SLOPE(AJ26:AO26,AJ21:AO21)</f>
        <v>0.42693219874051025</v>
      </c>
      <c r="AS26" s="139"/>
      <c r="AT26" s="149">
        <v>0</v>
      </c>
      <c r="AU26" s="149">
        <v>0</v>
      </c>
      <c r="AV26" s="149">
        <v>0</v>
      </c>
      <c r="AW26" s="149">
        <v>0</v>
      </c>
      <c r="AX26" s="149">
        <f t="shared" si="19"/>
        <v>0</v>
      </c>
      <c r="AY26" s="149">
        <f t="shared" si="18"/>
        <v>0</v>
      </c>
      <c r="AZ26" s="150">
        <f>AVERAGE(AV26,AW26,AT26,AU26)</f>
        <v>0</v>
      </c>
    </row>
    <row r="27" spans="1:52" ht="14.7" thickBot="1" x14ac:dyDescent="0.55000000000000004">
      <c r="A27" s="226">
        <v>6</v>
      </c>
      <c r="B27" s="227"/>
      <c r="C27" s="227" t="s">
        <v>92</v>
      </c>
      <c r="D27" s="227" t="s">
        <v>91</v>
      </c>
      <c r="E27" s="227" t="s">
        <v>4</v>
      </c>
      <c r="F27" s="228">
        <v>43690</v>
      </c>
      <c r="G27" s="229">
        <v>1</v>
      </c>
      <c r="H27" s="230">
        <v>0</v>
      </c>
      <c r="I27" s="229" t="s">
        <v>187</v>
      </c>
      <c r="J27" s="229">
        <v>40</v>
      </c>
      <c r="K27" s="139"/>
      <c r="L27" s="114">
        <v>0.04</v>
      </c>
      <c r="M27" s="114">
        <v>85.968000000000004</v>
      </c>
      <c r="N27" s="133">
        <v>0.11</v>
      </c>
      <c r="O27" s="114">
        <v>75.599999999999994</v>
      </c>
      <c r="P27" s="133">
        <v>0.1</v>
      </c>
      <c r="Q27" s="114">
        <v>42.84</v>
      </c>
      <c r="R27" s="139"/>
      <c r="S27" s="114">
        <v>1.3600000000000003E-2</v>
      </c>
      <c r="U27" s="114"/>
      <c r="V27" s="114"/>
      <c r="W27" s="114"/>
      <c r="X27" s="114">
        <v>2.1100000000000001E-2</v>
      </c>
      <c r="Y27" s="114"/>
      <c r="Z27" s="114"/>
      <c r="AA27" s="114"/>
      <c r="AB27" s="114"/>
      <c r="AC27" s="113">
        <f t="shared" si="20"/>
        <v>1.7350000000000001E-2</v>
      </c>
      <c r="AD27" s="139"/>
      <c r="AE27" s="155">
        <v>37.1359014837141</v>
      </c>
      <c r="AF27" s="149">
        <v>42.1700395679715</v>
      </c>
      <c r="AG27" s="149">
        <v>21.019875274839194</v>
      </c>
      <c r="AH27" s="149">
        <v>8.325570555023134</v>
      </c>
      <c r="AI27" s="149">
        <v>3.561397885283335</v>
      </c>
      <c r="AJ27" s="149">
        <v>0</v>
      </c>
      <c r="AK27" s="149">
        <v>4.7196191929043154</v>
      </c>
      <c r="AL27" s="149">
        <v>6.4239251532554755</v>
      </c>
      <c r="AM27" s="149">
        <v>3.9172255942079852</v>
      </c>
      <c r="AN27" s="149">
        <v>-24.899727180512905</v>
      </c>
      <c r="AO27" s="149">
        <v>-29.497246462909999</v>
      </c>
      <c r="AP27" s="107">
        <f>SLOPE(AE27:AO27,AE21:AO21)</f>
        <v>0.59581620478624187</v>
      </c>
      <c r="AQ27" s="107">
        <f>SLOPE(AE27:AJ27,AE21:AJ21)</f>
        <v>0.89771353481843141</v>
      </c>
      <c r="AR27" s="137">
        <f>SLOPE(AJ27:AO27,AJ21:AO21)</f>
        <v>0.68243134569671171</v>
      </c>
      <c r="AS27" s="139"/>
      <c r="AT27" s="149">
        <v>0</v>
      </c>
      <c r="AU27" s="149">
        <v>0</v>
      </c>
      <c r="AV27" s="149">
        <v>0</v>
      </c>
      <c r="AW27" s="149">
        <v>0</v>
      </c>
      <c r="AX27" s="149">
        <f>AVERAGE(AW27,AT27)</f>
        <v>0</v>
      </c>
      <c r="AY27" s="149">
        <f t="shared" si="18"/>
        <v>0</v>
      </c>
      <c r="AZ27" s="150">
        <f>AVERAGE(AV27,AW27,AT27,AU27)</f>
        <v>0</v>
      </c>
    </row>
    <row r="28" spans="1:52" x14ac:dyDescent="0.5">
      <c r="A28" s="231" t="s">
        <v>118</v>
      </c>
      <c r="B28" s="232"/>
      <c r="C28" s="232"/>
      <c r="D28" s="232"/>
      <c r="E28" s="232"/>
      <c r="F28" s="233"/>
      <c r="G28" s="234"/>
      <c r="H28" s="235"/>
      <c r="I28" s="234"/>
      <c r="J28" s="207">
        <f>AVERAGE(J22:J27)</f>
        <v>31.166666666666668</v>
      </c>
      <c r="K28" s="140"/>
      <c r="L28" s="129">
        <f t="shared" ref="L28:AX28" si="21">AVERAGE(L22:L27)</f>
        <v>3.3333333333333333E-2</v>
      </c>
      <c r="M28" s="129">
        <v>50.556000000000012</v>
      </c>
      <c r="N28" s="129">
        <f t="shared" si="21"/>
        <v>5.3333333333333337E-2</v>
      </c>
      <c r="O28" s="129">
        <v>47.220000000000006</v>
      </c>
      <c r="P28" s="129">
        <f t="shared" si="21"/>
        <v>0.10333333333333333</v>
      </c>
      <c r="Q28" s="129">
        <v>17.940000000000001</v>
      </c>
      <c r="R28" s="140"/>
      <c r="S28" s="129">
        <f>ABS(AVERAGE(S22:S27))</f>
        <v>5.6333333333333339E-3</v>
      </c>
      <c r="T28" s="129">
        <f t="shared" si="21"/>
        <v>4.8100000000000004E-2</v>
      </c>
      <c r="U28" s="129">
        <f t="shared" si="21"/>
        <v>0.68220000000000014</v>
      </c>
      <c r="V28" s="129">
        <f t="shared" si="21"/>
        <v>34.110639999999997</v>
      </c>
      <c r="W28" s="129">
        <f t="shared" si="21"/>
        <v>0.56808000000000003</v>
      </c>
      <c r="X28" s="129">
        <f>ABS(AVERAGE(X22:X27))</f>
        <v>6.8833333333333342E-3</v>
      </c>
      <c r="Y28" s="129">
        <f t="shared" si="21"/>
        <v>3.7719999999999997E-2</v>
      </c>
      <c r="Z28" s="129">
        <f t="shared" si="21"/>
        <v>0.22078000000000003</v>
      </c>
      <c r="AA28" s="129">
        <f t="shared" si="21"/>
        <v>11.038959999999999</v>
      </c>
      <c r="AB28" s="129">
        <f t="shared" si="21"/>
        <v>0.54235999999999995</v>
      </c>
      <c r="AC28" s="129">
        <f t="shared" si="21"/>
        <v>1.2508333333333335E-2</v>
      </c>
      <c r="AD28" s="140"/>
      <c r="AE28" s="147">
        <f t="shared" si="21"/>
        <v>21.229005430433176</v>
      </c>
      <c r="AF28" s="129">
        <f t="shared" si="21"/>
        <v>17.475611814188795</v>
      </c>
      <c r="AG28" s="129">
        <f>AVERAGE(AG22:AG27)</f>
        <v>15.736922097207355</v>
      </c>
      <c r="AH28" s="129">
        <f t="shared" si="21"/>
        <v>9.2034265650852234</v>
      </c>
      <c r="AI28" s="129">
        <f t="shared" si="21"/>
        <v>5.8535146024077838</v>
      </c>
      <c r="AJ28" s="129">
        <f t="shared" si="21"/>
        <v>0</v>
      </c>
      <c r="AK28" s="129">
        <f t="shared" si="21"/>
        <v>2.0058868832859709</v>
      </c>
      <c r="AL28" s="129">
        <f t="shared" si="21"/>
        <v>-2.2262573054890669</v>
      </c>
      <c r="AM28" s="129">
        <f t="shared" si="21"/>
        <v>-1.3654432112309169</v>
      </c>
      <c r="AN28" s="129">
        <f t="shared" si="21"/>
        <v>-15.409288045370781</v>
      </c>
      <c r="AO28" s="129">
        <f t="shared" si="21"/>
        <v>-15.676710035109011</v>
      </c>
      <c r="AP28" s="129">
        <f>AVERAGE(AP22:AP27)</f>
        <v>0.35825660741048582</v>
      </c>
      <c r="AQ28" s="129">
        <f>AVERAGE(AQ22:AQ27)</f>
        <v>0.42155661234180292</v>
      </c>
      <c r="AR28" s="129">
        <f t="shared" si="21"/>
        <v>0.37076645962073468</v>
      </c>
      <c r="AS28" s="140"/>
      <c r="AT28" s="129">
        <f>AVERAGE(AT22:AT27)</f>
        <v>0</v>
      </c>
      <c r="AU28" s="129">
        <f>AVERAGE(AU22:AU27)</f>
        <v>0</v>
      </c>
      <c r="AV28" s="129">
        <f t="shared" si="21"/>
        <v>0</v>
      </c>
      <c r="AW28" s="129">
        <f t="shared" si="21"/>
        <v>0</v>
      </c>
      <c r="AX28" s="129">
        <f t="shared" si="21"/>
        <v>0</v>
      </c>
      <c r="AY28" s="129">
        <f>AVERAGE(AY22:AY27)</f>
        <v>0</v>
      </c>
      <c r="AZ28" s="131">
        <f>AVERAGE(AZ22:AZ27)</f>
        <v>0</v>
      </c>
    </row>
    <row r="29" spans="1:52" ht="14.7" thickBot="1" x14ac:dyDescent="0.55000000000000004">
      <c r="A29" s="236" t="s">
        <v>78</v>
      </c>
      <c r="B29" s="237"/>
      <c r="C29" s="237"/>
      <c r="D29" s="237"/>
      <c r="E29" s="237"/>
      <c r="F29" s="238"/>
      <c r="G29" s="239"/>
      <c r="H29" s="240"/>
      <c r="I29" s="239"/>
      <c r="J29" s="208">
        <f>_xlfn.STDEV.S(J22:J27)</f>
        <v>16.005207485898662</v>
      </c>
      <c r="K29" s="130" t="e">
        <f t="shared" ref="K29:AZ29" si="22">_xlfn.STDEV.S(K22:K27)</f>
        <v>#DIV/0!</v>
      </c>
      <c r="L29" s="130">
        <f t="shared" si="22"/>
        <v>2.2509257354845512E-2</v>
      </c>
      <c r="M29" s="130">
        <v>30.751482930096234</v>
      </c>
      <c r="N29" s="130">
        <f t="shared" si="22"/>
        <v>3.3862466931200784E-2</v>
      </c>
      <c r="O29" s="130">
        <v>39.194340407768038</v>
      </c>
      <c r="P29" s="130">
        <f t="shared" si="22"/>
        <v>6.5319726474218118E-2</v>
      </c>
      <c r="Q29" s="130">
        <v>47.100007643311478</v>
      </c>
      <c r="R29" s="130" t="e">
        <f t="shared" si="22"/>
        <v>#DIV/0!</v>
      </c>
      <c r="S29" s="130">
        <f t="shared" si="22"/>
        <v>1.9265063370429557E-2</v>
      </c>
      <c r="T29" s="130">
        <f t="shared" si="22"/>
        <v>3.4860005737234183E-2</v>
      </c>
      <c r="U29" s="130">
        <f t="shared" si="22"/>
        <v>0.98828055733177289</v>
      </c>
      <c r="V29" s="130">
        <f t="shared" si="22"/>
        <v>49.414634042892601</v>
      </c>
      <c r="W29" s="130">
        <f t="shared" si="22"/>
        <v>0.31324220181833706</v>
      </c>
      <c r="X29" s="130">
        <f t="shared" si="22"/>
        <v>1.0489121348648163E-2</v>
      </c>
      <c r="Y29" s="130">
        <f t="shared" si="22"/>
        <v>1.9934944193551189E-2</v>
      </c>
      <c r="Z29" s="130">
        <f t="shared" si="22"/>
        <v>2.4575618073611092</v>
      </c>
      <c r="AA29" s="130">
        <f t="shared" si="22"/>
        <v>122.8778382935792</v>
      </c>
      <c r="AB29" s="130">
        <f t="shared" si="22"/>
        <v>0.15186078493146304</v>
      </c>
      <c r="AC29" s="130">
        <f t="shared" si="22"/>
        <v>6.1520254117377214E-3</v>
      </c>
      <c r="AD29" s="130" t="e">
        <f t="shared" si="22"/>
        <v>#DIV/0!</v>
      </c>
      <c r="AE29" s="130">
        <f t="shared" si="22"/>
        <v>11.409130334818846</v>
      </c>
      <c r="AF29" s="130">
        <f t="shared" si="22"/>
        <v>14.288948463658544</v>
      </c>
      <c r="AG29" s="130">
        <f t="shared" si="22"/>
        <v>5.8696349300426771</v>
      </c>
      <c r="AH29" s="130">
        <f t="shared" si="22"/>
        <v>3.3143554776222088</v>
      </c>
      <c r="AI29" s="130">
        <f t="shared" si="22"/>
        <v>2.9701010971149922</v>
      </c>
      <c r="AJ29" s="130">
        <f t="shared" si="22"/>
        <v>0</v>
      </c>
      <c r="AK29" s="130">
        <f t="shared" si="22"/>
        <v>4.2548716505633015</v>
      </c>
      <c r="AL29" s="130">
        <f t="shared" si="22"/>
        <v>5.543466118705302</v>
      </c>
      <c r="AM29" s="130">
        <f t="shared" si="22"/>
        <v>9.1188924489557515</v>
      </c>
      <c r="AN29" s="130">
        <f t="shared" si="22"/>
        <v>8.5631987313283648</v>
      </c>
      <c r="AO29" s="130">
        <f t="shared" si="22"/>
        <v>11.27377914469559</v>
      </c>
      <c r="AP29" s="130">
        <f t="shared" si="22"/>
        <v>0.18892337688996358</v>
      </c>
      <c r="AQ29" s="130">
        <f t="shared" si="22"/>
        <v>0.27826325761385967</v>
      </c>
      <c r="AR29" s="130">
        <f t="shared" si="22"/>
        <v>0.26511134384964963</v>
      </c>
      <c r="AS29" s="130" t="e">
        <f t="shared" si="22"/>
        <v>#DIV/0!</v>
      </c>
      <c r="AT29" s="130">
        <f t="shared" si="22"/>
        <v>0</v>
      </c>
      <c r="AU29" s="130">
        <f t="shared" si="22"/>
        <v>0</v>
      </c>
      <c r="AV29" s="130">
        <f t="shared" si="22"/>
        <v>0</v>
      </c>
      <c r="AW29" s="130">
        <f t="shared" si="22"/>
        <v>0</v>
      </c>
      <c r="AX29" s="130">
        <f t="shared" si="22"/>
        <v>0</v>
      </c>
      <c r="AY29" s="130">
        <f t="shared" si="22"/>
        <v>0</v>
      </c>
      <c r="AZ29" s="130">
        <f t="shared" si="22"/>
        <v>0</v>
      </c>
    </row>
    <row r="30" spans="1:52" x14ac:dyDescent="0.5">
      <c r="A30" s="241">
        <v>1</v>
      </c>
      <c r="B30" s="242"/>
      <c r="C30" s="242" t="s">
        <v>95</v>
      </c>
      <c r="D30" s="242" t="s">
        <v>94</v>
      </c>
      <c r="E30" s="242" t="s">
        <v>4</v>
      </c>
      <c r="F30" s="243">
        <v>43615</v>
      </c>
      <c r="G30" s="244">
        <v>0</v>
      </c>
      <c r="H30" s="245">
        <v>1</v>
      </c>
      <c r="I30" s="246" t="s">
        <v>187</v>
      </c>
      <c r="J30" s="261">
        <v>12</v>
      </c>
      <c r="K30" s="139"/>
      <c r="L30" s="203">
        <v>0.04</v>
      </c>
      <c r="M30" s="114">
        <v>3.5280000000000005</v>
      </c>
      <c r="N30" s="204">
        <v>0.13</v>
      </c>
      <c r="O30" s="114">
        <v>13.86</v>
      </c>
      <c r="P30" s="204">
        <v>0.3</v>
      </c>
      <c r="Q30" s="114">
        <v>-28.44</v>
      </c>
      <c r="R30" s="139"/>
      <c r="S30" s="134">
        <v>-1.26E-2</v>
      </c>
      <c r="T30" s="134">
        <v>1.5699999999999999E-2</v>
      </c>
      <c r="U30" s="134">
        <v>2.6762000000000001</v>
      </c>
      <c r="V30" s="134">
        <v>133.8098</v>
      </c>
      <c r="W30" s="134">
        <v>0.38450000000000001</v>
      </c>
      <c r="X30" s="135">
        <v>-5.5999999999999999E-3</v>
      </c>
      <c r="Y30" s="134">
        <v>3.1099999999999999E-2</v>
      </c>
      <c r="Z30" s="134">
        <v>-3.0257999999999998</v>
      </c>
      <c r="AA30" s="134">
        <v>-151.28960000000001</v>
      </c>
      <c r="AB30" s="136">
        <v>0.59599999999999997</v>
      </c>
      <c r="AC30" s="113">
        <f t="shared" ref="AC30:AC31" si="23">(ABS(S30)+ABS(X30))/2</f>
        <v>9.1000000000000004E-3</v>
      </c>
      <c r="AD30" s="139"/>
      <c r="AE30" s="262">
        <v>21.81508098803301</v>
      </c>
      <c r="AF30" s="262">
        <v>24.082797504036712</v>
      </c>
      <c r="AG30" s="262">
        <v>2.6378153311556094</v>
      </c>
      <c r="AH30" s="262">
        <v>2.3946843545189198</v>
      </c>
      <c r="AI30" s="262">
        <v>-0.99399249344964069</v>
      </c>
      <c r="AJ30" s="262">
        <v>0</v>
      </c>
      <c r="AK30" s="262">
        <v>-0.64189608168017998</v>
      </c>
      <c r="AL30" s="262">
        <v>-3.620038623688</v>
      </c>
      <c r="AM30" s="262">
        <v>-9.7126931211475913</v>
      </c>
      <c r="AN30" s="262">
        <v>-11.946442625725989</v>
      </c>
      <c r="AO30" s="262">
        <v>-9.1614281462862905</v>
      </c>
      <c r="AP30" s="107">
        <f>SLOPE(AE30:AO30,AE21:AO21)</f>
        <v>0.31611671008381936</v>
      </c>
      <c r="AQ30" s="107">
        <f>SLOPE(AE30:AJ30,AE21:AJ21)</f>
        <v>0.52728258831217367</v>
      </c>
      <c r="AR30" s="137">
        <f>SLOPE(AJ30:AO30,AJ21:AO21)</f>
        <v>0.24518124246008133</v>
      </c>
      <c r="AS30" s="139"/>
      <c r="AT30" s="149">
        <v>0</v>
      </c>
      <c r="AU30" s="149">
        <v>0</v>
      </c>
      <c r="AV30" s="149">
        <v>0</v>
      </c>
      <c r="AW30" s="149">
        <v>0</v>
      </c>
      <c r="AX30" s="149">
        <f t="shared" ref="AX30:AX35" si="24">AVERAGE(AW30,AT30)</f>
        <v>0</v>
      </c>
      <c r="AY30" s="149">
        <f t="shared" ref="AY30:AY35" si="25">AVERAGE(AV30,AU30)</f>
        <v>0</v>
      </c>
      <c r="AZ30" s="150">
        <f t="shared" ref="AZ30:AZ35" si="26">AVERAGE(AV30,AW30,AT30,AU30)</f>
        <v>0</v>
      </c>
    </row>
    <row r="31" spans="1:52" x14ac:dyDescent="0.5">
      <c r="A31" s="247">
        <v>2</v>
      </c>
      <c r="B31" s="248"/>
      <c r="C31" s="248" t="s">
        <v>96</v>
      </c>
      <c r="D31" s="248" t="s">
        <v>94</v>
      </c>
      <c r="E31" s="248" t="s">
        <v>4</v>
      </c>
      <c r="F31" s="249">
        <v>43615</v>
      </c>
      <c r="G31" s="246">
        <v>0</v>
      </c>
      <c r="H31" s="250">
        <v>1</v>
      </c>
      <c r="I31" s="246" t="s">
        <v>187</v>
      </c>
      <c r="J31" s="261">
        <v>33</v>
      </c>
      <c r="K31" s="139"/>
      <c r="L31" s="203">
        <v>0.09</v>
      </c>
      <c r="M31" s="114">
        <v>31.32</v>
      </c>
      <c r="N31" s="204">
        <v>0.11</v>
      </c>
      <c r="O31" s="114">
        <v>-77.22</v>
      </c>
      <c r="P31" s="204">
        <v>0.14000000000000001</v>
      </c>
      <c r="Q31" s="114">
        <v>99.72</v>
      </c>
      <c r="R31" s="139"/>
      <c r="S31" s="134">
        <v>-4.4299999999999999E-2</v>
      </c>
      <c r="T31" s="134">
        <v>5.8999999999999999E-3</v>
      </c>
      <c r="U31" s="134">
        <v>1.875</v>
      </c>
      <c r="V31" s="134">
        <v>93.747900000000001</v>
      </c>
      <c r="W31" s="134">
        <v>5.6399999999999999E-2</v>
      </c>
      <c r="X31" s="135">
        <v>-5.2699999999999997E-2</v>
      </c>
      <c r="Y31" s="134">
        <v>7.7000000000000002E-3</v>
      </c>
      <c r="Z31" s="134">
        <v>-1.0438000000000001</v>
      </c>
      <c r="AA31" s="134">
        <v>-52.191600000000001</v>
      </c>
      <c r="AB31" s="136">
        <v>8.6400000000000005E-2</v>
      </c>
      <c r="AC31" s="113">
        <f t="shared" si="23"/>
        <v>4.8500000000000001E-2</v>
      </c>
      <c r="AD31" s="139"/>
      <c r="AE31" s="262">
        <v>35.421639771214501</v>
      </c>
      <c r="AF31" s="262">
        <v>32.734714542856601</v>
      </c>
      <c r="AG31" s="262">
        <v>33.879321659564901</v>
      </c>
      <c r="AH31" s="262">
        <v>34.491042122547697</v>
      </c>
      <c r="AI31" s="262">
        <v>13.514411663230183</v>
      </c>
      <c r="AJ31" s="262">
        <v>0</v>
      </c>
      <c r="AK31" s="262">
        <v>-0.9885645555667999</v>
      </c>
      <c r="AL31" s="262">
        <v>4.0531322100640388</v>
      </c>
      <c r="AM31" s="262">
        <v>-0.86441467147640161</v>
      </c>
      <c r="AN31" s="262">
        <v>9.5497983574808885</v>
      </c>
      <c r="AO31" s="262">
        <v>5.0982454257837491</v>
      </c>
      <c r="AP31" s="107">
        <f>SLOPE(AE31:AO31,AE21:AO21)</f>
        <v>0.38542421955049533</v>
      </c>
      <c r="AQ31" s="107">
        <f>SLOPE(AE31:AJ31,AE21:AJ21)</f>
        <v>0.66902110580562557</v>
      </c>
      <c r="AR31" s="137">
        <f>SLOPE(AJ31:AO31,AJ21:AO21)</f>
        <v>-0.14911076853291821</v>
      </c>
      <c r="AS31" s="139"/>
      <c r="AT31" s="149">
        <v>0</v>
      </c>
      <c r="AU31" s="149">
        <v>0</v>
      </c>
      <c r="AV31" s="149">
        <v>0</v>
      </c>
      <c r="AW31" s="149">
        <v>0</v>
      </c>
      <c r="AX31" s="149">
        <f t="shared" si="24"/>
        <v>0</v>
      </c>
      <c r="AY31" s="149">
        <f t="shared" si="25"/>
        <v>0</v>
      </c>
      <c r="AZ31" s="150">
        <f t="shared" si="26"/>
        <v>0</v>
      </c>
    </row>
    <row r="32" spans="1:52" x14ac:dyDescent="0.5">
      <c r="A32" s="247">
        <v>3</v>
      </c>
      <c r="B32" s="116">
        <v>4084374</v>
      </c>
      <c r="C32" s="248" t="s">
        <v>100</v>
      </c>
      <c r="D32" s="248" t="s">
        <v>99</v>
      </c>
      <c r="E32" s="248" t="s">
        <v>62</v>
      </c>
      <c r="F32" s="249">
        <v>43812</v>
      </c>
      <c r="G32" s="246">
        <v>0</v>
      </c>
      <c r="H32" s="250">
        <v>1</v>
      </c>
      <c r="I32" s="246" t="s">
        <v>187</v>
      </c>
      <c r="J32" s="261">
        <v>22</v>
      </c>
      <c r="K32" s="139"/>
      <c r="L32" s="205">
        <v>0.01</v>
      </c>
      <c r="M32" s="114">
        <v>55.94400000000001</v>
      </c>
      <c r="N32" s="205">
        <v>0</v>
      </c>
      <c r="O32" s="114">
        <v>-94.14</v>
      </c>
      <c r="P32" s="205">
        <v>0.04</v>
      </c>
      <c r="Q32" s="114">
        <v>63.72</v>
      </c>
      <c r="R32" s="139"/>
      <c r="S32" s="156">
        <v>-8.8999999999999999E-3</v>
      </c>
      <c r="T32" s="156">
        <v>1.38E-2</v>
      </c>
      <c r="U32" s="156">
        <v>1.5142</v>
      </c>
      <c r="V32" s="156">
        <v>75.709100000000007</v>
      </c>
      <c r="W32" s="156">
        <v>0.40849999999999997</v>
      </c>
      <c r="X32" s="156">
        <v>1.9E-3</v>
      </c>
      <c r="Y32" s="156">
        <v>5.7999999999999996E-3</v>
      </c>
      <c r="Z32" s="156">
        <v>-2.2831000000000001</v>
      </c>
      <c r="AA32" s="156">
        <v>-114.1563</v>
      </c>
      <c r="AB32" s="156">
        <v>6.5699999999999995E-2</v>
      </c>
      <c r="AC32" s="113">
        <f>(ABS(S32)+ABS(X32))/2</f>
        <v>5.4000000000000003E-3</v>
      </c>
      <c r="AD32" s="139"/>
      <c r="AE32" s="262">
        <v>21.746452286970904</v>
      </c>
      <c r="AF32" s="262">
        <v>-12.9551617404542</v>
      </c>
      <c r="AG32" s="262">
        <v>1.8660655576323002</v>
      </c>
      <c r="AH32" s="262">
        <v>2.2662881751796</v>
      </c>
      <c r="AI32" s="262">
        <v>-3.1934874714893979</v>
      </c>
      <c r="AJ32" s="262">
        <v>0</v>
      </c>
      <c r="AK32" s="262">
        <v>0.63384233164419967</v>
      </c>
      <c r="AL32" s="262">
        <v>-3.0073734537629981</v>
      </c>
      <c r="AM32" s="262">
        <v>-48.840290916401798</v>
      </c>
      <c r="AN32" s="262">
        <v>-58.714632520119096</v>
      </c>
      <c r="AO32" s="262">
        <v>3.1233391967007016</v>
      </c>
      <c r="AP32" s="107">
        <f>SLOPE(AE32:AO32,AE21:AO21)</f>
        <v>0.39544773767896779</v>
      </c>
      <c r="AQ32" s="107">
        <f>SLOPE(AE32:AJ32,AE21:AJ21)</f>
        <v>0.22584861717260804</v>
      </c>
      <c r="AR32" s="137">
        <f>SLOPE(AJ32:AO32,AJ21:AO21)</f>
        <v>0.59503327438407205</v>
      </c>
      <c r="AS32" s="139"/>
      <c r="AT32" s="149">
        <v>0</v>
      </c>
      <c r="AU32" s="149">
        <v>0</v>
      </c>
      <c r="AV32" s="149">
        <v>0</v>
      </c>
      <c r="AW32" s="149">
        <v>0</v>
      </c>
      <c r="AX32" s="149">
        <f t="shared" si="24"/>
        <v>0</v>
      </c>
      <c r="AY32" s="149">
        <f t="shared" si="25"/>
        <v>0</v>
      </c>
      <c r="AZ32" s="150">
        <f t="shared" si="26"/>
        <v>0</v>
      </c>
    </row>
    <row r="33" spans="1:52" x14ac:dyDescent="0.5">
      <c r="A33" s="247">
        <v>4</v>
      </c>
      <c r="B33" s="248"/>
      <c r="C33" s="248" t="s">
        <v>188</v>
      </c>
      <c r="D33" s="248" t="s">
        <v>99</v>
      </c>
      <c r="E33" s="248" t="s">
        <v>62</v>
      </c>
      <c r="F33" s="249">
        <v>43812</v>
      </c>
      <c r="G33" s="246">
        <v>0</v>
      </c>
      <c r="H33" s="250">
        <v>1</v>
      </c>
      <c r="I33" s="246" t="s">
        <v>187</v>
      </c>
      <c r="J33" s="261">
        <v>31</v>
      </c>
      <c r="K33" s="139"/>
      <c r="L33" s="205">
        <v>0.09</v>
      </c>
      <c r="M33" s="114">
        <v>32.4</v>
      </c>
      <c r="N33" s="205">
        <v>0.13</v>
      </c>
      <c r="O33" s="114">
        <v>-48.06</v>
      </c>
      <c r="P33" s="205">
        <v>0.31</v>
      </c>
      <c r="Q33" s="114">
        <v>36.36</v>
      </c>
      <c r="R33" s="139"/>
      <c r="S33" s="156">
        <v>-5.7500000000000002E-2</v>
      </c>
      <c r="T33" s="156">
        <v>9.1999999999999998E-3</v>
      </c>
      <c r="U33" s="156">
        <v>-2.1322000000000001</v>
      </c>
      <c r="V33" s="156">
        <v>-106.6123</v>
      </c>
      <c r="W33" s="156">
        <v>8.7499999999999994E-2</v>
      </c>
      <c r="X33" s="156">
        <v>-4.6800000000000001E-2</v>
      </c>
      <c r="Y33" s="156">
        <v>2.07E-2</v>
      </c>
      <c r="Z33" s="156">
        <v>-2.0531000000000001</v>
      </c>
      <c r="AA33" s="156">
        <v>-102.6537</v>
      </c>
      <c r="AB33" s="156">
        <v>0.51890000000000003</v>
      </c>
      <c r="AC33" s="113">
        <f t="shared" ref="AC33:AC35" si="27">(ABS(S33)+ABS(X33))/2</f>
        <v>5.2150000000000002E-2</v>
      </c>
      <c r="AD33" s="139"/>
      <c r="AE33" s="262">
        <v>35.891063670121099</v>
      </c>
      <c r="AF33" s="262">
        <v>31.887303605760501</v>
      </c>
      <c r="AG33" s="262">
        <v>32.995362443133402</v>
      </c>
      <c r="AH33" s="262">
        <v>16.585217939097411</v>
      </c>
      <c r="AI33" s="262">
        <v>-1.8326224951176009</v>
      </c>
      <c r="AJ33" s="262">
        <v>0</v>
      </c>
      <c r="AK33" s="262">
        <v>-1.0589209909615995</v>
      </c>
      <c r="AL33" s="262">
        <v>12.072111986529935</v>
      </c>
      <c r="AM33" s="262">
        <v>-1.7102567353691995</v>
      </c>
      <c r="AN33" s="262">
        <v>3.734105368945789</v>
      </c>
      <c r="AO33" s="262">
        <v>2.2233758069936407</v>
      </c>
      <c r="AP33" s="107">
        <f>SLOPE(AE33:AO33,AE21:AO21)</f>
        <v>0.35756418199943901</v>
      </c>
      <c r="AQ33" s="107">
        <f>SLOPE(AE33:AJ33,AE21:AJ21)</f>
        <v>0.84864354616364512</v>
      </c>
      <c r="AR33" s="137">
        <f>SLOPE(AJ33:AO33,AJ21:AO21)</f>
        <v>-3.3467398265117812E-2</v>
      </c>
      <c r="AS33" s="139"/>
      <c r="AT33" s="149">
        <v>0</v>
      </c>
      <c r="AU33" s="149">
        <v>0</v>
      </c>
      <c r="AV33" s="149">
        <v>0</v>
      </c>
      <c r="AW33" s="149">
        <v>0</v>
      </c>
      <c r="AX33" s="149">
        <f t="shared" si="24"/>
        <v>0</v>
      </c>
      <c r="AY33" s="149">
        <f t="shared" si="25"/>
        <v>0</v>
      </c>
      <c r="AZ33" s="150">
        <f t="shared" si="26"/>
        <v>0</v>
      </c>
    </row>
    <row r="34" spans="1:52" x14ac:dyDescent="0.5">
      <c r="A34" s="247">
        <v>5</v>
      </c>
      <c r="B34" s="116" t="s">
        <v>18</v>
      </c>
      <c r="C34" s="248" t="s">
        <v>97</v>
      </c>
      <c r="D34" s="248" t="s">
        <v>99</v>
      </c>
      <c r="E34" s="248" t="s">
        <v>62</v>
      </c>
      <c r="F34" s="249">
        <v>43784</v>
      </c>
      <c r="G34" s="246">
        <v>0</v>
      </c>
      <c r="H34" s="250">
        <v>1</v>
      </c>
      <c r="I34" s="246" t="s">
        <v>187</v>
      </c>
      <c r="J34" s="261">
        <v>6</v>
      </c>
      <c r="K34" s="139"/>
      <c r="L34" s="205">
        <v>0.02</v>
      </c>
      <c r="M34" s="114">
        <v>21.888000000000002</v>
      </c>
      <c r="N34" s="205">
        <v>0.04</v>
      </c>
      <c r="O34" s="114">
        <v>25.92</v>
      </c>
      <c r="P34" s="205">
        <v>0.12</v>
      </c>
      <c r="Q34" s="114">
        <v>2.88</v>
      </c>
      <c r="R34" s="139"/>
      <c r="S34" s="156">
        <v>5.4000000000000003E-3</v>
      </c>
      <c r="T34" s="156">
        <v>6.1699999999999998E-2</v>
      </c>
      <c r="U34" s="156">
        <v>1.8133999999999999</v>
      </c>
      <c r="V34" s="156">
        <v>90.671199999999999</v>
      </c>
      <c r="W34" s="156">
        <v>0.66300000000000003</v>
      </c>
      <c r="X34" s="156">
        <v>-4.1000000000000003E-3</v>
      </c>
      <c r="Y34" s="156">
        <v>5.57E-2</v>
      </c>
      <c r="Z34" s="156">
        <v>-2.7761999999999998</v>
      </c>
      <c r="AA34" s="156">
        <v>-138.8099</v>
      </c>
      <c r="AB34" s="156">
        <v>0.73160000000000003</v>
      </c>
      <c r="AC34" s="113">
        <f t="shared" si="27"/>
        <v>4.7500000000000007E-3</v>
      </c>
      <c r="AD34" s="139"/>
      <c r="AE34" s="155">
        <v>28.718559179084878</v>
      </c>
      <c r="AF34" s="149">
        <v>18.937413478049905</v>
      </c>
      <c r="AG34" s="149">
        <v>17.844641247871554</v>
      </c>
      <c r="AH34" s="149">
        <v>13.934308147835909</v>
      </c>
      <c r="AI34" s="149">
        <v>1.8735773007933858</v>
      </c>
      <c r="AJ34" s="149">
        <v>0</v>
      </c>
      <c r="AK34" s="149">
        <v>-0.51388482414109493</v>
      </c>
      <c r="AL34" s="149">
        <v>2.3744580297857438</v>
      </c>
      <c r="AM34" s="149">
        <v>-15.281913861098747</v>
      </c>
      <c r="AN34" s="149">
        <v>-14.344292854854601</v>
      </c>
      <c r="AO34" s="149">
        <v>0.3208830707979502</v>
      </c>
      <c r="AP34" s="107">
        <f>SLOPE(AE34:AO34,AE21:AO21)</f>
        <v>0.36363821232818033</v>
      </c>
      <c r="AQ34" s="107">
        <f>SLOPE(AE34:AJ34,AE21:AJ21)</f>
        <v>0.56769896436351308</v>
      </c>
      <c r="AR34" s="137">
        <f>SLOPE(AJ34:AO34,AJ21:AO21)</f>
        <v>0.16440908751152927</v>
      </c>
      <c r="AS34" s="139"/>
      <c r="AT34" s="149">
        <v>0</v>
      </c>
      <c r="AU34" s="149">
        <v>0</v>
      </c>
      <c r="AV34" s="149">
        <v>0</v>
      </c>
      <c r="AW34" s="149">
        <v>0</v>
      </c>
      <c r="AX34" s="149">
        <f t="shared" si="24"/>
        <v>0</v>
      </c>
      <c r="AY34" s="149">
        <f t="shared" si="25"/>
        <v>0</v>
      </c>
      <c r="AZ34" s="150">
        <f t="shared" si="26"/>
        <v>0</v>
      </c>
    </row>
    <row r="35" spans="1:52" ht="14.7" thickBot="1" x14ac:dyDescent="0.55000000000000004">
      <c r="A35" s="247">
        <v>6</v>
      </c>
      <c r="B35" s="248"/>
      <c r="C35" s="248" t="s">
        <v>98</v>
      </c>
      <c r="D35" s="248" t="s">
        <v>99</v>
      </c>
      <c r="E35" s="248" t="s">
        <v>62</v>
      </c>
      <c r="F35" s="249">
        <v>43812</v>
      </c>
      <c r="G35" s="246">
        <v>0</v>
      </c>
      <c r="H35" s="250">
        <v>1</v>
      </c>
      <c r="I35" s="246" t="s">
        <v>187</v>
      </c>
      <c r="J35" s="261">
        <v>11</v>
      </c>
      <c r="K35" s="139"/>
      <c r="L35" s="205">
        <v>0.01</v>
      </c>
      <c r="M35" s="114">
        <v>27.504000000000005</v>
      </c>
      <c r="N35" s="205">
        <v>0.11</v>
      </c>
      <c r="O35" s="114">
        <v>67.319999999999993</v>
      </c>
      <c r="P35" s="205">
        <v>0.08</v>
      </c>
      <c r="Q35" s="114">
        <v>8.64</v>
      </c>
      <c r="R35" s="139"/>
      <c r="S35" s="156">
        <v>6.4999999999999997E-3</v>
      </c>
      <c r="T35" s="156">
        <v>1.0800000000000001E-2</v>
      </c>
      <c r="U35" s="156">
        <v>6.3799999999999996E-2</v>
      </c>
      <c r="V35" s="156">
        <v>3.1917</v>
      </c>
      <c r="W35" s="156">
        <v>0.2712</v>
      </c>
      <c r="X35" s="156">
        <v>-2.0999999999999999E-3</v>
      </c>
      <c r="Y35" s="156">
        <v>2.3900000000000001E-2</v>
      </c>
      <c r="Z35" s="156">
        <v>-2.3725000000000001</v>
      </c>
      <c r="AA35" s="156">
        <v>-118.6254</v>
      </c>
      <c r="AB35" s="156">
        <v>0.84470000000000001</v>
      </c>
      <c r="AC35" s="113">
        <f t="shared" si="27"/>
        <v>4.3E-3</v>
      </c>
      <c r="AD35" s="139"/>
      <c r="AE35" s="155">
        <v>28.718559179084878</v>
      </c>
      <c r="AF35" s="149">
        <v>18.937413478049905</v>
      </c>
      <c r="AG35" s="149">
        <v>17.844641247871554</v>
      </c>
      <c r="AH35" s="149">
        <v>13.93430814783591</v>
      </c>
      <c r="AI35" s="149">
        <v>1.8735773007933858</v>
      </c>
      <c r="AJ35" s="149">
        <v>0</v>
      </c>
      <c r="AK35" s="149">
        <v>-0.51388482414109493</v>
      </c>
      <c r="AL35" s="149">
        <v>2.3744580297857438</v>
      </c>
      <c r="AM35" s="149">
        <v>-15.281913861098747</v>
      </c>
      <c r="AN35" s="149">
        <v>-14.344292854854601</v>
      </c>
      <c r="AO35" s="149">
        <v>0.3208830707979502</v>
      </c>
      <c r="AP35" s="107">
        <f>SLOPE(AE35:AO35,AE21:AO21)</f>
        <v>0.36363821232818033</v>
      </c>
      <c r="AQ35" s="107">
        <f>SLOPE(AE35:AJ35,AE21:AJ21)</f>
        <v>0.56769896436351308</v>
      </c>
      <c r="AR35" s="137">
        <f>SLOPE(AJ35:AO35,AJ21:AO21)</f>
        <v>0.16440908751152927</v>
      </c>
      <c r="AS35" s="139"/>
      <c r="AT35" s="149">
        <v>0</v>
      </c>
      <c r="AU35" s="149">
        <v>0</v>
      </c>
      <c r="AV35" s="149">
        <v>0</v>
      </c>
      <c r="AW35" s="149">
        <v>0</v>
      </c>
      <c r="AX35" s="149">
        <f t="shared" si="24"/>
        <v>0</v>
      </c>
      <c r="AY35" s="149">
        <f t="shared" si="25"/>
        <v>0</v>
      </c>
      <c r="AZ35" s="150">
        <f t="shared" si="26"/>
        <v>0</v>
      </c>
    </row>
    <row r="36" spans="1:52" x14ac:dyDescent="0.5">
      <c r="A36" s="252" t="s">
        <v>118</v>
      </c>
      <c r="B36" s="253"/>
      <c r="C36" s="253"/>
      <c r="D36" s="253"/>
      <c r="E36" s="253"/>
      <c r="F36" s="253"/>
      <c r="G36" s="253"/>
      <c r="H36" s="253"/>
      <c r="I36" s="108"/>
      <c r="J36" s="209">
        <f t="shared" ref="J36:AQ36" si="28">AVERAGE(J30:J35)</f>
        <v>19.166666666666668</v>
      </c>
      <c r="K36" s="140"/>
      <c r="L36" s="108">
        <f t="shared" si="28"/>
        <v>4.3333333333333335E-2</v>
      </c>
      <c r="M36" s="108">
        <v>28.763999999999999</v>
      </c>
      <c r="N36" s="108">
        <f t="shared" si="28"/>
        <v>8.666666666666667E-2</v>
      </c>
      <c r="O36" s="108">
        <v>-18.72</v>
      </c>
      <c r="P36" s="108">
        <f t="shared" si="28"/>
        <v>0.16500000000000001</v>
      </c>
      <c r="Q36" s="108">
        <v>30.48</v>
      </c>
      <c r="R36" s="140"/>
      <c r="S36" s="108">
        <f>ABS(AVERAGE(S30:S35))</f>
        <v>1.8566666666666665E-2</v>
      </c>
      <c r="T36" s="108">
        <f t="shared" si="28"/>
        <v>1.9516666666666668E-2</v>
      </c>
      <c r="U36" s="108">
        <f t="shared" si="28"/>
        <v>0.96839999999999982</v>
      </c>
      <c r="V36" s="108">
        <f t="shared" si="28"/>
        <v>48.419566666666668</v>
      </c>
      <c r="W36" s="108">
        <f t="shared" si="28"/>
        <v>0.31184999999999996</v>
      </c>
      <c r="X36" s="108">
        <f>ABS(AVERAGE(X30:X35))</f>
        <v>1.8233333333333334E-2</v>
      </c>
      <c r="Y36" s="108">
        <f t="shared" si="28"/>
        <v>2.4150000000000001E-2</v>
      </c>
      <c r="Z36" s="108">
        <f t="shared" si="28"/>
        <v>-2.2590833333333333</v>
      </c>
      <c r="AA36" s="108">
        <f t="shared" si="28"/>
        <v>-112.95441666666666</v>
      </c>
      <c r="AB36" s="108">
        <f t="shared" si="28"/>
        <v>0.47388333333333338</v>
      </c>
      <c r="AC36" s="108">
        <f t="shared" si="28"/>
        <v>2.07E-2</v>
      </c>
      <c r="AD36" s="140"/>
      <c r="AE36" s="148">
        <f t="shared" si="28"/>
        <v>28.718559179084878</v>
      </c>
      <c r="AF36" s="108">
        <f t="shared" si="28"/>
        <v>18.937413478049905</v>
      </c>
      <c r="AG36" s="108">
        <f t="shared" si="28"/>
        <v>17.844641247871554</v>
      </c>
      <c r="AH36" s="108">
        <f t="shared" si="28"/>
        <v>13.934308147835909</v>
      </c>
      <c r="AI36" s="108">
        <f t="shared" si="28"/>
        <v>1.8735773007933858</v>
      </c>
      <c r="AJ36" s="108">
        <f t="shared" si="28"/>
        <v>0</v>
      </c>
      <c r="AK36" s="108">
        <f t="shared" si="28"/>
        <v>-0.51388482414109493</v>
      </c>
      <c r="AL36" s="108">
        <f t="shared" si="28"/>
        <v>2.3744580297857438</v>
      </c>
      <c r="AM36" s="108">
        <f t="shared" si="28"/>
        <v>-15.281913861098745</v>
      </c>
      <c r="AN36" s="108">
        <f t="shared" si="28"/>
        <v>-14.344292854854601</v>
      </c>
      <c r="AO36" s="108">
        <f t="shared" si="28"/>
        <v>0.3208830707979502</v>
      </c>
      <c r="AP36" s="108">
        <f t="shared" si="28"/>
        <v>0.36363821232818033</v>
      </c>
      <c r="AQ36" s="108">
        <f t="shared" si="28"/>
        <v>0.56769896436351308</v>
      </c>
      <c r="AR36" s="108">
        <f>AVERAGE(AR30:AR35)</f>
        <v>0.16440908751152933</v>
      </c>
      <c r="AS36" s="140"/>
      <c r="AT36" s="108">
        <f>AVERAGE(AT30:AT35)</f>
        <v>0</v>
      </c>
      <c r="AU36" s="108">
        <f>AVERAGE(AU30:AU35)</f>
        <v>0</v>
      </c>
      <c r="AV36" s="108">
        <f>AVERAGE(AV30:AV35)</f>
        <v>0</v>
      </c>
      <c r="AW36" s="108">
        <f>AVERAGE(AW30:AW35)</f>
        <v>0</v>
      </c>
      <c r="AX36" s="108">
        <f t="shared" ref="AX36:AZ36" si="29">AVERAGE(AX30:AX35)</f>
        <v>0</v>
      </c>
      <c r="AY36" s="108">
        <f>AVERAGE(AY30:AY35)</f>
        <v>0</v>
      </c>
      <c r="AZ36" s="132">
        <f t="shared" si="29"/>
        <v>0</v>
      </c>
    </row>
    <row r="37" spans="1:52" ht="14.7" thickBot="1" x14ac:dyDescent="0.55000000000000004">
      <c r="A37" s="263" t="s">
        <v>78</v>
      </c>
      <c r="B37" s="255"/>
      <c r="C37" s="255"/>
      <c r="D37" s="255"/>
      <c r="E37" s="255"/>
      <c r="F37" s="255"/>
      <c r="G37" s="255"/>
      <c r="H37" s="255"/>
      <c r="I37" s="109"/>
      <c r="J37" s="109">
        <f>_xlfn.STDEV.S(J30:J35)</f>
        <v>11.232393630329499</v>
      </c>
      <c r="K37" s="109" t="e">
        <f t="shared" ref="K37:AZ37" si="30">_xlfn.STDEV.S(K30:K35)</f>
        <v>#DIV/0!</v>
      </c>
      <c r="L37" s="109">
        <f t="shared" si="30"/>
        <v>3.7771241264574117E-2</v>
      </c>
      <c r="M37" s="109">
        <v>16.995462359112217</v>
      </c>
      <c r="N37" s="109">
        <f t="shared" si="30"/>
        <v>5.3913510984415269E-2</v>
      </c>
      <c r="O37" s="109">
        <v>63.919214012689473</v>
      </c>
      <c r="P37" s="109">
        <f t="shared" si="30"/>
        <v>0.11379806676741042</v>
      </c>
      <c r="Q37" s="109">
        <v>46.138837436589149</v>
      </c>
      <c r="R37" s="109" t="e">
        <f t="shared" si="30"/>
        <v>#DIV/0!</v>
      </c>
      <c r="S37" s="109">
        <f t="shared" si="30"/>
        <v>2.6494502574433563E-2</v>
      </c>
      <c r="T37" s="109">
        <f t="shared" si="30"/>
        <v>2.0949980111366853E-2</v>
      </c>
      <c r="U37" s="109">
        <f t="shared" si="30"/>
        <v>1.7425526425333613</v>
      </c>
      <c r="V37" s="109">
        <f t="shared" si="30"/>
        <v>87.128076422876831</v>
      </c>
      <c r="W37" s="109">
        <f t="shared" si="30"/>
        <v>0.22590511946390243</v>
      </c>
      <c r="X37" s="109">
        <f t="shared" si="30"/>
        <v>2.4612977606674621E-2</v>
      </c>
      <c r="Y37" s="109">
        <f t="shared" si="30"/>
        <v>1.8237296948835371E-2</v>
      </c>
      <c r="Z37" s="109">
        <f t="shared" si="30"/>
        <v>0.69109289510648908</v>
      </c>
      <c r="AA37" s="109">
        <f t="shared" si="30"/>
        <v>34.554077988649404</v>
      </c>
      <c r="AB37" s="109">
        <f t="shared" si="30"/>
        <v>0.32790816651414262</v>
      </c>
      <c r="AC37" s="109">
        <f t="shared" si="30"/>
        <v>2.3038901883553394E-2</v>
      </c>
      <c r="AD37" s="109" t="e">
        <f t="shared" si="30"/>
        <v>#DIV/0!</v>
      </c>
      <c r="AE37" s="109">
        <f t="shared" si="30"/>
        <v>6.2071635349475418</v>
      </c>
      <c r="AF37" s="109">
        <f t="shared" si="30"/>
        <v>16.743216547817294</v>
      </c>
      <c r="AG37" s="109">
        <f t="shared" si="30"/>
        <v>13.95147135030358</v>
      </c>
      <c r="AH37" s="109">
        <f t="shared" si="30"/>
        <v>11.822962757296239</v>
      </c>
      <c r="AI37" s="109">
        <f t="shared" si="30"/>
        <v>6.0521573593597866</v>
      </c>
      <c r="AJ37" s="109">
        <f t="shared" si="30"/>
        <v>0</v>
      </c>
      <c r="AK37" s="109">
        <f t="shared" si="30"/>
        <v>0.60927001842409889</v>
      </c>
      <c r="AL37" s="109">
        <f t="shared" si="30"/>
        <v>5.6878913406307898</v>
      </c>
      <c r="AM37" s="109">
        <f t="shared" si="30"/>
        <v>17.602471702901948</v>
      </c>
      <c r="AN37" s="109">
        <f t="shared" si="30"/>
        <v>23.967614837250675</v>
      </c>
      <c r="AO37" s="109">
        <f t="shared" si="30"/>
        <v>4.9841881191898105</v>
      </c>
      <c r="AP37" s="109">
        <f t="shared" si="30"/>
        <v>2.7501501899817853E-2</v>
      </c>
      <c r="AQ37" s="109">
        <f t="shared" si="30"/>
        <v>0.20380931171903424</v>
      </c>
      <c r="AR37" s="109">
        <f t="shared" si="30"/>
        <v>0.25667533387223562</v>
      </c>
      <c r="AS37" s="109" t="e">
        <f t="shared" si="30"/>
        <v>#DIV/0!</v>
      </c>
      <c r="AT37" s="109">
        <f t="shared" si="30"/>
        <v>0</v>
      </c>
      <c r="AU37" s="109">
        <f t="shared" si="30"/>
        <v>0</v>
      </c>
      <c r="AV37" s="109">
        <f t="shared" si="30"/>
        <v>0</v>
      </c>
      <c r="AW37" s="109">
        <f t="shared" si="30"/>
        <v>0</v>
      </c>
      <c r="AX37" s="109">
        <f t="shared" si="30"/>
        <v>0</v>
      </c>
      <c r="AY37" s="109">
        <f t="shared" si="30"/>
        <v>0</v>
      </c>
      <c r="AZ37" s="109">
        <f t="shared" si="30"/>
        <v>0</v>
      </c>
    </row>
    <row r="38" spans="1:52" s="256" customFormat="1" x14ac:dyDescent="0.5">
      <c r="J38" s="264"/>
      <c r="K38" s="257"/>
      <c r="R38" s="257"/>
      <c r="AD38" s="257"/>
      <c r="AS38" s="257"/>
    </row>
    <row r="39" spans="1:52" s="256" customFormat="1" x14ac:dyDescent="0.5">
      <c r="J39" s="264"/>
      <c r="K39" s="257"/>
      <c r="R39" s="257"/>
      <c r="AD39" s="257"/>
      <c r="AS39" s="257"/>
    </row>
    <row r="40" spans="1:52" s="256" customFormat="1" ht="14.7" thickBot="1" x14ac:dyDescent="0.55000000000000004">
      <c r="J40" s="264"/>
      <c r="K40" s="257"/>
      <c r="R40" s="257"/>
      <c r="AD40" s="257"/>
      <c r="AS40" s="257"/>
    </row>
    <row r="41" spans="1:52" ht="14.7" thickBot="1" x14ac:dyDescent="0.55000000000000004">
      <c r="A41" s="219"/>
      <c r="B41" s="220" t="s">
        <v>12</v>
      </c>
      <c r="C41" s="220" t="s">
        <v>85</v>
      </c>
      <c r="D41" s="220" t="s">
        <v>84</v>
      </c>
      <c r="E41" s="220" t="s">
        <v>3</v>
      </c>
      <c r="F41" s="220" t="s">
        <v>0</v>
      </c>
      <c r="G41" s="221" t="s">
        <v>7</v>
      </c>
      <c r="H41" s="222" t="s">
        <v>8</v>
      </c>
      <c r="I41" s="221" t="s">
        <v>153</v>
      </c>
      <c r="J41" s="265" t="s">
        <v>156</v>
      </c>
      <c r="K41" s="141"/>
      <c r="L41" s="223" t="s">
        <v>139</v>
      </c>
      <c r="M41" s="221"/>
      <c r="N41" s="221" t="s">
        <v>140</v>
      </c>
      <c r="O41" s="221"/>
      <c r="P41" s="221" t="s">
        <v>141</v>
      </c>
      <c r="Q41" s="221"/>
      <c r="R41" s="141"/>
      <c r="S41" s="143" t="s">
        <v>142</v>
      </c>
      <c r="T41" s="145" t="s">
        <v>108</v>
      </c>
      <c r="U41" s="145" t="s">
        <v>109</v>
      </c>
      <c r="V41" s="145" t="s">
        <v>104</v>
      </c>
      <c r="W41" s="146" t="s">
        <v>103</v>
      </c>
      <c r="X41" s="143" t="s">
        <v>143</v>
      </c>
      <c r="Y41" s="145" t="s">
        <v>108</v>
      </c>
      <c r="Z41" s="145" t="s">
        <v>109</v>
      </c>
      <c r="AA41" s="145" t="s">
        <v>104</v>
      </c>
      <c r="AB41" s="152" t="s">
        <v>103</v>
      </c>
      <c r="AC41" s="153" t="s">
        <v>144</v>
      </c>
      <c r="AD41" s="141"/>
      <c r="AE41" s="143">
        <v>50</v>
      </c>
      <c r="AF41" s="144">
        <v>40</v>
      </c>
      <c r="AG41" s="145">
        <v>30</v>
      </c>
      <c r="AH41" s="145">
        <v>20</v>
      </c>
      <c r="AI41" s="145">
        <v>10</v>
      </c>
      <c r="AJ41" s="145">
        <v>0</v>
      </c>
      <c r="AK41" s="145">
        <v>-10</v>
      </c>
      <c r="AL41" s="145">
        <v>-20</v>
      </c>
      <c r="AM41" s="145">
        <v>-30</v>
      </c>
      <c r="AN41" s="146">
        <v>-40</v>
      </c>
      <c r="AO41" s="146">
        <v>-50</v>
      </c>
      <c r="AP41" s="151" t="s">
        <v>145</v>
      </c>
      <c r="AQ41" s="151" t="s">
        <v>146</v>
      </c>
      <c r="AR41" s="151" t="s">
        <v>147</v>
      </c>
      <c r="AS41" s="141"/>
      <c r="AT41" s="258" t="s">
        <v>150</v>
      </c>
      <c r="AU41" s="258" t="s">
        <v>151</v>
      </c>
      <c r="AV41" s="259" t="s">
        <v>148</v>
      </c>
      <c r="AW41" s="258" t="s">
        <v>149</v>
      </c>
      <c r="AX41" s="258" t="s">
        <v>364</v>
      </c>
      <c r="AY41" s="258" t="s">
        <v>363</v>
      </c>
      <c r="AZ41" s="260" t="s">
        <v>152</v>
      </c>
    </row>
    <row r="42" spans="1:52" x14ac:dyDescent="0.5">
      <c r="A42" s="226">
        <v>1</v>
      </c>
      <c r="B42" s="9">
        <v>3729060</v>
      </c>
      <c r="C42" s="9"/>
      <c r="D42" s="9" t="s">
        <v>86</v>
      </c>
      <c r="E42" s="227" t="s">
        <v>4</v>
      </c>
      <c r="F42" s="228">
        <v>43430</v>
      </c>
      <c r="G42" s="229">
        <v>1</v>
      </c>
      <c r="H42" s="230">
        <v>0</v>
      </c>
      <c r="I42" s="229" t="s">
        <v>187</v>
      </c>
      <c r="J42" s="266">
        <v>7</v>
      </c>
      <c r="K42" s="139"/>
      <c r="L42" s="133">
        <v>0.04</v>
      </c>
      <c r="M42" s="114">
        <v>68.903999999999996</v>
      </c>
      <c r="N42" s="133">
        <v>0.13</v>
      </c>
      <c r="O42" s="114">
        <v>46.44</v>
      </c>
      <c r="P42" s="133">
        <v>0.27</v>
      </c>
      <c r="Q42" s="114">
        <v>24.12</v>
      </c>
      <c r="R42" s="139"/>
      <c r="S42" s="114">
        <v>5.8800000000000012E-2</v>
      </c>
      <c r="U42" s="114"/>
      <c r="V42" s="114"/>
      <c r="W42" s="114"/>
      <c r="X42" s="114">
        <v>2.0300000000000006E-2</v>
      </c>
      <c r="Y42" s="114"/>
      <c r="Z42" s="114"/>
      <c r="AA42" s="114"/>
      <c r="AB42" s="114"/>
      <c r="AC42" s="113">
        <f t="shared" ref="AC42:AC47" si="31">(ABS(S42)+ABS(X42))/2</f>
        <v>3.9550000000000009E-2</v>
      </c>
      <c r="AD42" s="139"/>
      <c r="AE42" s="155">
        <v>15.192840294061961</v>
      </c>
      <c r="AF42" s="149">
        <v>16.177202976131813</v>
      </c>
      <c r="AG42" s="149">
        <v>13.070602711861813</v>
      </c>
      <c r="AH42" s="149">
        <v>7.2164527477344986</v>
      </c>
      <c r="AI42" s="149">
        <v>4.1899698426611316</v>
      </c>
      <c r="AJ42" s="149">
        <v>0</v>
      </c>
      <c r="AK42" s="149">
        <v>-1.9196285263461563</v>
      </c>
      <c r="AL42" s="149">
        <v>-7.1201743978873822</v>
      </c>
      <c r="AM42" s="149">
        <v>-7.7803349840782667</v>
      </c>
      <c r="AN42" s="149">
        <v>-10.679186422335745</v>
      </c>
      <c r="AO42" s="149">
        <v>-13.978710701908913</v>
      </c>
      <c r="AP42" s="107">
        <f>SLOPE(AE42:AO42,AE41:AO41)</f>
        <v>0.31874452574708723</v>
      </c>
      <c r="AQ42" s="107">
        <f>SLOPE(AE42:AJ42,AE41:AJ41)</f>
        <v>0.33651443095671196</v>
      </c>
      <c r="AR42" s="107">
        <f>SLOPE(AJ42:AO42,AJ41:AO41)</f>
        <v>0.27666396509629776</v>
      </c>
      <c r="AS42" s="139"/>
      <c r="AT42" s="149">
        <v>0</v>
      </c>
      <c r="AU42" s="149">
        <v>0</v>
      </c>
      <c r="AV42" s="149">
        <v>0</v>
      </c>
      <c r="AW42" s="149">
        <v>0</v>
      </c>
      <c r="AX42" s="149">
        <f t="shared" ref="AX42:AX47" si="32">AVERAGE(AW42,AT42)</f>
        <v>0</v>
      </c>
      <c r="AY42" s="149">
        <f t="shared" ref="AY42:AY47" si="33">AVERAGE(AV42,AU42)</f>
        <v>0</v>
      </c>
      <c r="AZ42" s="150">
        <f t="shared" ref="AZ42:AZ47" si="34">AVERAGE(AV42,AW42,AT42,AU42)</f>
        <v>0</v>
      </c>
    </row>
    <row r="43" spans="1:52" x14ac:dyDescent="0.5">
      <c r="A43" s="226">
        <v>2</v>
      </c>
      <c r="B43" s="9">
        <v>3729172</v>
      </c>
      <c r="C43" s="9" t="s">
        <v>63</v>
      </c>
      <c r="D43" s="9" t="s">
        <v>87</v>
      </c>
      <c r="E43" s="227" t="s">
        <v>62</v>
      </c>
      <c r="F43" s="228">
        <v>43555</v>
      </c>
      <c r="G43" s="229">
        <v>1</v>
      </c>
      <c r="H43" s="230">
        <v>0</v>
      </c>
      <c r="I43" s="229" t="s">
        <v>187</v>
      </c>
      <c r="J43" s="266">
        <v>33</v>
      </c>
      <c r="K43" s="139"/>
      <c r="L43" s="133">
        <v>0.06</v>
      </c>
      <c r="M43" s="114">
        <v>17.352</v>
      </c>
      <c r="N43" s="133">
        <v>0.09</v>
      </c>
      <c r="O43" s="114">
        <v>-9</v>
      </c>
      <c r="P43" s="133">
        <v>0.16</v>
      </c>
      <c r="Q43" s="114">
        <v>-7.2</v>
      </c>
      <c r="R43" s="139"/>
      <c r="S43" s="114">
        <v>-2.5000000000000001E-3</v>
      </c>
      <c r="T43" s="114">
        <v>5.3E-3</v>
      </c>
      <c r="U43" s="114">
        <v>1.2878000000000001</v>
      </c>
      <c r="V43" s="114">
        <v>64.390699999999995</v>
      </c>
      <c r="W43" s="114">
        <v>0.1181</v>
      </c>
      <c r="X43" s="114">
        <v>-1.7100000000000001E-2</v>
      </c>
      <c r="Y43" s="114">
        <v>2.9700000000000001E-2</v>
      </c>
      <c r="Z43" s="114">
        <v>-2.6013999999999999</v>
      </c>
      <c r="AA43" s="114">
        <v>-130.06780000000001</v>
      </c>
      <c r="AB43" s="114">
        <v>0.66720000000000002</v>
      </c>
      <c r="AC43" s="113">
        <f t="shared" si="31"/>
        <v>9.7999999999999997E-3</v>
      </c>
      <c r="AD43" s="139"/>
      <c r="AE43" s="155">
        <v>-2.9762804336193596</v>
      </c>
      <c r="AF43" s="149">
        <v>12.634509150438952</v>
      </c>
      <c r="AG43" s="149">
        <v>13.734052382339851</v>
      </c>
      <c r="AH43" s="149">
        <v>-7.0502001858489649E-2</v>
      </c>
      <c r="AI43" s="149">
        <v>1.2485813948144502</v>
      </c>
      <c r="AJ43" s="149">
        <v>0</v>
      </c>
      <c r="AK43" s="149">
        <v>-4.5577498872886393</v>
      </c>
      <c r="AL43" s="149">
        <v>-5.8798476821631214</v>
      </c>
      <c r="AM43" s="149">
        <v>-12.709455344070228</v>
      </c>
      <c r="AN43" s="149">
        <v>-10.67474824105534</v>
      </c>
      <c r="AO43" s="149">
        <v>-19.057583452596049</v>
      </c>
      <c r="AP43" s="107">
        <f>SLOPE(AE43:AO43,AE41:AO41)</f>
        <v>0.24581735498436658</v>
      </c>
      <c r="AQ43" s="107">
        <f>SLOPE(AE43:AJ43,AE41:AJ41)</f>
        <v>9.4516958522785868E-2</v>
      </c>
      <c r="AR43" s="107">
        <f>SLOPE(AJ43:AO43,AJ41:AO41)</f>
        <v>0.34419577138910701</v>
      </c>
      <c r="AS43" s="139"/>
      <c r="AT43" s="149">
        <v>0</v>
      </c>
      <c r="AU43" s="149">
        <v>0</v>
      </c>
      <c r="AV43" s="149">
        <v>0</v>
      </c>
      <c r="AW43" s="149">
        <v>0</v>
      </c>
      <c r="AX43" s="149">
        <f t="shared" si="32"/>
        <v>0</v>
      </c>
      <c r="AY43" s="149">
        <f t="shared" si="33"/>
        <v>0</v>
      </c>
      <c r="AZ43" s="150">
        <f t="shared" si="34"/>
        <v>0</v>
      </c>
    </row>
    <row r="44" spans="1:52" x14ac:dyDescent="0.5">
      <c r="A44" s="226">
        <v>3</v>
      </c>
      <c r="B44" s="9" t="s">
        <v>18</v>
      </c>
      <c r="C44" s="227" t="s">
        <v>83</v>
      </c>
      <c r="D44" s="227" t="s">
        <v>88</v>
      </c>
      <c r="E44" s="227" t="s">
        <v>62</v>
      </c>
      <c r="F44" s="228">
        <v>43606</v>
      </c>
      <c r="G44" s="229">
        <v>1</v>
      </c>
      <c r="H44" s="230">
        <v>0</v>
      </c>
      <c r="I44" s="229" t="s">
        <v>187</v>
      </c>
      <c r="J44" s="266">
        <v>28</v>
      </c>
      <c r="K44" s="139"/>
      <c r="L44" s="114">
        <v>0.04</v>
      </c>
      <c r="M44" s="114">
        <v>79.343999999999994</v>
      </c>
      <c r="N44" s="114">
        <v>0.13</v>
      </c>
      <c r="O44" s="114">
        <v>12.927599999999998</v>
      </c>
      <c r="P44" s="114">
        <v>0.2</v>
      </c>
      <c r="Q44" s="114">
        <v>32.76</v>
      </c>
      <c r="R44" s="139"/>
      <c r="S44" s="114">
        <v>6.3500000000000015E-2</v>
      </c>
      <c r="U44" s="114"/>
      <c r="V44" s="114"/>
      <c r="W44" s="114"/>
      <c r="X44" s="114">
        <v>3.5200000000000002E-2</v>
      </c>
      <c r="Y44" s="114"/>
      <c r="Z44" s="114"/>
      <c r="AA44" s="114"/>
      <c r="AB44" s="114"/>
      <c r="AC44" s="113">
        <f t="shared" si="31"/>
        <v>4.9350000000000005E-2</v>
      </c>
      <c r="AD44" s="139"/>
      <c r="AE44" s="155">
        <v>15.192840294061961</v>
      </c>
      <c r="AF44" s="149">
        <v>16.177202976131813</v>
      </c>
      <c r="AG44" s="149">
        <v>13.070602711861813</v>
      </c>
      <c r="AH44" s="149">
        <v>7.2164527477344986</v>
      </c>
      <c r="AI44" s="149">
        <v>4.1899698426611316</v>
      </c>
      <c r="AJ44" s="149">
        <v>0</v>
      </c>
      <c r="AK44" s="149">
        <v>-1.9196285263461565</v>
      </c>
      <c r="AL44" s="149">
        <v>-7.1201743978873822</v>
      </c>
      <c r="AM44" s="149">
        <v>-7.7803349840782658</v>
      </c>
      <c r="AN44" s="149">
        <v>-10.679186422335745</v>
      </c>
      <c r="AO44" s="149">
        <v>-13.978710701908913</v>
      </c>
      <c r="AP44" s="107">
        <f>SLOPE(AE44:AO44,AE41:AO41)</f>
        <v>0.31874452574708717</v>
      </c>
      <c r="AQ44" s="107">
        <f>SLOPE(AE44:AJ44,AE41:AJ41)</f>
        <v>0.33651443095671196</v>
      </c>
      <c r="AR44" s="107">
        <f>SLOPE(AJ44:AO44,AJ41:AO41)</f>
        <v>0.27666396509629776</v>
      </c>
      <c r="AS44" s="139"/>
      <c r="AT44" s="149">
        <v>0</v>
      </c>
      <c r="AU44" s="149">
        <v>0</v>
      </c>
      <c r="AV44" s="149">
        <v>0</v>
      </c>
      <c r="AW44" s="149">
        <v>0</v>
      </c>
      <c r="AX44" s="149">
        <f t="shared" si="32"/>
        <v>0</v>
      </c>
      <c r="AY44" s="149">
        <f t="shared" si="33"/>
        <v>0</v>
      </c>
      <c r="AZ44" s="150">
        <f t="shared" si="34"/>
        <v>0</v>
      </c>
    </row>
    <row r="45" spans="1:52" x14ac:dyDescent="0.5">
      <c r="A45" s="226">
        <v>4</v>
      </c>
      <c r="B45" s="227"/>
      <c r="C45" s="227" t="s">
        <v>82</v>
      </c>
      <c r="D45" s="227" t="s">
        <v>90</v>
      </c>
      <c r="E45" s="227" t="s">
        <v>4</v>
      </c>
      <c r="F45" s="228">
        <v>43606</v>
      </c>
      <c r="G45" s="229">
        <v>1</v>
      </c>
      <c r="H45" s="230">
        <v>0</v>
      </c>
      <c r="I45" s="229" t="s">
        <v>187</v>
      </c>
      <c r="J45" s="266">
        <v>4</v>
      </c>
      <c r="K45" s="139"/>
      <c r="L45" s="133">
        <v>0.05</v>
      </c>
      <c r="M45" s="114">
        <v>29.592000000000002</v>
      </c>
      <c r="N45" s="133">
        <v>0.26</v>
      </c>
      <c r="O45" s="114">
        <v>19.62</v>
      </c>
      <c r="P45" s="133">
        <v>0.37</v>
      </c>
      <c r="Q45" s="114">
        <v>6.12</v>
      </c>
      <c r="R45" s="139"/>
      <c r="S45" s="114">
        <v>-3.3599999999999998E-2</v>
      </c>
      <c r="T45" s="114">
        <v>1.8800000000000001E-2</v>
      </c>
      <c r="U45" s="114">
        <v>2.2254999999999998</v>
      </c>
      <c r="V45" s="114">
        <v>111.27549999999999</v>
      </c>
      <c r="W45" s="114">
        <v>0.1996</v>
      </c>
      <c r="X45" s="114">
        <v>1.8499999999999999E-2</v>
      </c>
      <c r="Y45" s="114">
        <v>3.6999999999999998E-2</v>
      </c>
      <c r="Z45" s="114">
        <v>-2.0945999999999998</v>
      </c>
      <c r="AA45" s="114">
        <v>-104.73099999999999</v>
      </c>
      <c r="AB45" s="114">
        <v>0.80669999999999997</v>
      </c>
      <c r="AC45" s="113">
        <f t="shared" si="31"/>
        <v>2.6049999999999997E-2</v>
      </c>
      <c r="AD45" s="139"/>
      <c r="AE45" s="155">
        <v>22.751823281131994</v>
      </c>
      <c r="AF45" s="149">
        <v>15.962781778171797</v>
      </c>
      <c r="AG45" s="149">
        <v>15.561873360723995</v>
      </c>
      <c r="AH45" s="149">
        <v>9.6873555439482963</v>
      </c>
      <c r="AI45" s="149">
        <v>3.2581732787796249</v>
      </c>
      <c r="AJ45" s="149">
        <v>0</v>
      </c>
      <c r="AK45" s="149">
        <v>1.601294301020515</v>
      </c>
      <c r="AL45" s="149">
        <v>-7.0234933983149155</v>
      </c>
      <c r="AM45" s="149">
        <v>0.80655477178275492</v>
      </c>
      <c r="AN45" s="149">
        <v>-6.2629248847382453</v>
      </c>
      <c r="AO45" s="149">
        <v>-10.121565762882614</v>
      </c>
      <c r="AP45" s="107">
        <f>SLOPE(AE45:AO45,AE41:AO41)</f>
        <v>0.30237664045529317</v>
      </c>
      <c r="AQ45" s="107">
        <f>SLOPE(AE45:AJ45,AE41:AJ41)</f>
        <v>0.45070702777317767</v>
      </c>
      <c r="AR45" s="107">
        <f>SLOPE(AJ45:AO45,AJ41:AO41)</f>
        <v>0.18962982343311907</v>
      </c>
      <c r="AS45" s="139"/>
      <c r="AT45" s="194">
        <f>-1/-0.856</f>
        <v>1.1682242990654206</v>
      </c>
      <c r="AU45" s="194">
        <f>-1/-0.388</f>
        <v>2.5773195876288657</v>
      </c>
      <c r="AV45" s="194">
        <v>0</v>
      </c>
      <c r="AW45" s="194">
        <v>0</v>
      </c>
      <c r="AX45" s="149">
        <f t="shared" si="32"/>
        <v>0.58411214953271029</v>
      </c>
      <c r="AY45" s="149">
        <f t="shared" si="33"/>
        <v>1.2886597938144329</v>
      </c>
      <c r="AZ45" s="150">
        <f t="shared" si="34"/>
        <v>0.93638597167357163</v>
      </c>
    </row>
    <row r="46" spans="1:52" x14ac:dyDescent="0.5">
      <c r="A46" s="226">
        <v>5</v>
      </c>
      <c r="B46" s="227"/>
      <c r="C46" s="227" t="s">
        <v>93</v>
      </c>
      <c r="D46" s="227" t="s">
        <v>91</v>
      </c>
      <c r="E46" s="227" t="s">
        <v>62</v>
      </c>
      <c r="F46" s="228">
        <v>43690</v>
      </c>
      <c r="G46" s="229">
        <v>1</v>
      </c>
      <c r="H46" s="230">
        <v>0</v>
      </c>
      <c r="I46" s="229" t="s">
        <v>187</v>
      </c>
      <c r="J46" s="266">
        <v>13</v>
      </c>
      <c r="K46" s="139"/>
      <c r="L46" s="133">
        <v>0.19</v>
      </c>
      <c r="M46" s="114">
        <v>23.184000000000001</v>
      </c>
      <c r="N46" s="133">
        <v>0.22</v>
      </c>
      <c r="O46" s="114">
        <v>8.2799999999999994</v>
      </c>
      <c r="P46" s="133">
        <v>0.36</v>
      </c>
      <c r="Q46" s="114">
        <v>-4.32</v>
      </c>
      <c r="R46" s="139"/>
      <c r="S46" s="114">
        <v>2.7000000000000001E-3</v>
      </c>
      <c r="T46" s="114">
        <v>8.8300000000000003E-2</v>
      </c>
      <c r="U46" s="114">
        <v>-1.7224999999999999</v>
      </c>
      <c r="V46" s="114">
        <v>-86.124399999999994</v>
      </c>
      <c r="W46" s="114">
        <v>0.9022</v>
      </c>
      <c r="X46" s="114">
        <v>4.2999999999999997E-2</v>
      </c>
      <c r="Y46" s="114">
        <v>2.3900000000000001E-2</v>
      </c>
      <c r="Z46" s="114">
        <v>-3.6640999999999999</v>
      </c>
      <c r="AA46" s="114">
        <v>-183.20609999999999</v>
      </c>
      <c r="AB46" s="114">
        <v>4.53E-2</v>
      </c>
      <c r="AC46" s="113">
        <f t="shared" si="31"/>
        <v>2.2849999999999999E-2</v>
      </c>
      <c r="AD46" s="139"/>
      <c r="AE46" s="155">
        <v>26.44965312419081</v>
      </c>
      <c r="AF46" s="149">
        <v>23.149688068267508</v>
      </c>
      <c r="AG46" s="149">
        <v>15.12256447964991</v>
      </c>
      <c r="AH46" s="149">
        <v>10.81302128465849</v>
      </c>
      <c r="AI46" s="149">
        <v>8.1750085763397493</v>
      </c>
      <c r="AJ46" s="149">
        <v>0</v>
      </c>
      <c r="AK46" s="149">
        <v>-2.7209666761382003</v>
      </c>
      <c r="AL46" s="149">
        <v>-10.16232597198599</v>
      </c>
      <c r="AM46" s="149">
        <v>-11.124181240046791</v>
      </c>
      <c r="AN46" s="149">
        <v>-20.969637894496891</v>
      </c>
      <c r="AO46" s="149">
        <v>-23.770890270815091</v>
      </c>
      <c r="AP46" s="107">
        <f>SLOPE(AE46:AO46,AE41:AO41)</f>
        <v>0.50833357068267648</v>
      </c>
      <c r="AQ46" s="107">
        <f>SLOPE(AE46:AJ46,AE41:AJ41)</f>
        <v>0.51851956369065355</v>
      </c>
      <c r="AR46" s="107">
        <f>SLOPE(AJ46:AO46,AJ41:AO41)</f>
        <v>0.49874948650632084</v>
      </c>
      <c r="AS46" s="139"/>
      <c r="AT46" s="194">
        <f>-1/-0.215</f>
        <v>4.6511627906976747</v>
      </c>
      <c r="AU46" s="194">
        <f>-1/-0.205</f>
        <v>4.8780487804878048</v>
      </c>
      <c r="AV46" s="194">
        <f>-1/-0.514</f>
        <v>1.9455252918287937</v>
      </c>
      <c r="AW46" s="194">
        <v>0</v>
      </c>
      <c r="AX46" s="149">
        <f t="shared" si="32"/>
        <v>2.3255813953488373</v>
      </c>
      <c r="AY46" s="149">
        <f t="shared" si="33"/>
        <v>3.4117870361582994</v>
      </c>
      <c r="AZ46" s="150">
        <f t="shared" si="34"/>
        <v>2.8686842157535684</v>
      </c>
    </row>
    <row r="47" spans="1:52" ht="14.7" thickBot="1" x14ac:dyDescent="0.55000000000000004">
      <c r="A47" s="226">
        <v>6</v>
      </c>
      <c r="B47" s="227"/>
      <c r="C47" s="227" t="s">
        <v>92</v>
      </c>
      <c r="D47" s="227" t="s">
        <v>91</v>
      </c>
      <c r="E47" s="227" t="s">
        <v>4</v>
      </c>
      <c r="F47" s="228">
        <v>43690</v>
      </c>
      <c r="G47" s="229">
        <v>1</v>
      </c>
      <c r="H47" s="230">
        <v>0</v>
      </c>
      <c r="I47" s="229" t="s">
        <v>187</v>
      </c>
      <c r="J47" s="266">
        <v>24</v>
      </c>
      <c r="K47" s="139"/>
      <c r="L47" s="133">
        <v>0.03</v>
      </c>
      <c r="M47" s="114">
        <v>38.448000000000008</v>
      </c>
      <c r="N47" s="133">
        <v>0.11</v>
      </c>
      <c r="O47" s="114">
        <v>40.68</v>
      </c>
      <c r="P47" s="133">
        <v>0.37</v>
      </c>
      <c r="Q47" s="114">
        <v>9.36</v>
      </c>
      <c r="R47" s="139"/>
      <c r="S47" s="114">
        <v>6.2600000000000017E-2</v>
      </c>
      <c r="U47" s="114"/>
      <c r="V47" s="114"/>
      <c r="W47" s="114"/>
      <c r="X47" s="114">
        <v>4.1300000000000003E-2</v>
      </c>
      <c r="Y47" s="114"/>
      <c r="Z47" s="114"/>
      <c r="AA47" s="114"/>
      <c r="AB47" s="114"/>
      <c r="AC47" s="113">
        <f t="shared" si="31"/>
        <v>5.195000000000001E-2</v>
      </c>
      <c r="AD47" s="139"/>
      <c r="AE47" s="155">
        <v>14.546165204544401</v>
      </c>
      <c r="AF47" s="149">
        <v>12.961832907649001</v>
      </c>
      <c r="AG47" s="149">
        <v>7.863920624733499</v>
      </c>
      <c r="AH47" s="149">
        <v>8.4359361641896982</v>
      </c>
      <c r="AI47" s="149">
        <v>4.0781161207106997</v>
      </c>
      <c r="AJ47" s="149">
        <v>0</v>
      </c>
      <c r="AK47" s="149">
        <v>-2.0010918429783011</v>
      </c>
      <c r="AL47" s="149">
        <v>-5.4150305390855014</v>
      </c>
      <c r="AM47" s="149">
        <v>-8.0942581239788005</v>
      </c>
      <c r="AN47" s="149">
        <v>-4.8094346690525001</v>
      </c>
      <c r="AO47" s="149">
        <v>-2.9648033213419005</v>
      </c>
      <c r="AP47" s="107">
        <f>SLOPE(AE47:AO47,AE41:AO41)</f>
        <v>0.21845053686601257</v>
      </c>
      <c r="AQ47" s="107">
        <f>SLOPE(AE47:AJ47,AE41:AJ41)</f>
        <v>0.28231417384023061</v>
      </c>
      <c r="AR47" s="107">
        <f>SLOPE(AJ47:AO47,AJ41:AO41)</f>
        <v>7.4080779056644008E-2</v>
      </c>
      <c r="AS47" s="139"/>
      <c r="AT47" s="194">
        <v>0</v>
      </c>
      <c r="AU47" s="194">
        <f>-1/-0.702</f>
        <v>1.4245014245014247</v>
      </c>
      <c r="AV47" s="194">
        <f>-1/-0.697</f>
        <v>1.4347202295552368</v>
      </c>
      <c r="AW47" s="194">
        <f>-1/-0.613</f>
        <v>1.6313213703099512</v>
      </c>
      <c r="AX47" s="149">
        <f t="shared" si="32"/>
        <v>0.81566068515497558</v>
      </c>
      <c r="AY47" s="149">
        <f t="shared" si="33"/>
        <v>1.4296108270283308</v>
      </c>
      <c r="AZ47" s="150">
        <f t="shared" si="34"/>
        <v>1.1226357560916531</v>
      </c>
    </row>
    <row r="48" spans="1:52" x14ac:dyDescent="0.5">
      <c r="A48" s="231" t="s">
        <v>118</v>
      </c>
      <c r="B48" s="232"/>
      <c r="C48" s="232"/>
      <c r="D48" s="232"/>
      <c r="E48" s="232"/>
      <c r="F48" s="233"/>
      <c r="G48" s="234"/>
      <c r="H48" s="235"/>
      <c r="I48" s="234"/>
      <c r="J48" s="207">
        <f t="shared" ref="J48" si="35">AVERAGE(J42:J47)</f>
        <v>18.166666666666668</v>
      </c>
      <c r="K48" s="140"/>
      <c r="L48" s="129">
        <f>AVERAGE(L42:L47)</f>
        <v>6.8333333333333343E-2</v>
      </c>
      <c r="M48" s="129">
        <v>42.804000000000002</v>
      </c>
      <c r="N48" s="129">
        <f t="shared" ref="N48:AX48" si="36">AVERAGE(N42:N47)</f>
        <v>0.15666666666666665</v>
      </c>
      <c r="O48" s="129">
        <v>19.8246</v>
      </c>
      <c r="P48" s="129">
        <f t="shared" si="36"/>
        <v>0.28833333333333333</v>
      </c>
      <c r="Q48" s="129">
        <v>10.139999999999999</v>
      </c>
      <c r="R48" s="140"/>
      <c r="S48" s="129">
        <f>ABS(AVERAGE(S42:S47))</f>
        <v>2.5250000000000005E-2</v>
      </c>
      <c r="T48" s="129">
        <f t="shared" si="36"/>
        <v>3.7466666666666669E-2</v>
      </c>
      <c r="U48" s="129">
        <f t="shared" si="36"/>
        <v>0.59693333333333343</v>
      </c>
      <c r="V48" s="129">
        <f t="shared" si="36"/>
        <v>29.84726666666667</v>
      </c>
      <c r="W48" s="129">
        <f t="shared" si="36"/>
        <v>0.40663333333333335</v>
      </c>
      <c r="X48" s="129">
        <f>ABS(AVERAGE(X42:X47))</f>
        <v>2.3533333333333333E-2</v>
      </c>
      <c r="Y48" s="129">
        <f t="shared" si="36"/>
        <v>3.0200000000000001E-2</v>
      </c>
      <c r="Z48" s="129">
        <f t="shared" si="36"/>
        <v>-2.7866999999999997</v>
      </c>
      <c r="AA48" s="129">
        <f t="shared" si="36"/>
        <v>-139.33496666666667</v>
      </c>
      <c r="AB48" s="129">
        <f t="shared" si="36"/>
        <v>0.50639999999999996</v>
      </c>
      <c r="AC48" s="129">
        <f t="shared" si="36"/>
        <v>3.3258333333333334E-2</v>
      </c>
      <c r="AD48" s="140"/>
      <c r="AE48" s="147">
        <f t="shared" si="36"/>
        <v>15.192840294061961</v>
      </c>
      <c r="AF48" s="129">
        <f t="shared" si="36"/>
        <v>16.177202976131813</v>
      </c>
      <c r="AG48" s="129">
        <f t="shared" si="36"/>
        <v>13.070602711861811</v>
      </c>
      <c r="AH48" s="129">
        <f t="shared" si="36"/>
        <v>7.2164527477344977</v>
      </c>
      <c r="AI48" s="129">
        <f t="shared" si="36"/>
        <v>4.1899698426611307</v>
      </c>
      <c r="AJ48" s="129">
        <f t="shared" si="36"/>
        <v>0</v>
      </c>
      <c r="AK48" s="129">
        <f t="shared" si="36"/>
        <v>-1.9196285263461565</v>
      </c>
      <c r="AL48" s="129">
        <f t="shared" si="36"/>
        <v>-7.1201743978873813</v>
      </c>
      <c r="AM48" s="129">
        <f t="shared" si="36"/>
        <v>-7.7803349840782658</v>
      </c>
      <c r="AN48" s="129">
        <f t="shared" si="36"/>
        <v>-10.679186422335746</v>
      </c>
      <c r="AO48" s="129">
        <f t="shared" si="36"/>
        <v>-13.978710701908911</v>
      </c>
      <c r="AP48" s="129">
        <f t="shared" si="36"/>
        <v>0.31874452574708723</v>
      </c>
      <c r="AQ48" s="129">
        <f t="shared" si="36"/>
        <v>0.33651443095671191</v>
      </c>
      <c r="AR48" s="131">
        <f t="shared" si="36"/>
        <v>0.27666396509629776</v>
      </c>
      <c r="AS48" s="140"/>
      <c r="AT48" s="129">
        <f>AVERAGE(AT42:AT47)</f>
        <v>0.96989784829384929</v>
      </c>
      <c r="AU48" s="129">
        <f>AVERAGE(AU42:AU47)</f>
        <v>1.4799782987696826</v>
      </c>
      <c r="AV48" s="129">
        <f t="shared" si="36"/>
        <v>0.56337425356400506</v>
      </c>
      <c r="AW48" s="129">
        <f t="shared" si="36"/>
        <v>0.27188689505165853</v>
      </c>
      <c r="AX48" s="129">
        <f t="shared" si="36"/>
        <v>0.62089237167275391</v>
      </c>
      <c r="AY48" s="129">
        <f>AVERAGE(AY42:AY47)</f>
        <v>1.0216762761668436</v>
      </c>
      <c r="AZ48" s="131">
        <f>AVERAGE(AZ42:AZ47)</f>
        <v>0.82128432391979889</v>
      </c>
    </row>
    <row r="49" spans="1:52" ht="14.7" thickBot="1" x14ac:dyDescent="0.55000000000000004">
      <c r="A49" s="236" t="s">
        <v>78</v>
      </c>
      <c r="B49" s="237"/>
      <c r="C49" s="237"/>
      <c r="D49" s="237"/>
      <c r="E49" s="237"/>
      <c r="F49" s="238"/>
      <c r="G49" s="239"/>
      <c r="H49" s="240"/>
      <c r="I49" s="239"/>
      <c r="J49" s="208">
        <f>_xlfn.STDEV.S(J42:J47)</f>
        <v>11.856081421222893</v>
      </c>
      <c r="K49" s="130" t="e">
        <f t="shared" ref="K49:AZ49" si="37">_xlfn.STDEV.S(K42:K47)</f>
        <v>#DIV/0!</v>
      </c>
      <c r="L49" s="130">
        <f t="shared" si="37"/>
        <v>6.0470378423379031E-2</v>
      </c>
      <c r="M49" s="130">
        <v>25.466299236441873</v>
      </c>
      <c r="N49" s="130">
        <f t="shared" si="37"/>
        <v>6.7428974978614872E-2</v>
      </c>
      <c r="O49" s="130">
        <v>20.760891362366888</v>
      </c>
      <c r="P49" s="130">
        <f t="shared" si="37"/>
        <v>9.2826002104295383E-2</v>
      </c>
      <c r="Q49" s="130">
        <v>15.707582882162361</v>
      </c>
      <c r="R49" s="130" t="e">
        <f t="shared" si="37"/>
        <v>#DIV/0!</v>
      </c>
      <c r="S49" s="130">
        <f t="shared" si="37"/>
        <v>4.1774573606441524E-2</v>
      </c>
      <c r="T49" s="130">
        <f t="shared" si="37"/>
        <v>4.4537437435637595E-2</v>
      </c>
      <c r="U49" s="130">
        <f t="shared" si="37"/>
        <v>2.0626799468975627</v>
      </c>
      <c r="V49" s="130">
        <f t="shared" si="37"/>
        <v>103.13397461478604</v>
      </c>
      <c r="W49" s="130">
        <f t="shared" si="37"/>
        <v>0.43110358770640422</v>
      </c>
      <c r="X49" s="130">
        <f t="shared" si="37"/>
        <v>2.2439132484716667E-2</v>
      </c>
      <c r="Y49" s="130">
        <f t="shared" si="37"/>
        <v>6.5642973729105212E-3</v>
      </c>
      <c r="Z49" s="130">
        <f t="shared" si="37"/>
        <v>0.80098978145791744</v>
      </c>
      <c r="AA49" s="130">
        <f t="shared" si="37"/>
        <v>40.049914026416161</v>
      </c>
      <c r="AB49" s="130">
        <f t="shared" si="37"/>
        <v>0.40537016417097116</v>
      </c>
      <c r="AC49" s="130">
        <f t="shared" si="37"/>
        <v>1.6483276878905696E-2</v>
      </c>
      <c r="AD49" s="130" t="e">
        <f t="shared" si="37"/>
        <v>#DIV/0!</v>
      </c>
      <c r="AE49" s="130">
        <f t="shared" si="37"/>
        <v>10.142871344740888</v>
      </c>
      <c r="AF49" s="130">
        <f t="shared" si="37"/>
        <v>3.7828774505682126</v>
      </c>
      <c r="AG49" s="130">
        <f t="shared" si="37"/>
        <v>2.7556008551322102</v>
      </c>
      <c r="AH49" s="130">
        <f t="shared" si="37"/>
        <v>3.8373823159741018</v>
      </c>
      <c r="AI49" s="130">
        <f t="shared" si="37"/>
        <v>2.254464717027985</v>
      </c>
      <c r="AJ49" s="130">
        <f t="shared" si="37"/>
        <v>0</v>
      </c>
      <c r="AK49" s="130">
        <f t="shared" si="37"/>
        <v>2.0002680307199623</v>
      </c>
      <c r="AL49" s="130">
        <f t="shared" si="37"/>
        <v>1.6558960931422089</v>
      </c>
      <c r="AM49" s="130">
        <f t="shared" si="37"/>
        <v>4.6756979954637368</v>
      </c>
      <c r="AN49" s="130">
        <f t="shared" si="37"/>
        <v>5.6542154683384851</v>
      </c>
      <c r="AO49" s="130">
        <f t="shared" si="37"/>
        <v>7.1814406910555331</v>
      </c>
      <c r="AP49" s="130">
        <f t="shared" si="37"/>
        <v>0.10157673953188914</v>
      </c>
      <c r="AQ49" s="130">
        <f t="shared" si="37"/>
        <v>0.14674212895081576</v>
      </c>
      <c r="AR49" s="130">
        <f t="shared" si="37"/>
        <v>0.14317640361606693</v>
      </c>
      <c r="AS49" s="130" t="e">
        <f t="shared" si="37"/>
        <v>#DIV/0!</v>
      </c>
      <c r="AT49" s="130">
        <f t="shared" si="37"/>
        <v>1.8630003919348617</v>
      </c>
      <c r="AU49" s="130">
        <f t="shared" si="37"/>
        <v>1.965966728153117</v>
      </c>
      <c r="AV49" s="130">
        <f t="shared" si="37"/>
        <v>0.8875976003536451</v>
      </c>
      <c r="AW49" s="130">
        <f t="shared" si="37"/>
        <v>0.66598416062620402</v>
      </c>
      <c r="AX49" s="130">
        <f t="shared" si="37"/>
        <v>0.90573441578901592</v>
      </c>
      <c r="AY49" s="130">
        <f t="shared" si="37"/>
        <v>1.3477230784812897</v>
      </c>
      <c r="AZ49" s="130">
        <f t="shared" si="37"/>
        <v>1.1242269534411453</v>
      </c>
    </row>
    <row r="50" spans="1:52" x14ac:dyDescent="0.5">
      <c r="A50" s="241">
        <v>1</v>
      </c>
      <c r="B50" s="242"/>
      <c r="C50" s="242" t="s">
        <v>95</v>
      </c>
      <c r="D50" s="242" t="s">
        <v>94</v>
      </c>
      <c r="E50" s="242" t="s">
        <v>4</v>
      </c>
      <c r="F50" s="243">
        <v>43615</v>
      </c>
      <c r="G50" s="244">
        <v>0</v>
      </c>
      <c r="H50" s="245">
        <v>1</v>
      </c>
      <c r="I50" s="246" t="s">
        <v>187</v>
      </c>
      <c r="J50" s="261">
        <v>7</v>
      </c>
      <c r="K50" s="139"/>
      <c r="L50" s="203">
        <v>0.13</v>
      </c>
      <c r="M50" s="114">
        <v>18.504000000000001</v>
      </c>
      <c r="N50" s="204">
        <v>0.17</v>
      </c>
      <c r="O50" s="114">
        <v>27.36</v>
      </c>
      <c r="P50" s="204">
        <v>0.1</v>
      </c>
      <c r="Q50" s="114">
        <v>-4.32</v>
      </c>
      <c r="R50" s="139"/>
      <c r="S50" s="114">
        <v>5.8800000000000012E-2</v>
      </c>
      <c r="U50" s="114"/>
      <c r="V50" s="114"/>
      <c r="W50" s="114"/>
      <c r="X50" s="114">
        <v>2.0300000000000006E-2</v>
      </c>
      <c r="Y50" s="111"/>
      <c r="Z50" s="111"/>
      <c r="AA50" s="111"/>
      <c r="AB50" s="112"/>
      <c r="AC50" s="113">
        <f t="shared" ref="AC50:AC51" si="38">(ABS(S50)+ABS(X50))/2</f>
        <v>3.9550000000000009E-2</v>
      </c>
      <c r="AD50" s="139"/>
      <c r="AE50" s="267">
        <v>15.240065308331472</v>
      </c>
      <c r="AF50" s="268">
        <v>14.45140188435437</v>
      </c>
      <c r="AG50" s="268">
        <v>9.1524221523151699</v>
      </c>
      <c r="AH50" s="268">
        <v>5.9903652594500594</v>
      </c>
      <c r="AI50" s="268">
        <v>1.9255281263970698</v>
      </c>
      <c r="AJ50" s="268">
        <v>0</v>
      </c>
      <c r="AK50" s="268">
        <v>-1.3641370587329451</v>
      </c>
      <c r="AL50" s="268">
        <v>9.332302939768871</v>
      </c>
      <c r="AM50" s="268">
        <v>7.3648771324303803</v>
      </c>
      <c r="AN50" s="268">
        <v>-9.9821407657099002</v>
      </c>
      <c r="AO50" s="268">
        <v>-11.65189139320073</v>
      </c>
      <c r="AP50" s="107">
        <f>SLOPE(AE50:AO50,AE41:AO41)</f>
        <v>0.21287488999278623</v>
      </c>
      <c r="AQ50" s="107">
        <f>SLOPE(AE50:AJ50,AE41:AJ41)</f>
        <v>0.33411429916684104</v>
      </c>
      <c r="AR50" s="107">
        <f>SLOPE(AJ50:AO50,AJ41:AO41)</f>
        <v>0.24594541112649429</v>
      </c>
      <c r="AS50" s="139"/>
      <c r="AT50" s="194">
        <f>-1/-0.516</f>
        <v>1.9379844961240309</v>
      </c>
      <c r="AU50" s="194">
        <v>0</v>
      </c>
      <c r="AV50" s="194">
        <v>0</v>
      </c>
      <c r="AW50" s="194">
        <v>0</v>
      </c>
      <c r="AX50" s="149">
        <f t="shared" ref="AX50:AX55" si="39">AVERAGE(AW50,AT50)</f>
        <v>0.96899224806201545</v>
      </c>
      <c r="AY50" s="149">
        <f t="shared" ref="AY50:AY55" si="40">AVERAGE(AV50,AU50)</f>
        <v>0</v>
      </c>
      <c r="AZ50" s="150">
        <f t="shared" ref="AZ50:AZ55" si="41">AVERAGE(AV50,AW50,AT50,AU50)</f>
        <v>0.48449612403100772</v>
      </c>
    </row>
    <row r="51" spans="1:52" x14ac:dyDescent="0.5">
      <c r="A51" s="247">
        <v>2</v>
      </c>
      <c r="B51" s="248"/>
      <c r="C51" s="248" t="s">
        <v>96</v>
      </c>
      <c r="D51" s="248" t="s">
        <v>94</v>
      </c>
      <c r="E51" s="248" t="s">
        <v>4</v>
      </c>
      <c r="F51" s="249">
        <v>43615</v>
      </c>
      <c r="G51" s="246">
        <v>0</v>
      </c>
      <c r="H51" s="250">
        <v>1</v>
      </c>
      <c r="I51" s="246" t="s">
        <v>187</v>
      </c>
      <c r="J51" s="261">
        <v>22</v>
      </c>
      <c r="K51" s="139"/>
      <c r="L51" s="203">
        <v>0.12</v>
      </c>
      <c r="M51" s="114">
        <v>39.672000000000004</v>
      </c>
      <c r="N51" s="204">
        <v>0.04</v>
      </c>
      <c r="O51" s="114">
        <v>38.340000000000003</v>
      </c>
      <c r="P51" s="204">
        <v>0.19</v>
      </c>
      <c r="Q51" s="114">
        <v>48.6</v>
      </c>
      <c r="R51" s="139"/>
      <c r="S51" s="134">
        <v>-0.1249</v>
      </c>
      <c r="T51" s="134">
        <v>6.08E-2</v>
      </c>
      <c r="U51" s="134">
        <v>-1.6214999999999999</v>
      </c>
      <c r="V51" s="134">
        <v>-81.074700000000007</v>
      </c>
      <c r="W51" s="134">
        <v>0.44379999999999997</v>
      </c>
      <c r="X51" s="135">
        <v>-1.7899999999999999E-2</v>
      </c>
      <c r="Y51" s="134">
        <v>4.5900000000000003E-2</v>
      </c>
      <c r="Z51" s="134">
        <v>-2.2498999999999998</v>
      </c>
      <c r="AA51" s="134">
        <v>-112.49679999999999</v>
      </c>
      <c r="AB51" s="136">
        <v>0.44359999999999999</v>
      </c>
      <c r="AC51" s="113">
        <f t="shared" si="38"/>
        <v>7.1399999999999991E-2</v>
      </c>
      <c r="AD51" s="139"/>
      <c r="AE51" s="262">
        <v>45.074657334582604</v>
      </c>
      <c r="AF51" s="262">
        <v>-2.91985168725882</v>
      </c>
      <c r="AG51" s="262">
        <v>7.4432842289063696</v>
      </c>
      <c r="AH51" s="262">
        <v>-51.126981711815702</v>
      </c>
      <c r="AI51" s="262">
        <v>-4.6794479438662497</v>
      </c>
      <c r="AJ51" s="262">
        <v>0</v>
      </c>
      <c r="AK51" s="262">
        <v>-5.1206611007644902</v>
      </c>
      <c r="AL51" s="262">
        <v>5.2804603666751504</v>
      </c>
      <c r="AM51" s="262">
        <v>-7.2510458355990606</v>
      </c>
      <c r="AN51" s="262">
        <v>2.2080154700714916</v>
      </c>
      <c r="AO51" s="262">
        <v>-5.5916454508012601</v>
      </c>
      <c r="AP51" s="107">
        <f>SLOPE(AE51:AO51,AE41:AO41)</f>
        <v>0.14957214953730075</v>
      </c>
      <c r="AQ51" s="107">
        <f>SLOPE(AE51:AJ51,AE41:AJ41)</f>
        <v>0.82634954680987827</v>
      </c>
      <c r="AR51" s="107">
        <f>SLOPE(AJ51:AO51,AJ41:AO41)</f>
        <v>5.2867724982207327E-2</v>
      </c>
      <c r="AS51" s="139"/>
      <c r="AT51" s="194">
        <f>-1/-0.533</f>
        <v>1.8761726078799248</v>
      </c>
      <c r="AU51" s="194">
        <v>0</v>
      </c>
      <c r="AV51" s="194">
        <v>0</v>
      </c>
      <c r="AW51" s="194">
        <f>-1/-0.353</f>
        <v>2.8328611898017</v>
      </c>
      <c r="AX51" s="149">
        <f t="shared" si="39"/>
        <v>2.3545168988408123</v>
      </c>
      <c r="AY51" s="149">
        <f t="shared" si="40"/>
        <v>0</v>
      </c>
      <c r="AZ51" s="150">
        <f t="shared" si="41"/>
        <v>1.1772584494204061</v>
      </c>
    </row>
    <row r="52" spans="1:52" x14ac:dyDescent="0.5">
      <c r="A52" s="247">
        <v>3</v>
      </c>
      <c r="B52" s="116">
        <v>4084374</v>
      </c>
      <c r="C52" s="248" t="s">
        <v>100</v>
      </c>
      <c r="D52" s="248" t="s">
        <v>99</v>
      </c>
      <c r="E52" s="248" t="s">
        <v>62</v>
      </c>
      <c r="F52" s="249">
        <v>43812</v>
      </c>
      <c r="G52" s="246">
        <v>0</v>
      </c>
      <c r="H52" s="250">
        <v>1</v>
      </c>
      <c r="I52" s="246" t="s">
        <v>187</v>
      </c>
      <c r="J52" s="261">
        <v>14</v>
      </c>
      <c r="K52" s="139"/>
      <c r="L52" s="205">
        <v>0.02</v>
      </c>
      <c r="M52" s="114">
        <v>-3.5280000000000005</v>
      </c>
      <c r="N52" s="205">
        <v>0.14000000000000001</v>
      </c>
      <c r="O52" s="114">
        <v>36.54</v>
      </c>
      <c r="P52" s="205">
        <v>0.27</v>
      </c>
      <c r="Q52" s="114">
        <v>21.6</v>
      </c>
      <c r="R52" s="139"/>
      <c r="S52" s="156">
        <v>-0.14360000000000001</v>
      </c>
      <c r="T52" s="156">
        <v>3.5700000000000003E-2</v>
      </c>
      <c r="U52" s="156">
        <v>-0.19550000000000001</v>
      </c>
      <c r="V52" s="156">
        <v>-9.7763000000000009</v>
      </c>
      <c r="W52" s="156">
        <v>0.76280000000000003</v>
      </c>
      <c r="X52" s="156">
        <v>-5.2200000000000003E-2</v>
      </c>
      <c r="Y52" s="156">
        <v>6.93E-2</v>
      </c>
      <c r="Z52" s="156">
        <v>-2.2974000000000001</v>
      </c>
      <c r="AA52" s="156">
        <v>-114.8719</v>
      </c>
      <c r="AB52" s="156">
        <v>0.61990000000000001</v>
      </c>
      <c r="AC52" s="113">
        <f>(ABS(S52)+ABS(X52))/2</f>
        <v>9.7900000000000001E-2</v>
      </c>
      <c r="AD52" s="139"/>
      <c r="AE52" s="262">
        <v>15.240065308331472</v>
      </c>
      <c r="AF52" s="262">
        <v>14.45140188435437</v>
      </c>
      <c r="AG52" s="262">
        <v>9.1524221523151699</v>
      </c>
      <c r="AH52" s="262">
        <v>5.9903652594500594</v>
      </c>
      <c r="AI52" s="262">
        <v>1.9255281263970698</v>
      </c>
      <c r="AJ52" s="262">
        <v>0</v>
      </c>
      <c r="AK52" s="262">
        <v>-1.3641370587329451</v>
      </c>
      <c r="AL52" s="262">
        <v>9.332302939768871</v>
      </c>
      <c r="AM52" s="262">
        <v>7.3648771324303803</v>
      </c>
      <c r="AN52" s="262">
        <v>-9.9821407657099002</v>
      </c>
      <c r="AO52" s="262">
        <v>-11.65189139320073</v>
      </c>
      <c r="AP52" s="107">
        <f>SLOPE(AE52:AO52,AE41:AO41)</f>
        <v>0.21287488999278623</v>
      </c>
      <c r="AQ52" s="107">
        <f>SLOPE(AE52:AJ52,AE41:AJ41)</f>
        <v>0.33411429916684104</v>
      </c>
      <c r="AR52" s="107">
        <f>SLOPE(AJ52:AO52,AJ41:AO41)</f>
        <v>0.24594541112649429</v>
      </c>
      <c r="AS52" s="139"/>
      <c r="AT52" s="194">
        <v>0</v>
      </c>
      <c r="AU52" s="194">
        <v>0</v>
      </c>
      <c r="AV52" s="194">
        <v>0</v>
      </c>
      <c r="AW52" s="194">
        <f>-1/-0.837</f>
        <v>1.1947431302270013</v>
      </c>
      <c r="AX52" s="149">
        <f t="shared" si="39"/>
        <v>0.59737156511350065</v>
      </c>
      <c r="AY52" s="149">
        <f t="shared" si="40"/>
        <v>0</v>
      </c>
      <c r="AZ52" s="150">
        <f t="shared" si="41"/>
        <v>0.29868578255675032</v>
      </c>
    </row>
    <row r="53" spans="1:52" x14ac:dyDescent="0.5">
      <c r="A53" s="247">
        <v>4</v>
      </c>
      <c r="B53" s="248"/>
      <c r="C53" s="248" t="s">
        <v>188</v>
      </c>
      <c r="D53" s="248" t="s">
        <v>99</v>
      </c>
      <c r="E53" s="248" t="s">
        <v>62</v>
      </c>
      <c r="F53" s="249">
        <v>43812</v>
      </c>
      <c r="G53" s="246">
        <v>0</v>
      </c>
      <c r="H53" s="250">
        <v>1</v>
      </c>
      <c r="I53" s="246" t="s">
        <v>187</v>
      </c>
      <c r="J53" s="261">
        <v>23</v>
      </c>
      <c r="K53" s="139"/>
      <c r="L53" s="205">
        <v>0.05</v>
      </c>
      <c r="M53" s="114">
        <v>45</v>
      </c>
      <c r="N53" s="205">
        <v>0.12</v>
      </c>
      <c r="O53" s="114">
        <v>66.599999999999994</v>
      </c>
      <c r="P53" s="205">
        <v>0.13</v>
      </c>
      <c r="Q53" s="114">
        <v>87.12</v>
      </c>
      <c r="R53" s="139"/>
      <c r="S53" s="156">
        <v>-4.4299999999999999E-2</v>
      </c>
      <c r="T53" s="156">
        <v>2.2499999999999999E-2</v>
      </c>
      <c r="U53" s="156">
        <v>4.1500000000000002E-2</v>
      </c>
      <c r="V53" s="156">
        <v>2.0762</v>
      </c>
      <c r="W53" s="156">
        <v>0.22950000000000001</v>
      </c>
      <c r="X53" s="156">
        <v>1.2999999999999999E-3</v>
      </c>
      <c r="Y53" s="156">
        <v>4.5199999999999997E-2</v>
      </c>
      <c r="Z53" s="156">
        <v>-1.1114999999999999</v>
      </c>
      <c r="AA53" s="156">
        <v>-55.576300000000003</v>
      </c>
      <c r="AB53" s="156">
        <v>0.2969</v>
      </c>
      <c r="AC53" s="113">
        <f t="shared" ref="AC53:AC55" si="42">(ABS(S53)+ABS(X53))/2</f>
        <v>2.2800000000000001E-2</v>
      </c>
      <c r="AD53" s="139"/>
      <c r="AE53" s="262">
        <v>3.1441084385954503</v>
      </c>
      <c r="AF53" s="262">
        <v>18.150980779742731</v>
      </c>
      <c r="AG53" s="262">
        <v>15.212175770329569</v>
      </c>
      <c r="AH53" s="262">
        <v>9.0511624995907205</v>
      </c>
      <c r="AI53" s="262">
        <v>8.3550340893516299</v>
      </c>
      <c r="AJ53" s="262">
        <v>0</v>
      </c>
      <c r="AK53" s="262">
        <v>6.9825618785202304</v>
      </c>
      <c r="AL53" s="262">
        <v>-4.2746000001608495</v>
      </c>
      <c r="AM53" s="262">
        <v>-2.6106239562599498</v>
      </c>
      <c r="AN53" s="262">
        <v>-7.4930891128362704</v>
      </c>
      <c r="AO53" s="262">
        <v>-8.9172800133378693</v>
      </c>
      <c r="AP53" s="107">
        <f>SLOPE(AE53:AO53,AE41:AO41)</f>
        <v>0.22215965292735063</v>
      </c>
      <c r="AQ53" s="107">
        <f>SLOPE(AE53:AJ53,AE41:AJ41)</f>
        <v>0.14648398724254116</v>
      </c>
      <c r="AR53" s="107">
        <f>SLOPE(AJ53:AO53,AJ41:AO41)</f>
        <v>0.24671250570530842</v>
      </c>
      <c r="AS53" s="139"/>
      <c r="AT53" s="194">
        <f>-1/-0.578</f>
        <v>1.7301038062283738</v>
      </c>
      <c r="AU53" s="194">
        <v>0</v>
      </c>
      <c r="AV53" s="194">
        <v>0</v>
      </c>
      <c r="AW53" s="194">
        <v>0</v>
      </c>
      <c r="AX53" s="149">
        <f t="shared" si="39"/>
        <v>0.86505190311418689</v>
      </c>
      <c r="AY53" s="149">
        <f t="shared" si="40"/>
        <v>0</v>
      </c>
      <c r="AZ53" s="150">
        <f t="shared" si="41"/>
        <v>0.43252595155709345</v>
      </c>
    </row>
    <row r="54" spans="1:52" x14ac:dyDescent="0.5">
      <c r="A54" s="247">
        <v>5</v>
      </c>
      <c r="B54" s="116" t="s">
        <v>18</v>
      </c>
      <c r="C54" s="248" t="s">
        <v>97</v>
      </c>
      <c r="D54" s="248" t="s">
        <v>99</v>
      </c>
      <c r="E54" s="248" t="s">
        <v>62</v>
      </c>
      <c r="F54" s="249">
        <v>43784</v>
      </c>
      <c r="G54" s="246">
        <v>0</v>
      </c>
      <c r="H54" s="250">
        <v>1</v>
      </c>
      <c r="I54" s="246" t="s">
        <v>187</v>
      </c>
      <c r="J54" s="261">
        <v>3</v>
      </c>
      <c r="K54" s="139"/>
      <c r="L54" s="205">
        <v>0.02</v>
      </c>
      <c r="M54" s="114">
        <v>30.24</v>
      </c>
      <c r="N54" s="205">
        <v>0.02</v>
      </c>
      <c r="O54" s="114">
        <v>40.14</v>
      </c>
      <c r="P54" s="205">
        <v>0.08</v>
      </c>
      <c r="Q54" s="114">
        <v>65.16</v>
      </c>
      <c r="R54" s="139"/>
      <c r="S54" s="156">
        <v>-2.3099999999999999E-2</v>
      </c>
      <c r="T54" s="156">
        <v>2.01E-2</v>
      </c>
      <c r="U54" s="156">
        <v>0.44779999999999998</v>
      </c>
      <c r="V54" s="156">
        <v>22.389199999999999</v>
      </c>
      <c r="W54" s="156">
        <v>0.81420000000000003</v>
      </c>
      <c r="X54" s="156">
        <v>-3.0099999999999998E-2</v>
      </c>
      <c r="Y54" s="156">
        <v>3.1099999999999999E-2</v>
      </c>
      <c r="Z54" s="156">
        <v>-2.9085999999999999</v>
      </c>
      <c r="AA54" s="156">
        <v>-145.42850000000001</v>
      </c>
      <c r="AB54" s="156">
        <v>0.54249999999999998</v>
      </c>
      <c r="AC54" s="113">
        <f t="shared" si="42"/>
        <v>2.6599999999999999E-2</v>
      </c>
      <c r="AD54" s="139"/>
      <c r="AE54" s="262">
        <v>5.3972227798652028</v>
      </c>
      <c r="AF54" s="262">
        <v>9.8512033880860983</v>
      </c>
      <c r="AG54" s="262">
        <v>7.4359821352042985</v>
      </c>
      <c r="AH54" s="262">
        <v>9.492287287393701</v>
      </c>
      <c r="AI54" s="262">
        <v>15.049721545678402</v>
      </c>
      <c r="AJ54" s="262">
        <v>0</v>
      </c>
      <c r="AK54" s="262">
        <v>4.0163362636314019</v>
      </c>
      <c r="AL54" s="262">
        <v>4.0652748231994025</v>
      </c>
      <c r="AM54" s="262">
        <v>7.6309363222189006</v>
      </c>
      <c r="AN54" s="262">
        <v>2.1966381350632034</v>
      </c>
      <c r="AO54" s="262">
        <v>0.25501825643470255</v>
      </c>
      <c r="AP54" s="107">
        <f>SLOPE(AE54:AO54,AE41:AO41)</f>
        <v>7.0574392071487149E-2</v>
      </c>
      <c r="AQ54" s="107">
        <f>SLOPE(AE54:AJ54,AE41:AJ41)</f>
        <v>2.6669297926741997E-2</v>
      </c>
      <c r="AR54" s="107">
        <f>SLOPE(AJ54:AO54,AJ41:AO41)</f>
        <v>1.7666902986045281E-3</v>
      </c>
      <c r="AS54" s="139"/>
      <c r="AT54" s="194">
        <f>-1/-0.549</f>
        <v>1.8214936247723132</v>
      </c>
      <c r="AU54" s="194">
        <v>0</v>
      </c>
      <c r="AV54" s="194">
        <v>0</v>
      </c>
      <c r="AW54" s="194">
        <v>0</v>
      </c>
      <c r="AX54" s="149">
        <f t="shared" si="39"/>
        <v>0.91074681238615662</v>
      </c>
      <c r="AY54" s="149">
        <f t="shared" si="40"/>
        <v>0</v>
      </c>
      <c r="AZ54" s="150">
        <f t="shared" si="41"/>
        <v>0.45537340619307831</v>
      </c>
    </row>
    <row r="55" spans="1:52" ht="14.7" thickBot="1" x14ac:dyDescent="0.55000000000000004">
      <c r="A55" s="247">
        <v>6</v>
      </c>
      <c r="B55" s="248"/>
      <c r="C55" s="248" t="s">
        <v>98</v>
      </c>
      <c r="D55" s="248" t="s">
        <v>99</v>
      </c>
      <c r="E55" s="248" t="s">
        <v>62</v>
      </c>
      <c r="F55" s="249">
        <v>43812</v>
      </c>
      <c r="G55" s="246">
        <v>0</v>
      </c>
      <c r="H55" s="250">
        <v>1</v>
      </c>
      <c r="I55" s="246" t="s">
        <v>187</v>
      </c>
      <c r="J55" s="261">
        <v>5</v>
      </c>
      <c r="K55" s="139"/>
      <c r="L55" s="205">
        <v>0.02</v>
      </c>
      <c r="M55" s="114">
        <v>70.992000000000004</v>
      </c>
      <c r="N55" s="205">
        <v>0.2</v>
      </c>
      <c r="O55" s="114">
        <v>48.24</v>
      </c>
      <c r="P55" s="205">
        <v>0.19</v>
      </c>
      <c r="Q55" s="114">
        <v>59.76</v>
      </c>
      <c r="R55" s="139"/>
      <c r="S55" s="156">
        <v>-1.0800000000000001E-2</v>
      </c>
      <c r="T55" s="156">
        <v>8.6E-3</v>
      </c>
      <c r="U55" s="156">
        <v>0.6744</v>
      </c>
      <c r="V55" s="156">
        <v>33.721499999999999</v>
      </c>
      <c r="W55" s="156">
        <v>0.71919999999999995</v>
      </c>
      <c r="X55" s="156">
        <v>-1.1999999999999999E-3</v>
      </c>
      <c r="Y55" s="156">
        <v>9.5999999999999992E-3</v>
      </c>
      <c r="Z55" s="156">
        <v>0.4093</v>
      </c>
      <c r="AA55" s="156">
        <v>20.464099999999998</v>
      </c>
      <c r="AB55" s="156">
        <v>0.77210000000000001</v>
      </c>
      <c r="AC55" s="113">
        <f t="shared" si="42"/>
        <v>6.0000000000000001E-3</v>
      </c>
      <c r="AD55" s="139"/>
      <c r="AE55" s="262">
        <v>10.918513936517661</v>
      </c>
      <c r="AF55" s="262">
        <v>8.7357783128330606</v>
      </c>
      <c r="AG55" s="262">
        <v>5.6195921843633609</v>
      </c>
      <c r="AH55" s="262">
        <v>5.7903302702349606</v>
      </c>
      <c r="AI55" s="262">
        <v>3.3341741910737603</v>
      </c>
      <c r="AJ55" s="262">
        <v>0</v>
      </c>
      <c r="AK55" s="262">
        <v>-1.1248811472327391</v>
      </c>
      <c r="AL55" s="262">
        <v>-2.3506731637479792</v>
      </c>
      <c r="AM55" s="262">
        <v>-6.52397828671584</v>
      </c>
      <c r="AN55" s="262">
        <v>-1.6286817860815397</v>
      </c>
      <c r="AO55" s="262">
        <v>-4.9722328809697096</v>
      </c>
      <c r="AP55" s="107">
        <f>SLOPE(AE55:AO55,AE41:AO41)</f>
        <v>0.16189395282055019</v>
      </c>
      <c r="AQ55" s="107">
        <f>SLOPE(AE55:AJ55,AE41:AJ41)</f>
        <v>0.20179041131998457</v>
      </c>
      <c r="AR55" s="107">
        <f>SLOPE(AJ55:AO55,AJ41:AO41)</f>
        <v>8.7273918412465165E-2</v>
      </c>
      <c r="AS55" s="139"/>
      <c r="AT55" s="194">
        <f>-1/-0.676</f>
        <v>1.4792899408284024</v>
      </c>
      <c r="AU55" s="194">
        <f>-1/-0.379</f>
        <v>2.6385224274406331</v>
      </c>
      <c r="AV55" s="194">
        <v>0</v>
      </c>
      <c r="AW55" s="194">
        <f>-1/-0.715</f>
        <v>1.3986013986013988</v>
      </c>
      <c r="AX55" s="149">
        <f t="shared" si="39"/>
        <v>1.4389456697149006</v>
      </c>
      <c r="AY55" s="149">
        <f t="shared" si="40"/>
        <v>1.3192612137203166</v>
      </c>
      <c r="AZ55" s="150">
        <f t="shared" si="41"/>
        <v>1.3791034417176085</v>
      </c>
    </row>
    <row r="56" spans="1:52" x14ac:dyDescent="0.5">
      <c r="A56" s="252" t="s">
        <v>118</v>
      </c>
      <c r="B56" s="253"/>
      <c r="C56" s="253"/>
      <c r="D56" s="253"/>
      <c r="E56" s="253"/>
      <c r="F56" s="253"/>
      <c r="G56" s="253"/>
      <c r="H56" s="253"/>
      <c r="I56" s="108"/>
      <c r="J56" s="209">
        <f t="shared" ref="J56:AQ56" si="43">AVERAGE(J50:J55)</f>
        <v>12.333333333333334</v>
      </c>
      <c r="K56" s="140"/>
      <c r="L56" s="108">
        <f t="shared" si="43"/>
        <v>6.0000000000000005E-2</v>
      </c>
      <c r="M56" s="108">
        <v>33.479999999999997</v>
      </c>
      <c r="N56" s="108">
        <f t="shared" si="43"/>
        <v>0.115</v>
      </c>
      <c r="O56" s="108">
        <v>42.870000000000005</v>
      </c>
      <c r="P56" s="108">
        <f t="shared" si="43"/>
        <v>0.16</v>
      </c>
      <c r="Q56" s="108">
        <v>46.32</v>
      </c>
      <c r="R56" s="140"/>
      <c r="S56" s="108">
        <f>ABS(AVERAGE(S50:S55))</f>
        <v>4.7983333333333329E-2</v>
      </c>
      <c r="T56" s="108">
        <f t="shared" si="43"/>
        <v>2.954E-2</v>
      </c>
      <c r="U56" s="108">
        <f t="shared" si="43"/>
        <v>-0.13065999999999997</v>
      </c>
      <c r="V56" s="108">
        <f t="shared" si="43"/>
        <v>-6.5328200000000027</v>
      </c>
      <c r="W56" s="108">
        <f t="shared" si="43"/>
        <v>0.59389999999999998</v>
      </c>
      <c r="X56" s="108">
        <f>ABS(AVERAGE(X50:X55))</f>
        <v>1.3299999999999999E-2</v>
      </c>
      <c r="Y56" s="108">
        <f t="shared" si="43"/>
        <v>4.0219999999999992E-2</v>
      </c>
      <c r="Z56" s="108">
        <f t="shared" si="43"/>
        <v>-1.6316199999999998</v>
      </c>
      <c r="AA56" s="108">
        <f t="shared" si="43"/>
        <v>-81.581880000000012</v>
      </c>
      <c r="AB56" s="108">
        <f t="shared" si="43"/>
        <v>0.53499999999999992</v>
      </c>
      <c r="AC56" s="108">
        <f t="shared" si="43"/>
        <v>4.4041666666666666E-2</v>
      </c>
      <c r="AD56" s="140"/>
      <c r="AE56" s="148">
        <f t="shared" si="43"/>
        <v>15.835772184370642</v>
      </c>
      <c r="AF56" s="108">
        <f t="shared" si="43"/>
        <v>10.453485760351969</v>
      </c>
      <c r="AG56" s="108">
        <f t="shared" si="43"/>
        <v>9.0026464372389903</v>
      </c>
      <c r="AH56" s="108">
        <f t="shared" si="43"/>
        <v>-2.4687451892827004</v>
      </c>
      <c r="AI56" s="108">
        <f t="shared" si="43"/>
        <v>4.3184230225052804</v>
      </c>
      <c r="AJ56" s="108">
        <f t="shared" si="43"/>
        <v>0</v>
      </c>
      <c r="AK56" s="108">
        <f t="shared" si="43"/>
        <v>0.33751362944808544</v>
      </c>
      <c r="AL56" s="108">
        <f t="shared" si="43"/>
        <v>3.5641779842505783</v>
      </c>
      <c r="AM56" s="108">
        <f t="shared" si="43"/>
        <v>0.99584041808413526</v>
      </c>
      <c r="AN56" s="108">
        <f t="shared" si="43"/>
        <v>-4.1135664708671529</v>
      </c>
      <c r="AO56" s="108">
        <f t="shared" si="43"/>
        <v>-7.0883204791792664</v>
      </c>
      <c r="AP56" s="108">
        <f t="shared" si="43"/>
        <v>0.17165832122371019</v>
      </c>
      <c r="AQ56" s="108">
        <f t="shared" si="43"/>
        <v>0.31158697360547138</v>
      </c>
      <c r="AR56" s="132">
        <f>AVERAGE(AR50:AR55)</f>
        <v>0.14675194360859567</v>
      </c>
      <c r="AS56" s="140"/>
      <c r="AT56" s="108">
        <f>AVERAGE(AT50:AT55)</f>
        <v>1.4741740793055076</v>
      </c>
      <c r="AU56" s="108">
        <f>AVERAGE(AU50:AU55)</f>
        <v>0.43975373790677219</v>
      </c>
      <c r="AV56" s="108">
        <f t="shared" ref="AV56:AZ56" si="44">AVERAGE(AV50:AV55)</f>
        <v>0</v>
      </c>
      <c r="AW56" s="108">
        <f t="shared" si="44"/>
        <v>0.90436761977168345</v>
      </c>
      <c r="AX56" s="108">
        <f t="shared" si="44"/>
        <v>1.1892708495385955</v>
      </c>
      <c r="AY56" s="108">
        <f>AVERAGE(AY50:AY55)</f>
        <v>0.2198768689533861</v>
      </c>
      <c r="AZ56" s="132">
        <f t="shared" si="44"/>
        <v>0.7045738592459907</v>
      </c>
    </row>
    <row r="57" spans="1:52" ht="14.7" thickBot="1" x14ac:dyDescent="0.55000000000000004">
      <c r="A57" s="263" t="s">
        <v>78</v>
      </c>
      <c r="B57" s="255"/>
      <c r="C57" s="255"/>
      <c r="D57" s="255"/>
      <c r="E57" s="255"/>
      <c r="F57" s="255"/>
      <c r="G57" s="255"/>
      <c r="H57" s="255"/>
      <c r="I57" s="109"/>
      <c r="J57" s="210">
        <f>_xlfn.STDEV.S(J50:J55)</f>
        <v>8.7101473389757693</v>
      </c>
      <c r="K57" s="109" t="e">
        <f t="shared" ref="K57:AZ57" si="45">_xlfn.STDEV.S(K50:K55)</f>
        <v>#DIV/0!</v>
      </c>
      <c r="L57" s="109">
        <f t="shared" si="45"/>
        <v>5.1768716422179124E-2</v>
      </c>
      <c r="M57" s="109">
        <v>25.229235612677613</v>
      </c>
      <c r="N57" s="109">
        <f t="shared" si="45"/>
        <v>7.1484264002646056E-2</v>
      </c>
      <c r="O57" s="109">
        <v>13.420526070165783</v>
      </c>
      <c r="P57" s="109">
        <f t="shared" si="45"/>
        <v>7.0427267446636063E-2</v>
      </c>
      <c r="Q57" s="109">
        <v>32.805199587870213</v>
      </c>
      <c r="R57" s="109" t="e">
        <f t="shared" si="45"/>
        <v>#DIV/0!</v>
      </c>
      <c r="S57" s="109">
        <f t="shared" si="45"/>
        <v>7.5467540483751469E-2</v>
      </c>
      <c r="T57" s="109">
        <f t="shared" si="45"/>
        <v>1.9951766839054627E-2</v>
      </c>
      <c r="U57" s="109">
        <f t="shared" si="45"/>
        <v>0.89988676676568591</v>
      </c>
      <c r="V57" s="109">
        <f t="shared" si="45"/>
        <v>44.994501834524186</v>
      </c>
      <c r="W57" s="109">
        <f t="shared" si="45"/>
        <v>0.24903652342578197</v>
      </c>
      <c r="X57" s="109">
        <f t="shared" si="45"/>
        <v>2.5710464795487463E-2</v>
      </c>
      <c r="Y57" s="109">
        <f t="shared" si="45"/>
        <v>2.19286798508255E-2</v>
      </c>
      <c r="Z57" s="109">
        <f t="shared" si="45"/>
        <v>1.3126395495336867</v>
      </c>
      <c r="AA57" s="109">
        <f t="shared" si="45"/>
        <v>65.631586947383795</v>
      </c>
      <c r="AB57" s="109">
        <f t="shared" si="45"/>
        <v>0.1792527824051835</v>
      </c>
      <c r="AC57" s="109">
        <f t="shared" si="45"/>
        <v>3.4269409342249646E-2</v>
      </c>
      <c r="AD57" s="109" t="e">
        <f t="shared" si="45"/>
        <v>#DIV/0!</v>
      </c>
      <c r="AE57" s="109">
        <f t="shared" si="45"/>
        <v>15.164717004770052</v>
      </c>
      <c r="AF57" s="109">
        <f t="shared" si="45"/>
        <v>7.3942885210348068</v>
      </c>
      <c r="AG57" s="109">
        <f t="shared" si="45"/>
        <v>3.3146409663223282</v>
      </c>
      <c r="AH57" s="109">
        <f t="shared" si="45"/>
        <v>23.894451151532078</v>
      </c>
      <c r="AI57" s="109">
        <f t="shared" si="45"/>
        <v>6.7057783523724011</v>
      </c>
      <c r="AJ57" s="109">
        <f t="shared" si="45"/>
        <v>0</v>
      </c>
      <c r="AK57" s="109">
        <f t="shared" si="45"/>
        <v>4.3683384073087721</v>
      </c>
      <c r="AL57" s="109">
        <f t="shared" si="45"/>
        <v>5.7649138528696922</v>
      </c>
      <c r="AM57" s="109">
        <f t="shared" si="45"/>
        <v>7.248712251318965</v>
      </c>
      <c r="AN57" s="109">
        <f t="shared" si="45"/>
        <v>5.7664067511258423</v>
      </c>
      <c r="AO57" s="109">
        <f t="shared" si="45"/>
        <v>4.596519087353605</v>
      </c>
      <c r="AP57" s="109">
        <f t="shared" si="45"/>
        <v>5.7877626400810296E-2</v>
      </c>
      <c r="AQ57" s="109">
        <f t="shared" si="45"/>
        <v>0.27802439845299781</v>
      </c>
      <c r="AR57" s="109">
        <f t="shared" si="45"/>
        <v>0.11228838554082154</v>
      </c>
      <c r="AS57" s="109" t="e">
        <f t="shared" si="45"/>
        <v>#DIV/0!</v>
      </c>
      <c r="AT57" s="109">
        <f t="shared" si="45"/>
        <v>0.73973903501800009</v>
      </c>
      <c r="AU57" s="109">
        <f t="shared" si="45"/>
        <v>1.0771722703532005</v>
      </c>
      <c r="AV57" s="109">
        <f t="shared" si="45"/>
        <v>0</v>
      </c>
      <c r="AW57" s="109">
        <f t="shared" si="45"/>
        <v>1.1402907339735866</v>
      </c>
      <c r="AX57" s="109">
        <f t="shared" si="45"/>
        <v>0.63272377241702527</v>
      </c>
      <c r="AY57" s="109">
        <f t="shared" si="45"/>
        <v>0.53858613517660026</v>
      </c>
      <c r="AZ57" s="109">
        <f t="shared" si="45"/>
        <v>0.45336765425716491</v>
      </c>
    </row>
    <row r="58" spans="1:52" s="256" customFormat="1" x14ac:dyDescent="0.5">
      <c r="J58" s="264"/>
      <c r="K58" s="257"/>
      <c r="R58" s="257"/>
      <c r="AD58" s="257"/>
      <c r="AS58" s="257"/>
    </row>
    <row r="59" spans="1:52" s="256" customFormat="1" x14ac:dyDescent="0.5">
      <c r="J59" s="264"/>
      <c r="K59" s="257"/>
      <c r="R59" s="257"/>
      <c r="AD59" s="257"/>
      <c r="AS59" s="257"/>
    </row>
    <row r="60" spans="1:52" s="256" customFormat="1" ht="14.7" thickBot="1" x14ac:dyDescent="0.55000000000000004">
      <c r="J60" s="264"/>
      <c r="K60" s="257"/>
      <c r="R60" s="257"/>
      <c r="AD60" s="257"/>
      <c r="AS60" s="257"/>
    </row>
    <row r="61" spans="1:52" ht="14.7" thickBot="1" x14ac:dyDescent="0.55000000000000004">
      <c r="A61" s="219"/>
      <c r="B61" s="220" t="s">
        <v>12</v>
      </c>
      <c r="C61" s="220" t="s">
        <v>85</v>
      </c>
      <c r="D61" s="220" t="s">
        <v>84</v>
      </c>
      <c r="E61" s="220" t="s">
        <v>3</v>
      </c>
      <c r="F61" s="220" t="s">
        <v>0</v>
      </c>
      <c r="G61" s="221" t="s">
        <v>7</v>
      </c>
      <c r="H61" s="222" t="s">
        <v>8</v>
      </c>
      <c r="I61" s="221" t="s">
        <v>153</v>
      </c>
      <c r="J61" s="265" t="s">
        <v>157</v>
      </c>
      <c r="K61" s="141"/>
      <c r="L61" s="223" t="s">
        <v>158</v>
      </c>
      <c r="M61" s="221"/>
      <c r="N61" s="221" t="s">
        <v>159</v>
      </c>
      <c r="O61" s="221"/>
      <c r="P61" s="221" t="s">
        <v>160</v>
      </c>
      <c r="Q61" s="221"/>
      <c r="R61" s="141"/>
      <c r="S61" s="143" t="s">
        <v>161</v>
      </c>
      <c r="T61" s="145" t="s">
        <v>108</v>
      </c>
      <c r="U61" s="145" t="s">
        <v>109</v>
      </c>
      <c r="V61" s="145" t="s">
        <v>104</v>
      </c>
      <c r="W61" s="146" t="s">
        <v>103</v>
      </c>
      <c r="X61" s="143" t="s">
        <v>162</v>
      </c>
      <c r="Y61" s="145" t="s">
        <v>108</v>
      </c>
      <c r="Z61" s="145" t="s">
        <v>109</v>
      </c>
      <c r="AA61" s="145" t="s">
        <v>104</v>
      </c>
      <c r="AB61" s="152" t="s">
        <v>103</v>
      </c>
      <c r="AC61" s="153" t="s">
        <v>163</v>
      </c>
      <c r="AD61" s="141"/>
      <c r="AE61" s="143">
        <v>50</v>
      </c>
      <c r="AF61" s="144">
        <v>40</v>
      </c>
      <c r="AG61" s="145">
        <v>30</v>
      </c>
      <c r="AH61" s="145">
        <v>20</v>
      </c>
      <c r="AI61" s="145">
        <v>10</v>
      </c>
      <c r="AJ61" s="145">
        <v>0</v>
      </c>
      <c r="AK61" s="145">
        <v>-10</v>
      </c>
      <c r="AL61" s="145">
        <v>-20</v>
      </c>
      <c r="AM61" s="145">
        <v>-30</v>
      </c>
      <c r="AN61" s="146">
        <v>-40</v>
      </c>
      <c r="AO61" s="146">
        <v>-50</v>
      </c>
      <c r="AP61" s="151" t="s">
        <v>164</v>
      </c>
      <c r="AQ61" s="151" t="s">
        <v>165</v>
      </c>
      <c r="AR61" s="151" t="s">
        <v>166</v>
      </c>
      <c r="AS61" s="141"/>
      <c r="AT61" s="258" t="s">
        <v>169</v>
      </c>
      <c r="AU61" s="258" t="s">
        <v>170</v>
      </c>
      <c r="AV61" s="259" t="s">
        <v>167</v>
      </c>
      <c r="AW61" s="258" t="s">
        <v>168</v>
      </c>
      <c r="AX61" s="258" t="s">
        <v>364</v>
      </c>
      <c r="AY61" s="258" t="s">
        <v>363</v>
      </c>
      <c r="AZ61" s="260" t="s">
        <v>171</v>
      </c>
    </row>
    <row r="62" spans="1:52" x14ac:dyDescent="0.5">
      <c r="A62" s="226">
        <v>1</v>
      </c>
      <c r="B62" s="9">
        <v>3729060</v>
      </c>
      <c r="C62" s="9"/>
      <c r="D62" s="9" t="s">
        <v>86</v>
      </c>
      <c r="E62" s="227" t="s">
        <v>4</v>
      </c>
      <c r="F62" s="228">
        <v>43430</v>
      </c>
      <c r="G62" s="229">
        <v>1</v>
      </c>
      <c r="H62" s="230">
        <v>0</v>
      </c>
      <c r="I62" s="229" t="s">
        <v>187</v>
      </c>
      <c r="J62" s="266">
        <v>7</v>
      </c>
      <c r="K62" s="139"/>
      <c r="L62" s="114">
        <v>0.11</v>
      </c>
      <c r="M62" s="114">
        <v>56.304000000000002</v>
      </c>
      <c r="N62" s="114">
        <v>0.24</v>
      </c>
      <c r="O62" s="114">
        <v>43.2</v>
      </c>
      <c r="P62" s="114">
        <v>0.25</v>
      </c>
      <c r="Q62" s="114">
        <v>63.36</v>
      </c>
      <c r="R62" s="139"/>
      <c r="S62" s="114">
        <v>-9.9500000000000005E-2</v>
      </c>
      <c r="T62" s="114"/>
      <c r="U62" s="114"/>
      <c r="V62" s="114"/>
      <c r="W62" s="114"/>
      <c r="X62" s="114">
        <v>1.35E-2</v>
      </c>
      <c r="Y62" s="114"/>
      <c r="Z62" s="114"/>
      <c r="AA62" s="114"/>
      <c r="AB62" s="114"/>
      <c r="AC62" s="113">
        <f t="shared" ref="AC62:AC63" si="46">(ABS(S62)+ABS(X62))/2</f>
        <v>5.6500000000000002E-2</v>
      </c>
      <c r="AD62" s="139"/>
      <c r="AE62" s="155">
        <v>15.899072987902301</v>
      </c>
      <c r="AF62" s="149">
        <v>10.076226828741252</v>
      </c>
      <c r="AG62" s="149">
        <v>6.6422006894668737</v>
      </c>
      <c r="AH62" s="149">
        <v>5.0868018343507604</v>
      </c>
      <c r="AI62" s="149">
        <v>3.7665732402370522</v>
      </c>
      <c r="AJ62" s="149">
        <v>0</v>
      </c>
      <c r="AK62" s="149">
        <v>-7.0225983886771287E-2</v>
      </c>
      <c r="AL62" s="149">
        <v>-0.740347470587288</v>
      </c>
      <c r="AM62" s="149">
        <v>-4.4078124662907676</v>
      </c>
      <c r="AN62" s="149">
        <v>-6.8278714722988214</v>
      </c>
      <c r="AO62" s="149">
        <v>-10.196187991621979</v>
      </c>
      <c r="AP62" s="107">
        <f>SLOPE(AE62:AO62,AE61:AO61)</f>
        <v>0.22430348673004957</v>
      </c>
      <c r="AQ62" s="107">
        <f>SLOPE(AE62:AJ62,AE61:AJ61)</f>
        <v>0.28565635588611493</v>
      </c>
      <c r="AR62" s="107">
        <f>SLOPE(AJ62:AO62,AJ61:AO61)</f>
        <v>0.21406097548299866</v>
      </c>
      <c r="AS62" s="139"/>
      <c r="AT62" s="149">
        <v>0</v>
      </c>
      <c r="AU62" s="149">
        <v>0</v>
      </c>
      <c r="AV62" s="149">
        <v>0</v>
      </c>
      <c r="AW62" s="149">
        <v>0</v>
      </c>
      <c r="AX62" s="149">
        <f t="shared" ref="AX62:AX67" si="47">AVERAGE(AW62,AT62)</f>
        <v>0</v>
      </c>
      <c r="AY62" s="149">
        <f t="shared" ref="AY62:AY67" si="48">AVERAGE(AV62,AU62)</f>
        <v>0</v>
      </c>
      <c r="AZ62" s="150">
        <f t="shared" ref="AZ62:AZ67" si="49">AVERAGE(AV62,AW62,AT62,AU62)</f>
        <v>0</v>
      </c>
    </row>
    <row r="63" spans="1:52" x14ac:dyDescent="0.5">
      <c r="A63" s="226">
        <v>2</v>
      </c>
      <c r="B63" s="9">
        <v>3729172</v>
      </c>
      <c r="C63" s="9" t="s">
        <v>63</v>
      </c>
      <c r="D63" s="9" t="s">
        <v>87</v>
      </c>
      <c r="E63" s="227" t="s">
        <v>62</v>
      </c>
      <c r="F63" s="228">
        <v>43555</v>
      </c>
      <c r="G63" s="229">
        <v>1</v>
      </c>
      <c r="H63" s="230">
        <v>0</v>
      </c>
      <c r="I63" s="229" t="s">
        <v>187</v>
      </c>
      <c r="J63" s="266">
        <v>7</v>
      </c>
      <c r="K63" s="139"/>
      <c r="L63" s="133">
        <v>0.2</v>
      </c>
      <c r="M63" s="114">
        <v>46.224000000000004</v>
      </c>
      <c r="N63" s="133">
        <v>0.27</v>
      </c>
      <c r="O63" s="114">
        <v>21.6</v>
      </c>
      <c r="P63" s="133">
        <v>0.41</v>
      </c>
      <c r="Q63" s="114">
        <v>18.72</v>
      </c>
      <c r="R63" s="139"/>
      <c r="S63" s="114">
        <v>-3.85E-2</v>
      </c>
      <c r="T63" s="114">
        <v>1.6799999999999999E-2</v>
      </c>
      <c r="U63" s="114">
        <v>1.7748999999999999</v>
      </c>
      <c r="V63" s="114">
        <v>88.746300000000005</v>
      </c>
      <c r="W63" s="114">
        <v>0.3206</v>
      </c>
      <c r="X63" s="114">
        <v>-4.1999999999999997E-3</v>
      </c>
      <c r="Y63" s="114">
        <v>3.7199999999999997E-2</v>
      </c>
      <c r="Z63" s="114">
        <v>-2.1337000000000002</v>
      </c>
      <c r="AA63" s="114">
        <v>-106.6836</v>
      </c>
      <c r="AB63" s="114">
        <v>0.62019999999999997</v>
      </c>
      <c r="AC63" s="113">
        <f t="shared" si="46"/>
        <v>2.1350000000000001E-2</v>
      </c>
      <c r="AD63" s="139"/>
      <c r="AE63" s="262">
        <v>7.2650127920249297</v>
      </c>
      <c r="AF63" s="262">
        <v>7.84958493774276</v>
      </c>
      <c r="AG63" s="262">
        <v>4.0142608136482902</v>
      </c>
      <c r="AH63" s="262">
        <v>3.6943709604730004</v>
      </c>
      <c r="AI63" s="262">
        <v>1.3332791565919999</v>
      </c>
      <c r="AJ63" s="262">
        <v>0</v>
      </c>
      <c r="AK63" s="262">
        <v>-1.8308338632266081</v>
      </c>
      <c r="AL63" s="262">
        <v>-3.17258583635105</v>
      </c>
      <c r="AM63" s="262">
        <v>-8.4938194324514793</v>
      </c>
      <c r="AN63" s="262">
        <v>-11.284688881001051</v>
      </c>
      <c r="AO63" s="262">
        <v>-16.382211362276621</v>
      </c>
      <c r="AP63" s="107">
        <f>SLOPE(AE63:AO63,AE61:AO61)</f>
        <v>0.22654134854386274</v>
      </c>
      <c r="AQ63" s="107">
        <f>SLOPE(AE63:AJ63,AE61:AJ61)</f>
        <v>0.16055391759072063</v>
      </c>
      <c r="AR63" s="107">
        <f>SLOPE(AJ63:AO63,AJ61:AO61)</f>
        <v>0.33026815845944818</v>
      </c>
      <c r="AS63" s="139"/>
      <c r="AT63" s="194">
        <f>-1/-0.384</f>
        <v>2.6041666666666665</v>
      </c>
      <c r="AU63" s="194">
        <v>0</v>
      </c>
      <c r="AV63" s="194">
        <v>0</v>
      </c>
      <c r="AW63" s="194">
        <f>-1/-0.25</f>
        <v>4</v>
      </c>
      <c r="AX63" s="149">
        <f t="shared" si="47"/>
        <v>3.302083333333333</v>
      </c>
      <c r="AY63" s="149">
        <f t="shared" si="48"/>
        <v>0</v>
      </c>
      <c r="AZ63" s="150">
        <f t="shared" si="49"/>
        <v>1.6510416666666665</v>
      </c>
    </row>
    <row r="64" spans="1:52" x14ac:dyDescent="0.5">
      <c r="A64" s="226">
        <v>3</v>
      </c>
      <c r="B64" s="9" t="s">
        <v>18</v>
      </c>
      <c r="C64" s="227" t="s">
        <v>83</v>
      </c>
      <c r="D64" s="227" t="s">
        <v>88</v>
      </c>
      <c r="E64" s="227" t="s">
        <v>62</v>
      </c>
      <c r="F64" s="228">
        <v>43606</v>
      </c>
      <c r="G64" s="229">
        <v>1</v>
      </c>
      <c r="H64" s="230">
        <v>0</v>
      </c>
      <c r="I64" s="229" t="s">
        <v>187</v>
      </c>
      <c r="J64" s="266">
        <v>8</v>
      </c>
      <c r="K64" s="139"/>
      <c r="L64" s="133">
        <v>0.01</v>
      </c>
      <c r="M64" s="114">
        <v>33.624000000000002</v>
      </c>
      <c r="N64" s="133">
        <v>0.12</v>
      </c>
      <c r="O64" s="114">
        <v>9.9</v>
      </c>
      <c r="P64" s="133">
        <v>0.32</v>
      </c>
      <c r="Q64" s="114">
        <v>-6.84</v>
      </c>
      <c r="R64" s="139"/>
      <c r="S64" s="114">
        <v>-2.8000000000000001E-2</v>
      </c>
      <c r="T64" s="114">
        <v>3.1199999999999999E-2</v>
      </c>
      <c r="U64" s="114">
        <v>2.0358999999999998</v>
      </c>
      <c r="V64" s="114">
        <v>101.7942</v>
      </c>
      <c r="W64" s="114">
        <v>0.71870000000000001</v>
      </c>
      <c r="X64" s="114">
        <v>-1.6999999999999999E-3</v>
      </c>
      <c r="Y64" s="114">
        <v>5.3999999999999999E-2</v>
      </c>
      <c r="Z64" s="114">
        <v>3.4887999999999999</v>
      </c>
      <c r="AA64" s="114">
        <v>174.43770000000001</v>
      </c>
      <c r="AB64" s="114">
        <v>0.73709999999999998</v>
      </c>
      <c r="AC64" s="113">
        <f>(ABS(S64)+ABS(X64))/2</f>
        <v>1.485E-2</v>
      </c>
      <c r="AD64" s="139"/>
      <c r="AE64" s="155">
        <v>2.84076997951927</v>
      </c>
      <c r="AF64" s="149">
        <v>3.4598285560276798</v>
      </c>
      <c r="AG64" s="149">
        <v>1.1023538255660918</v>
      </c>
      <c r="AH64" s="149">
        <v>2.8212330117700102</v>
      </c>
      <c r="AI64" s="149">
        <v>0.31269966778444092</v>
      </c>
      <c r="AJ64" s="149">
        <v>0</v>
      </c>
      <c r="AK64" s="149">
        <v>0.24249542297956994</v>
      </c>
      <c r="AL64" s="149">
        <v>2.3872493253496199</v>
      </c>
      <c r="AM64" s="149">
        <v>-1.1955492908393899</v>
      </c>
      <c r="AN64" s="149">
        <v>1.2309255924073186</v>
      </c>
      <c r="AO64" s="149">
        <v>-1.3052978455365001</v>
      </c>
      <c r="AP64" s="107">
        <f>SLOPE(AE64:AO64,AE61:AO61)</f>
        <v>3.4070756315111264E-2</v>
      </c>
      <c r="AQ64" s="107">
        <f>SLOPE(AE64:AJ64,AE61:AJ61)</f>
        <v>6.2646735360348996E-2</v>
      </c>
      <c r="AR64" s="107">
        <f>SLOPE(AJ64:AO64,AJ61:AO61)</f>
        <v>2.0411420958823617E-2</v>
      </c>
      <c r="AS64" s="139"/>
      <c r="AT64" s="194">
        <v>0</v>
      </c>
      <c r="AU64" s="194">
        <v>0</v>
      </c>
      <c r="AV64" s="194">
        <v>0</v>
      </c>
      <c r="AW64" s="194">
        <v>0</v>
      </c>
      <c r="AX64" s="149">
        <f t="shared" si="47"/>
        <v>0</v>
      </c>
      <c r="AY64" s="149">
        <f t="shared" si="48"/>
        <v>0</v>
      </c>
      <c r="AZ64" s="150">
        <f t="shared" si="49"/>
        <v>0</v>
      </c>
    </row>
    <row r="65" spans="1:52" x14ac:dyDescent="0.5">
      <c r="A65" s="226">
        <v>4</v>
      </c>
      <c r="B65" s="227"/>
      <c r="C65" s="227" t="s">
        <v>82</v>
      </c>
      <c r="D65" s="227" t="s">
        <v>90</v>
      </c>
      <c r="E65" s="227" t="s">
        <v>4</v>
      </c>
      <c r="F65" s="228">
        <v>43606</v>
      </c>
      <c r="G65" s="229">
        <v>1</v>
      </c>
      <c r="H65" s="230">
        <v>0</v>
      </c>
      <c r="I65" s="229" t="s">
        <v>187</v>
      </c>
      <c r="J65" s="266">
        <v>4</v>
      </c>
      <c r="K65" s="139"/>
      <c r="L65" s="133">
        <v>0.11</v>
      </c>
      <c r="M65" s="114">
        <v>-7.3440000000000003</v>
      </c>
      <c r="N65" s="133">
        <v>0.56000000000000005</v>
      </c>
      <c r="O65" s="114">
        <v>24.12</v>
      </c>
      <c r="P65" s="133">
        <v>0.69</v>
      </c>
      <c r="Q65" s="114">
        <v>-1.44</v>
      </c>
      <c r="R65" s="139"/>
      <c r="S65" s="114">
        <v>-4.7300000000000002E-2</v>
      </c>
      <c r="T65" s="114">
        <v>4.3200000000000002E-2</v>
      </c>
      <c r="U65" s="114">
        <v>-3.2198000000000002</v>
      </c>
      <c r="V65" s="114">
        <v>-160.99</v>
      </c>
      <c r="W65" s="114">
        <v>0.47570000000000001</v>
      </c>
      <c r="X65" s="114">
        <v>1.7500000000000002E-2</v>
      </c>
      <c r="Y65" s="114">
        <v>7.5999999999999998E-2</v>
      </c>
      <c r="Z65" s="114">
        <v>-2.9485000000000001</v>
      </c>
      <c r="AA65" s="114">
        <v>-147.42519999999999</v>
      </c>
      <c r="AB65" s="114">
        <v>0.88149999999999995</v>
      </c>
      <c r="AC65" s="113">
        <f t="shared" ref="AC65:AC67" si="50">(ABS(S65)+ABS(X65))/2</f>
        <v>3.2399999999999998E-2</v>
      </c>
      <c r="AD65" s="139"/>
      <c r="AE65" s="155">
        <v>15.949985965318801</v>
      </c>
      <c r="AF65" s="149">
        <v>10.367171233465578</v>
      </c>
      <c r="AG65" s="149">
        <v>6.0980368293904501</v>
      </c>
      <c r="AH65" s="149">
        <v>5.9872581687606399</v>
      </c>
      <c r="AI65" s="149">
        <v>6.7597337073471104</v>
      </c>
      <c r="AJ65" s="149">
        <v>0</v>
      </c>
      <c r="AK65" s="149">
        <v>5.5232850227704597</v>
      </c>
      <c r="AL65" s="149">
        <v>3.8054498275894302</v>
      </c>
      <c r="AM65" s="149">
        <v>-0.48837527829305016</v>
      </c>
      <c r="AN65" s="149">
        <v>0.54803204138960981</v>
      </c>
      <c r="AO65" s="149">
        <v>-6.4950981770678107</v>
      </c>
      <c r="AP65" s="107">
        <f>SLOPE(AE65:AO65,AE61:AO61)</f>
        <v>0.1607829810638241</v>
      </c>
      <c r="AQ65" s="107">
        <f>SLOPE(AE65:AJ65,AE61:AJ61)</f>
        <v>0.25909434590165498</v>
      </c>
      <c r="AR65" s="107">
        <f>SLOPE(AJ65:AO65,AJ61:AO61)</f>
        <v>0.14770021410104023</v>
      </c>
      <c r="AS65" s="139"/>
      <c r="AT65" s="194">
        <f>-1/-0.352</f>
        <v>2.8409090909090913</v>
      </c>
      <c r="AU65" s="194">
        <f>-1/-1.239</f>
        <v>0.80710250201775624</v>
      </c>
      <c r="AV65" s="194">
        <v>0</v>
      </c>
      <c r="AW65" s="194">
        <v>0</v>
      </c>
      <c r="AX65" s="149">
        <f t="shared" si="47"/>
        <v>1.4204545454545456</v>
      </c>
      <c r="AY65" s="149">
        <f t="shared" si="48"/>
        <v>0.40355125100887812</v>
      </c>
      <c r="AZ65" s="150">
        <f t="shared" si="49"/>
        <v>0.91200289823171188</v>
      </c>
    </row>
    <row r="66" spans="1:52" x14ac:dyDescent="0.5">
      <c r="A66" s="226">
        <v>5</v>
      </c>
      <c r="B66" s="227"/>
      <c r="C66" s="227" t="s">
        <v>93</v>
      </c>
      <c r="D66" s="227" t="s">
        <v>91</v>
      </c>
      <c r="E66" s="227" t="s">
        <v>62</v>
      </c>
      <c r="F66" s="228">
        <v>43690</v>
      </c>
      <c r="G66" s="229">
        <v>1</v>
      </c>
      <c r="H66" s="230">
        <v>0</v>
      </c>
      <c r="I66" s="229" t="s">
        <v>187</v>
      </c>
      <c r="J66" s="266">
        <v>12</v>
      </c>
      <c r="K66" s="139"/>
      <c r="L66" s="133">
        <v>0.38</v>
      </c>
      <c r="M66" s="114">
        <v>24.480000000000004</v>
      </c>
      <c r="N66" s="133">
        <v>0.44</v>
      </c>
      <c r="O66" s="114">
        <v>8.4600000000000009</v>
      </c>
      <c r="P66" s="133">
        <v>0.68</v>
      </c>
      <c r="Q66" s="114">
        <v>13.32</v>
      </c>
      <c r="R66" s="139"/>
      <c r="S66" s="114">
        <v>-4.6899999999999997E-2</v>
      </c>
      <c r="T66" s="114">
        <v>5.2699999999999997E-2</v>
      </c>
      <c r="U66" s="114">
        <v>2.7707000000000002</v>
      </c>
      <c r="V66" s="114">
        <v>138.53550000000001</v>
      </c>
      <c r="W66" s="114">
        <v>0.60709999999999997</v>
      </c>
      <c r="X66" s="114">
        <v>9.8000000000000004E-2</v>
      </c>
      <c r="Y66" s="114">
        <v>5.0799999999999998E-2</v>
      </c>
      <c r="Z66" s="114">
        <v>-0.18890000000000001</v>
      </c>
      <c r="AA66" s="114">
        <v>-9.4469999999999992</v>
      </c>
      <c r="AB66" s="114">
        <v>0.38640000000000002</v>
      </c>
      <c r="AC66" s="113">
        <f t="shared" si="50"/>
        <v>7.2450000000000001E-2</v>
      </c>
      <c r="AD66" s="139"/>
      <c r="AE66" s="155">
        <v>29.053336480552929</v>
      </c>
      <c r="AF66" s="149">
        <v>24.524184356680131</v>
      </c>
      <c r="AG66" s="149">
        <v>16.197952598384131</v>
      </c>
      <c r="AH66" s="149">
        <v>8.015723400762031</v>
      </c>
      <c r="AI66" s="149">
        <v>8.9551634047317297</v>
      </c>
      <c r="AJ66" s="149">
        <v>0</v>
      </c>
      <c r="AK66" s="149">
        <v>-2.9931382390876298</v>
      </c>
      <c r="AL66" s="149">
        <v>-2.7444278334484</v>
      </c>
      <c r="AM66" s="149">
        <v>-5.0498613831842594</v>
      </c>
      <c r="AN66" s="149">
        <v>-8.5032452994614705</v>
      </c>
      <c r="AO66" s="149">
        <v>-20.113559291804371</v>
      </c>
      <c r="AP66" s="107">
        <f>SLOPE(AE66:AO66,AE61:AO61)</f>
        <v>0.43196022140299845</v>
      </c>
      <c r="AQ66" s="107">
        <f>SLOPE(AE66:AJ66,AE61:AJ61)</f>
        <v>0.57187421273209138</v>
      </c>
      <c r="AR66" s="107">
        <f>SLOPE(AJ66:AO66,AJ61:AO61)</f>
        <v>0.34115300339965493</v>
      </c>
      <c r="AS66" s="139"/>
      <c r="AT66" s="194">
        <f>-1/-0.215</f>
        <v>4.6511627906976747</v>
      </c>
      <c r="AU66" s="194">
        <f>-1/-0.233</f>
        <v>4.2918454935622314</v>
      </c>
      <c r="AV66" s="194">
        <f>-1/-0.306</f>
        <v>3.2679738562091503</v>
      </c>
      <c r="AW66" s="194">
        <f>-1/-1.231</f>
        <v>0.81234768480909825</v>
      </c>
      <c r="AX66" s="149">
        <f t="shared" si="47"/>
        <v>2.7317552377533865</v>
      </c>
      <c r="AY66" s="149">
        <f t="shared" si="48"/>
        <v>3.7799096748856909</v>
      </c>
      <c r="AZ66" s="150">
        <f t="shared" si="49"/>
        <v>3.2558324563195384</v>
      </c>
    </row>
    <row r="67" spans="1:52" ht="14.7" thickBot="1" x14ac:dyDescent="0.55000000000000004">
      <c r="A67" s="226">
        <v>6</v>
      </c>
      <c r="B67" s="227"/>
      <c r="C67" s="227" t="s">
        <v>92</v>
      </c>
      <c r="D67" s="227" t="s">
        <v>91</v>
      </c>
      <c r="E67" s="227" t="s">
        <v>4</v>
      </c>
      <c r="F67" s="228">
        <v>43690</v>
      </c>
      <c r="G67" s="229">
        <v>1</v>
      </c>
      <c r="H67" s="230">
        <v>0</v>
      </c>
      <c r="I67" s="229" t="s">
        <v>187</v>
      </c>
      <c r="J67" s="266">
        <v>18</v>
      </c>
      <c r="K67" s="139"/>
      <c r="L67" s="133">
        <v>0.16</v>
      </c>
      <c r="M67" s="114">
        <v>37.295999999999999</v>
      </c>
      <c r="N67" s="133">
        <v>0.32</v>
      </c>
      <c r="O67" s="114">
        <v>31.5</v>
      </c>
      <c r="P67" s="133">
        <v>0.53</v>
      </c>
      <c r="Q67" s="114">
        <v>9</v>
      </c>
      <c r="R67" s="139"/>
      <c r="S67" s="114">
        <v>-5.8500000000000003E-2</v>
      </c>
      <c r="T67" s="114"/>
      <c r="U67" s="114"/>
      <c r="V67" s="114"/>
      <c r="W67" s="114"/>
      <c r="X67" s="114">
        <v>2.5000000000000001E-2</v>
      </c>
      <c r="Y67" s="114"/>
      <c r="Z67" s="114"/>
      <c r="AA67" s="114"/>
      <c r="AB67" s="114"/>
      <c r="AC67" s="113">
        <f t="shared" si="50"/>
        <v>4.1750000000000002E-2</v>
      </c>
      <c r="AD67" s="139"/>
      <c r="AE67" s="155">
        <v>9.3862597220956907</v>
      </c>
      <c r="AF67" s="149">
        <v>4.1803650597901099</v>
      </c>
      <c r="AG67" s="149">
        <v>5.7983993803454101</v>
      </c>
      <c r="AH67" s="149">
        <v>4.91542362998812</v>
      </c>
      <c r="AI67" s="149">
        <v>1.4719902647299801</v>
      </c>
      <c r="AJ67" s="149">
        <v>0</v>
      </c>
      <c r="AK67" s="149">
        <v>-1.2929382628696482</v>
      </c>
      <c r="AL67" s="149">
        <v>-3.9774228360760402</v>
      </c>
      <c r="AM67" s="149">
        <v>-6.8114569466856603</v>
      </c>
      <c r="AN67" s="149">
        <v>-16.130380814828509</v>
      </c>
      <c r="AO67" s="149">
        <v>-9.2953689724976005</v>
      </c>
      <c r="AP67" s="107">
        <f>SLOPE(AE67:AO67,AE61:AO61)</f>
        <v>0.21184665219296553</v>
      </c>
      <c r="AQ67" s="107">
        <f>SLOPE(AE67:AJ67,AE61:AJ61)</f>
        <v>0.15982685356004608</v>
      </c>
      <c r="AR67" s="107">
        <f>SLOPE(AJ67:AO67,AJ61:AO61)</f>
        <v>0.268066304654212</v>
      </c>
      <c r="AS67" s="139"/>
      <c r="AT67" s="194">
        <f>-1/-0.509</f>
        <v>1.9646365422396856</v>
      </c>
      <c r="AU67" s="194">
        <f>-1/-0.293</f>
        <v>3.4129692832764507</v>
      </c>
      <c r="AV67" s="194">
        <f>-1/-0.648</f>
        <v>1.5432098765432098</v>
      </c>
      <c r="AW67" s="194">
        <f>-1/-0.227</f>
        <v>4.4052863436123344</v>
      </c>
      <c r="AX67" s="149">
        <f t="shared" si="47"/>
        <v>3.18496144292601</v>
      </c>
      <c r="AY67" s="149">
        <f t="shared" si="48"/>
        <v>2.4780895799098301</v>
      </c>
      <c r="AZ67" s="150">
        <f t="shared" si="49"/>
        <v>2.8315255114179201</v>
      </c>
    </row>
    <row r="68" spans="1:52" x14ac:dyDescent="0.5">
      <c r="A68" s="231" t="s">
        <v>118</v>
      </c>
      <c r="B68" s="232"/>
      <c r="C68" s="232"/>
      <c r="D68" s="232"/>
      <c r="E68" s="232"/>
      <c r="F68" s="233"/>
      <c r="G68" s="234"/>
      <c r="H68" s="235"/>
      <c r="I68" s="234"/>
      <c r="J68" s="207">
        <f t="shared" ref="J68:L68" si="51">AVERAGE(J62:J67)</f>
        <v>9.3333333333333339</v>
      </c>
      <c r="K68" s="140"/>
      <c r="L68" s="129">
        <f t="shared" si="51"/>
        <v>0.16166666666666668</v>
      </c>
      <c r="M68" s="129">
        <v>31.763999999999999</v>
      </c>
      <c r="N68" s="129">
        <f t="shared" ref="N68:AX68" si="52">AVERAGE(N62:N67)</f>
        <v>0.32500000000000001</v>
      </c>
      <c r="O68" s="129">
        <v>23.130000000000006</v>
      </c>
      <c r="P68" s="129">
        <f t="shared" si="52"/>
        <v>0.48</v>
      </c>
      <c r="Q68" s="129">
        <v>16.02</v>
      </c>
      <c r="R68" s="140"/>
      <c r="S68" s="129">
        <f>ABS(AVERAGE(S62:S67))</f>
        <v>5.3116666666666666E-2</v>
      </c>
      <c r="T68" s="129">
        <f t="shared" si="52"/>
        <v>3.5975E-2</v>
      </c>
      <c r="U68" s="129">
        <f t="shared" si="52"/>
        <v>0.84042499999999987</v>
      </c>
      <c r="V68" s="129">
        <f t="shared" si="52"/>
        <v>42.021500000000003</v>
      </c>
      <c r="W68" s="129">
        <f t="shared" si="52"/>
        <v>0.53052499999999991</v>
      </c>
      <c r="X68" s="129">
        <f>ABS(AVERAGE(X62:X67))</f>
        <v>2.4683333333333335E-2</v>
      </c>
      <c r="Y68" s="129">
        <f t="shared" si="52"/>
        <v>5.4500000000000007E-2</v>
      </c>
      <c r="Z68" s="129">
        <f t="shared" si="52"/>
        <v>-0.44557500000000011</v>
      </c>
      <c r="AA68" s="129">
        <f t="shared" si="52"/>
        <v>-22.279524999999996</v>
      </c>
      <c r="AB68" s="129">
        <f t="shared" si="52"/>
        <v>0.65629999999999999</v>
      </c>
      <c r="AC68" s="129">
        <f t="shared" si="52"/>
        <v>3.9883333333333333E-2</v>
      </c>
      <c r="AD68" s="140"/>
      <c r="AE68" s="147">
        <f t="shared" si="52"/>
        <v>13.39907298790232</v>
      </c>
      <c r="AF68" s="129">
        <f t="shared" si="52"/>
        <v>10.076226828741252</v>
      </c>
      <c r="AG68" s="129">
        <f t="shared" si="52"/>
        <v>6.6422006894668746</v>
      </c>
      <c r="AH68" s="129">
        <f t="shared" si="52"/>
        <v>5.0868018343507604</v>
      </c>
      <c r="AI68" s="129">
        <f t="shared" si="52"/>
        <v>3.7665732402370522</v>
      </c>
      <c r="AJ68" s="129">
        <f t="shared" si="52"/>
        <v>0</v>
      </c>
      <c r="AK68" s="129">
        <f t="shared" si="52"/>
        <v>-7.0225983886771301E-2</v>
      </c>
      <c r="AL68" s="129">
        <f t="shared" si="52"/>
        <v>-0.74034747058728811</v>
      </c>
      <c r="AM68" s="129">
        <f t="shared" si="52"/>
        <v>-4.4078124662907676</v>
      </c>
      <c r="AN68" s="129">
        <f t="shared" si="52"/>
        <v>-6.8278714722988214</v>
      </c>
      <c r="AO68" s="129">
        <f t="shared" si="52"/>
        <v>-10.63128727346748</v>
      </c>
      <c r="AP68" s="129">
        <f>AVERAGE(AP62:AP67)</f>
        <v>0.21491757437480197</v>
      </c>
      <c r="AQ68" s="129">
        <f t="shared" si="52"/>
        <v>0.24994207017182948</v>
      </c>
      <c r="AR68" s="131">
        <f t="shared" si="52"/>
        <v>0.22027667950936294</v>
      </c>
      <c r="AS68" s="140"/>
      <c r="AT68" s="129">
        <f>AVERAGE(AT62:AT67)</f>
        <v>2.010145848418853</v>
      </c>
      <c r="AU68" s="129">
        <f>AVERAGE(AU62:AU67)</f>
        <v>1.4186528798094062</v>
      </c>
      <c r="AV68" s="129">
        <f t="shared" si="52"/>
        <v>0.80186395545872668</v>
      </c>
      <c r="AW68" s="129">
        <f t="shared" si="52"/>
        <v>1.5362723380702388</v>
      </c>
      <c r="AX68" s="129">
        <f t="shared" si="52"/>
        <v>1.7732090932445459</v>
      </c>
      <c r="AY68" s="129">
        <f>AVERAGE(AY62:AY67)</f>
        <v>1.1102584176340666</v>
      </c>
      <c r="AZ68" s="131">
        <f>AVERAGE(AZ62:AZ67)</f>
        <v>1.4417337554393062</v>
      </c>
    </row>
    <row r="69" spans="1:52" ht="14.7" thickBot="1" x14ac:dyDescent="0.55000000000000004">
      <c r="A69" s="236" t="s">
        <v>78</v>
      </c>
      <c r="B69" s="237"/>
      <c r="C69" s="237"/>
      <c r="D69" s="237"/>
      <c r="E69" s="237"/>
      <c r="F69" s="238"/>
      <c r="G69" s="239"/>
      <c r="H69" s="240"/>
      <c r="I69" s="239"/>
      <c r="J69" s="208">
        <f>_xlfn.STDEV.S(J62:J67)</f>
        <v>4.9665548085837807</v>
      </c>
      <c r="K69" s="208" t="e">
        <f t="shared" ref="K69:AZ69" si="53">_xlfn.STDEV.S(K62:K67)</f>
        <v>#DIV/0!</v>
      </c>
      <c r="L69" s="130">
        <f t="shared" si="53"/>
        <v>0.12448560827126429</v>
      </c>
      <c r="M69" s="130">
        <v>22.035689887089998</v>
      </c>
      <c r="N69" s="130">
        <f t="shared" si="53"/>
        <v>0.15540270267920062</v>
      </c>
      <c r="O69" s="130">
        <v>13.163773015363034</v>
      </c>
      <c r="P69" s="130">
        <f t="shared" si="53"/>
        <v>0.18439088914585783</v>
      </c>
      <c r="Q69" s="130">
        <v>25.029451452239218</v>
      </c>
      <c r="R69" s="130" t="e">
        <f t="shared" si="53"/>
        <v>#DIV/0!</v>
      </c>
      <c r="S69" s="130">
        <f t="shared" si="53"/>
        <v>2.488922792427815E-2</v>
      </c>
      <c r="T69" s="130">
        <f t="shared" si="53"/>
        <v>1.5517812345817308E-2</v>
      </c>
      <c r="U69" s="130">
        <f t="shared" si="53"/>
        <v>2.7394520515059213</v>
      </c>
      <c r="V69" s="130">
        <f t="shared" si="53"/>
        <v>136.97275146123042</v>
      </c>
      <c r="W69" s="130">
        <f t="shared" si="53"/>
        <v>0.171607932508961</v>
      </c>
      <c r="X69" s="130">
        <f t="shared" si="53"/>
        <v>3.7636228114234123E-2</v>
      </c>
      <c r="Y69" s="130">
        <f t="shared" si="53"/>
        <v>1.607772786600558E-2</v>
      </c>
      <c r="Z69" s="130">
        <f t="shared" si="53"/>
        <v>2.8670303025662869</v>
      </c>
      <c r="AA69" s="130">
        <f t="shared" si="53"/>
        <v>143.35018678907431</v>
      </c>
      <c r="AB69" s="130">
        <f t="shared" si="53"/>
        <v>0.2092788411028054</v>
      </c>
      <c r="AC69" s="130">
        <f t="shared" si="53"/>
        <v>2.1754715963824178E-2</v>
      </c>
      <c r="AD69" s="130" t="e">
        <f t="shared" si="53"/>
        <v>#DIV/0!</v>
      </c>
      <c r="AE69" s="130">
        <f t="shared" si="53"/>
        <v>9.1980459851579024</v>
      </c>
      <c r="AF69" s="130">
        <f t="shared" si="53"/>
        <v>7.646227456573107</v>
      </c>
      <c r="AG69" s="130">
        <f t="shared" si="53"/>
        <v>5.0973813035136564</v>
      </c>
      <c r="AH69" s="130">
        <f t="shared" si="53"/>
        <v>1.8160638463267955</v>
      </c>
      <c r="AI69" s="130">
        <f t="shared" si="53"/>
        <v>3.4349891196461417</v>
      </c>
      <c r="AJ69" s="130">
        <f t="shared" si="53"/>
        <v>0</v>
      </c>
      <c r="AK69" s="130">
        <f t="shared" si="53"/>
        <v>2.9840690854429104</v>
      </c>
      <c r="AL69" s="130">
        <f t="shared" si="53"/>
        <v>3.1892605188230827</v>
      </c>
      <c r="AM69" s="130">
        <f t="shared" si="53"/>
        <v>3.116594587249077</v>
      </c>
      <c r="AN69" s="130">
        <f t="shared" si="53"/>
        <v>6.7609901895574813</v>
      </c>
      <c r="AO69" s="130">
        <f t="shared" si="53"/>
        <v>6.7682012181666789</v>
      </c>
      <c r="AP69" s="130">
        <f t="shared" si="53"/>
        <v>0.12882257136386208</v>
      </c>
      <c r="AQ69" s="130">
        <f t="shared" si="53"/>
        <v>0.1767428161468261</v>
      </c>
      <c r="AR69" s="130">
        <f t="shared" si="53"/>
        <v>0.1218566036565321</v>
      </c>
      <c r="AS69" s="130" t="e">
        <f t="shared" si="53"/>
        <v>#DIV/0!</v>
      </c>
      <c r="AT69" s="130">
        <f t="shared" si="53"/>
        <v>1.7945162327361923</v>
      </c>
      <c r="AU69" s="130">
        <f t="shared" si="53"/>
        <v>1.9310233327235169</v>
      </c>
      <c r="AV69" s="130">
        <f t="shared" si="53"/>
        <v>1.3567044652055602</v>
      </c>
      <c r="AW69" s="130">
        <f t="shared" si="53"/>
        <v>2.0931153981523924</v>
      </c>
      <c r="AX69" s="130">
        <f t="shared" si="53"/>
        <v>1.5272385928667318</v>
      </c>
      <c r="AY69" s="130">
        <f t="shared" si="53"/>
        <v>1.6245280056052682</v>
      </c>
      <c r="AZ69" s="130">
        <f t="shared" si="53"/>
        <v>1.3931326029813507</v>
      </c>
    </row>
    <row r="70" spans="1:52" x14ac:dyDescent="0.5">
      <c r="A70" s="241">
        <v>1</v>
      </c>
      <c r="B70" s="242"/>
      <c r="C70" s="242" t="s">
        <v>95</v>
      </c>
      <c r="D70" s="242" t="s">
        <v>94</v>
      </c>
      <c r="E70" s="242" t="s">
        <v>4</v>
      </c>
      <c r="F70" s="243">
        <v>43615</v>
      </c>
      <c r="G70" s="244">
        <v>0</v>
      </c>
      <c r="H70" s="245">
        <v>1</v>
      </c>
      <c r="I70" s="246" t="s">
        <v>187</v>
      </c>
      <c r="J70" s="261">
        <v>11</v>
      </c>
      <c r="K70" s="139"/>
      <c r="L70" s="203">
        <v>0.19</v>
      </c>
      <c r="M70" s="114">
        <v>39.312000000000005</v>
      </c>
      <c r="N70" s="204">
        <v>0.46</v>
      </c>
      <c r="O70" s="114">
        <v>44.64</v>
      </c>
      <c r="P70" s="204">
        <v>0.73</v>
      </c>
      <c r="Q70" s="114">
        <v>15.12</v>
      </c>
      <c r="R70" s="139"/>
      <c r="S70" s="134">
        <v>-4.82E-2</v>
      </c>
      <c r="T70" s="134">
        <v>1.5E-3</v>
      </c>
      <c r="U70" s="134">
        <v>2.8948</v>
      </c>
      <c r="V70" s="134">
        <v>144.73910000000001</v>
      </c>
      <c r="W70" s="134">
        <v>3.7000000000000002E-3</v>
      </c>
      <c r="X70" s="135">
        <v>2.5000000000000001E-3</v>
      </c>
      <c r="Y70" s="134">
        <v>5.5199999999999999E-2</v>
      </c>
      <c r="Z70" s="134">
        <v>-2.3542000000000001</v>
      </c>
      <c r="AA70" s="134">
        <v>-117.7109</v>
      </c>
      <c r="AB70" s="136">
        <v>0.74990000000000001</v>
      </c>
      <c r="AC70" s="113">
        <f t="shared" ref="AC70:AC71" si="54">(ABS(S70)+ABS(X70))/2</f>
        <v>2.5350000000000001E-2</v>
      </c>
      <c r="AD70" s="139"/>
      <c r="AE70" s="262">
        <v>-1.3329151625384501</v>
      </c>
      <c r="AF70" s="262">
        <v>6.7724493052195909</v>
      </c>
      <c r="AG70" s="262">
        <v>3.7815374500762902</v>
      </c>
      <c r="AH70" s="262">
        <v>-1.0018605724850094</v>
      </c>
      <c r="AI70" s="262">
        <v>-0.88776797112861949</v>
      </c>
      <c r="AJ70" s="262">
        <v>0</v>
      </c>
      <c r="AK70" s="262">
        <v>-7.1760625059808225</v>
      </c>
      <c r="AL70" s="262">
        <v>-6.0569324110227996</v>
      </c>
      <c r="AM70" s="262">
        <v>-7.3452293248039933</v>
      </c>
      <c r="AN70" s="262">
        <v>-7.4675101183335375</v>
      </c>
      <c r="AO70" s="262">
        <v>-5.9401087812355797</v>
      </c>
      <c r="AP70" s="107">
        <f>SLOPE(AE70:AO70,AE61:AO61)</f>
        <v>0.11797685847660618</v>
      </c>
      <c r="AQ70" s="107">
        <f>SLOPE(AE70:AJ70,AE61:AJ61)</f>
        <v>6.0284211539753385E-2</v>
      </c>
      <c r="AR70" s="107">
        <f>SLOPE(AJ70:AO70,AJ61:AO61)</f>
        <v>9.1037667591477842E-2</v>
      </c>
      <c r="AS70" s="139"/>
      <c r="AT70" s="194">
        <v>0</v>
      </c>
      <c r="AU70" s="194">
        <v>0</v>
      </c>
      <c r="AV70" s="194">
        <v>0</v>
      </c>
      <c r="AW70" s="194">
        <f>-1/-0.801</f>
        <v>1.2484394506866416</v>
      </c>
      <c r="AX70" s="149">
        <f t="shared" ref="AX70:AX75" si="55">AVERAGE(AW70,AT70)</f>
        <v>0.62421972534332082</v>
      </c>
      <c r="AY70" s="149">
        <f t="shared" ref="AY70:AY75" si="56">AVERAGE(AV70,AU70)</f>
        <v>0</v>
      </c>
      <c r="AZ70" s="150">
        <f t="shared" ref="AZ70:AZ75" si="57">AVERAGE(AV70,AW70,AT70,AU70)</f>
        <v>0.31210986267166041</v>
      </c>
    </row>
    <row r="71" spans="1:52" x14ac:dyDescent="0.5">
      <c r="A71" s="247">
        <v>2</v>
      </c>
      <c r="B71" s="248"/>
      <c r="C71" s="248" t="s">
        <v>96</v>
      </c>
      <c r="D71" s="248" t="s">
        <v>94</v>
      </c>
      <c r="E71" s="248" t="s">
        <v>4</v>
      </c>
      <c r="F71" s="249">
        <v>43615</v>
      </c>
      <c r="G71" s="246">
        <v>0</v>
      </c>
      <c r="H71" s="250">
        <v>1</v>
      </c>
      <c r="I71" s="246" t="s">
        <v>187</v>
      </c>
      <c r="J71" s="261">
        <v>7</v>
      </c>
      <c r="K71" s="139"/>
      <c r="L71" s="203">
        <v>0.23</v>
      </c>
      <c r="M71" s="114">
        <v>35.712000000000003</v>
      </c>
      <c r="N71" s="204">
        <v>0.36</v>
      </c>
      <c r="O71" s="114">
        <v>-5.58</v>
      </c>
      <c r="P71" s="204">
        <v>0.56000000000000005</v>
      </c>
      <c r="Q71" s="114">
        <v>2.88</v>
      </c>
      <c r="R71" s="139"/>
      <c r="S71" s="134">
        <v>-0.1502</v>
      </c>
      <c r="T71" s="134">
        <v>1.5599999999999999E-2</v>
      </c>
      <c r="U71" s="134">
        <v>-1.3415999999999999</v>
      </c>
      <c r="V71" s="134">
        <v>-67.0792</v>
      </c>
      <c r="W71" s="134">
        <v>0.20100000000000001</v>
      </c>
      <c r="X71" s="135">
        <v>-4.58E-2</v>
      </c>
      <c r="Y71" s="134">
        <v>0.1268</v>
      </c>
      <c r="Z71" s="134">
        <v>-1.8872</v>
      </c>
      <c r="AA71" s="134">
        <v>-94.3596</v>
      </c>
      <c r="AB71" s="136">
        <v>0.88839999999999997</v>
      </c>
      <c r="AC71" s="113">
        <f t="shared" si="54"/>
        <v>9.8000000000000004E-2</v>
      </c>
      <c r="AD71" s="139"/>
      <c r="AE71" s="262">
        <v>34.506165422158382</v>
      </c>
      <c r="AF71" s="262">
        <v>29.540888160333481</v>
      </c>
      <c r="AG71" s="262">
        <v>17.571159896145979</v>
      </c>
      <c r="AH71" s="262">
        <v>3.73932936422593</v>
      </c>
      <c r="AI71" s="262">
        <v>3.7285448663224598</v>
      </c>
      <c r="AJ71" s="262">
        <v>0</v>
      </c>
      <c r="AK71" s="262">
        <v>-2.3300721180585802</v>
      </c>
      <c r="AL71" s="262">
        <v>5.5153292549595418</v>
      </c>
      <c r="AM71" s="262">
        <v>-5.9883904025687205</v>
      </c>
      <c r="AN71" s="262">
        <v>-4.4338865695841605</v>
      </c>
      <c r="AO71" s="262">
        <v>-5.9621888479411194</v>
      </c>
      <c r="AP71" s="107">
        <f>SLOPE(AE71:AO71,AE61:AO61)</f>
        <v>0.37402376215384175</v>
      </c>
      <c r="AQ71" s="107">
        <f>SLOPE(AE71:AJ71,AE61:AJ61)</f>
        <v>0.7537133929278429</v>
      </c>
      <c r="AR71" s="107">
        <f>SLOPE(AJ71:AO71,AJ61:AO61)</f>
        <v>0.13607459214803028</v>
      </c>
      <c r="AS71" s="139"/>
      <c r="AT71" s="194">
        <f>-1/-1.112</f>
        <v>0.89928057553956831</v>
      </c>
      <c r="AU71" s="194">
        <f>-1/-1.397</f>
        <v>0.71581961345740874</v>
      </c>
      <c r="AV71" s="194">
        <v>0</v>
      </c>
      <c r="AW71" s="194">
        <f>-1/-0.599</f>
        <v>1.669449081803005</v>
      </c>
      <c r="AX71" s="149">
        <f t="shared" si="55"/>
        <v>1.2843648286712868</v>
      </c>
      <c r="AY71" s="149">
        <f t="shared" si="56"/>
        <v>0.35790980672870437</v>
      </c>
      <c r="AZ71" s="150">
        <f t="shared" si="57"/>
        <v>0.82113731769999554</v>
      </c>
    </row>
    <row r="72" spans="1:52" x14ac:dyDescent="0.5">
      <c r="A72" s="247">
        <v>3</v>
      </c>
      <c r="B72" s="116">
        <v>4084374</v>
      </c>
      <c r="C72" s="248" t="s">
        <v>100</v>
      </c>
      <c r="D72" s="248" t="s">
        <v>99</v>
      </c>
      <c r="E72" s="248" t="s">
        <v>62</v>
      </c>
      <c r="F72" s="249">
        <v>43812</v>
      </c>
      <c r="G72" s="246">
        <v>0</v>
      </c>
      <c r="H72" s="250">
        <v>1</v>
      </c>
      <c r="I72" s="246" t="s">
        <v>187</v>
      </c>
      <c r="J72" s="261">
        <v>6</v>
      </c>
      <c r="K72" s="139"/>
      <c r="L72" s="205">
        <v>0.05</v>
      </c>
      <c r="M72" s="114">
        <v>52.704000000000001</v>
      </c>
      <c r="N72" s="205">
        <v>0.22</v>
      </c>
      <c r="O72" s="114">
        <v>68.400000000000006</v>
      </c>
      <c r="P72" s="205">
        <v>0.36</v>
      </c>
      <c r="Q72" s="114">
        <v>24.84</v>
      </c>
      <c r="R72" s="139"/>
      <c r="S72" s="156">
        <v>-3.7100000000000001E-2</v>
      </c>
      <c r="T72" s="156">
        <v>5.1999999999999998E-3</v>
      </c>
      <c r="U72" s="156">
        <v>-2.8978000000000002</v>
      </c>
      <c r="V72" s="156">
        <v>-144.89099999999999</v>
      </c>
      <c r="W72" s="156">
        <v>8.9200000000000002E-2</v>
      </c>
      <c r="X72" s="156">
        <v>1E-3</v>
      </c>
      <c r="Y72" s="156">
        <v>3.7999999999999999E-2</v>
      </c>
      <c r="Z72" s="156">
        <v>-2.5345</v>
      </c>
      <c r="AA72" s="156">
        <v>-126.7269</v>
      </c>
      <c r="AB72" s="156">
        <v>0.72929999999999995</v>
      </c>
      <c r="AC72" s="113">
        <f>(ABS(S72)+ABS(X72))/2</f>
        <v>1.9050000000000001E-2</v>
      </c>
      <c r="AD72" s="139"/>
      <c r="AE72" s="262">
        <v>19.97663587992092</v>
      </c>
      <c r="AF72" s="262">
        <v>16.81115839806122</v>
      </c>
      <c r="AG72" s="262">
        <v>11.851135017158221</v>
      </c>
      <c r="AH72" s="262">
        <v>4.3786071006070699</v>
      </c>
      <c r="AI72" s="262">
        <v>0.20842779204387996</v>
      </c>
      <c r="AJ72" s="262">
        <v>0</v>
      </c>
      <c r="AK72" s="262">
        <v>-3.1824290778973499</v>
      </c>
      <c r="AL72" s="262">
        <v>-3.2794234708682701</v>
      </c>
      <c r="AM72" s="262">
        <v>-3.9292273911452504</v>
      </c>
      <c r="AN72" s="262">
        <v>-9.4898097035321793</v>
      </c>
      <c r="AO72" s="262">
        <v>-11.369989433680679</v>
      </c>
      <c r="AP72" s="107">
        <f>SLOPE(AE72:AO72,AE61:AO61)</f>
        <v>0.29816818564743997</v>
      </c>
      <c r="AQ72" s="107">
        <f>SLOPE(AE72:AJ72,AE61:AJ61)</f>
        <v>0.44903971181202218</v>
      </c>
      <c r="AR72" s="107">
        <f>SLOPE(AJ72:AO72,AJ61:AO61)</f>
        <v>0.21834826561595674</v>
      </c>
      <c r="AS72" s="139"/>
      <c r="AT72" s="194">
        <f>-1/-0.453</f>
        <v>2.2075055187637966</v>
      </c>
      <c r="AU72" s="194">
        <f>-1/-3.367</f>
        <v>0.29700029700029701</v>
      </c>
      <c r="AV72" s="194">
        <v>0</v>
      </c>
      <c r="AW72" s="194">
        <f>-1/-0.23</f>
        <v>4.3478260869565215</v>
      </c>
      <c r="AX72" s="149">
        <f t="shared" si="55"/>
        <v>3.2776658028601591</v>
      </c>
      <c r="AY72" s="149">
        <f t="shared" si="56"/>
        <v>0.1485001485001485</v>
      </c>
      <c r="AZ72" s="150">
        <f t="shared" si="57"/>
        <v>1.7130829756801538</v>
      </c>
    </row>
    <row r="73" spans="1:52" x14ac:dyDescent="0.5">
      <c r="A73" s="247">
        <v>4</v>
      </c>
      <c r="B73" s="248"/>
      <c r="C73" s="248" t="s">
        <v>188</v>
      </c>
      <c r="D73" s="248" t="s">
        <v>99</v>
      </c>
      <c r="E73" s="248" t="s">
        <v>62</v>
      </c>
      <c r="F73" s="249">
        <v>43812</v>
      </c>
      <c r="G73" s="246">
        <v>0</v>
      </c>
      <c r="H73" s="250">
        <v>1</v>
      </c>
      <c r="I73" s="246" t="s">
        <v>187</v>
      </c>
      <c r="J73" s="261">
        <v>5</v>
      </c>
      <c r="K73" s="139"/>
      <c r="L73" s="205">
        <v>0.14000000000000001</v>
      </c>
      <c r="M73" s="114">
        <v>36.216000000000001</v>
      </c>
      <c r="N73" s="205">
        <v>0.25</v>
      </c>
      <c r="O73" s="114">
        <v>27.36</v>
      </c>
      <c r="P73" s="205">
        <v>0.32</v>
      </c>
      <c r="Q73" s="114">
        <v>19.079999999999998</v>
      </c>
      <c r="R73" s="139"/>
      <c r="S73" s="156">
        <v>-2.2100000000000002E-2</v>
      </c>
      <c r="T73" s="156">
        <v>1.61E-2</v>
      </c>
      <c r="U73" s="156">
        <v>2.0322</v>
      </c>
      <c r="V73" s="156">
        <v>101.6125</v>
      </c>
      <c r="W73" s="156">
        <v>0.13619999999999999</v>
      </c>
      <c r="X73" s="156">
        <v>7.1999999999999998E-3</v>
      </c>
      <c r="Y73" s="156">
        <v>3.3099999999999997E-2</v>
      </c>
      <c r="Z73" s="156">
        <v>-1.611</v>
      </c>
      <c r="AA73" s="156">
        <v>-80.548400000000001</v>
      </c>
      <c r="AB73" s="156">
        <v>0.5988</v>
      </c>
      <c r="AC73" s="113">
        <f t="shared" ref="AC73:AC75" si="58">(ABS(S73)+ABS(X73))/2</f>
        <v>1.465E-2</v>
      </c>
      <c r="AD73" s="139"/>
      <c r="AE73" s="262">
        <v>15.578260230256339</v>
      </c>
      <c r="AF73" s="262">
        <v>42.668810429026436</v>
      </c>
      <c r="AG73" s="262">
        <v>22.914202456314541</v>
      </c>
      <c r="AH73" s="262">
        <v>17.729831463699998</v>
      </c>
      <c r="AI73" s="262">
        <v>10.66602565619317</v>
      </c>
      <c r="AJ73" s="262">
        <v>0</v>
      </c>
      <c r="AK73" s="262">
        <v>-9.8980140534660599</v>
      </c>
      <c r="AL73" s="262">
        <v>-12.592752255299761</v>
      </c>
      <c r="AM73" s="262">
        <v>-4.0171805889470003</v>
      </c>
      <c r="AN73" s="262">
        <v>-12.4792246316849</v>
      </c>
      <c r="AO73" s="262">
        <v>-17.258093405139</v>
      </c>
      <c r="AP73" s="107">
        <f>SLOPE(AE73:AO73,AE61:AO61)</f>
        <v>0.49707024063933219</v>
      </c>
      <c r="AQ73" s="107">
        <f>SLOPE(AE73:AJ73,AE61:AJ61)</f>
        <v>0.51166864703541737</v>
      </c>
      <c r="AR73" s="107">
        <f>SLOPE(AJ73:AO73,AJ61:AO61)</f>
        <v>0.24416722026856788</v>
      </c>
      <c r="AS73" s="139"/>
      <c r="AT73" s="194">
        <f>-1/-0.194</f>
        <v>5.1546391752577314</v>
      </c>
      <c r="AU73" s="194">
        <v>0</v>
      </c>
      <c r="AV73" s="194">
        <v>0</v>
      </c>
      <c r="AW73" s="194">
        <v>0</v>
      </c>
      <c r="AX73" s="149">
        <f t="shared" si="55"/>
        <v>2.5773195876288657</v>
      </c>
      <c r="AY73" s="149">
        <f t="shared" si="56"/>
        <v>0</v>
      </c>
      <c r="AZ73" s="150">
        <f t="shared" si="57"/>
        <v>1.2886597938144329</v>
      </c>
    </row>
    <row r="74" spans="1:52" x14ac:dyDescent="0.5">
      <c r="A74" s="247">
        <v>5</v>
      </c>
      <c r="B74" s="116" t="s">
        <v>18</v>
      </c>
      <c r="C74" s="248" t="s">
        <v>97</v>
      </c>
      <c r="D74" s="248" t="s">
        <v>99</v>
      </c>
      <c r="E74" s="248" t="s">
        <v>62</v>
      </c>
      <c r="F74" s="249">
        <v>43784</v>
      </c>
      <c r="G74" s="246">
        <v>0</v>
      </c>
      <c r="H74" s="250">
        <v>1</v>
      </c>
      <c r="I74" s="246" t="s">
        <v>187</v>
      </c>
      <c r="J74" s="261">
        <v>8</v>
      </c>
      <c r="K74" s="139"/>
      <c r="L74" s="205">
        <v>0.04</v>
      </c>
      <c r="M74" s="114">
        <v>47.304000000000002</v>
      </c>
      <c r="N74" s="205">
        <v>0.13</v>
      </c>
      <c r="O74" s="114">
        <v>50.76</v>
      </c>
      <c r="P74" s="205">
        <v>0.11</v>
      </c>
      <c r="Q74" s="114">
        <v>42.12</v>
      </c>
      <c r="R74" s="139"/>
      <c r="S74" s="156">
        <v>5.9999999999999995E-4</v>
      </c>
      <c r="T74" s="156">
        <v>5.0299999999999997E-2</v>
      </c>
      <c r="U74" s="156">
        <v>-1.0209999999999999</v>
      </c>
      <c r="V74" s="156">
        <v>-51.052300000000002</v>
      </c>
      <c r="W74" s="156">
        <v>0.79730000000000001</v>
      </c>
      <c r="X74" s="156">
        <v>1.5E-3</v>
      </c>
      <c r="Y74" s="156">
        <v>5.2299999999999999E-2</v>
      </c>
      <c r="Z74" s="156">
        <v>9.5600000000000004E-2</v>
      </c>
      <c r="AA74" s="156">
        <v>4.7824</v>
      </c>
      <c r="AB74" s="156">
        <v>0.79890000000000005</v>
      </c>
      <c r="AC74" s="113">
        <f t="shared" si="58"/>
        <v>1.0499999999999999E-3</v>
      </c>
      <c r="AD74" s="139"/>
      <c r="AE74" s="262">
        <v>12.252466756526379</v>
      </c>
      <c r="AF74" s="262">
        <v>10.427047313072981</v>
      </c>
      <c r="AG74" s="262">
        <v>4.3818616296180792</v>
      </c>
      <c r="AH74" s="262">
        <v>2.5867279570953787</v>
      </c>
      <c r="AI74" s="262">
        <v>-2.6371973563279409</v>
      </c>
      <c r="AJ74" s="262">
        <v>0</v>
      </c>
      <c r="AK74" s="262">
        <v>-10.25994134651755</v>
      </c>
      <c r="AL74" s="262">
        <v>-9.1224639813482629</v>
      </c>
      <c r="AM74" s="262">
        <v>-11.336428022905631</v>
      </c>
      <c r="AN74" s="262">
        <v>-11.434118518213461</v>
      </c>
      <c r="AO74" s="262">
        <v>-12.07591812091847</v>
      </c>
      <c r="AP74" s="107">
        <f>SLOPE(AE74:AO74,AE61:AO61)</f>
        <v>0.26116598594274371</v>
      </c>
      <c r="AQ74" s="107">
        <f>SLOPE(AE74:AJ74,AE61:AJ61)</f>
        <v>0.29214343275244958</v>
      </c>
      <c r="AR74" s="107">
        <f>SLOPE(AJ74:AO74,AJ61:AO61)</f>
        <v>0.18890310331782126</v>
      </c>
      <c r="AS74" s="139"/>
      <c r="AT74" s="149">
        <v>0</v>
      </c>
      <c r="AU74" s="149">
        <v>0</v>
      </c>
      <c r="AV74" s="149">
        <v>0</v>
      </c>
      <c r="AW74" s="149">
        <v>0</v>
      </c>
      <c r="AX74" s="149">
        <f t="shared" si="55"/>
        <v>0</v>
      </c>
      <c r="AY74" s="149">
        <f t="shared" si="56"/>
        <v>0</v>
      </c>
      <c r="AZ74" s="150">
        <f t="shared" si="57"/>
        <v>0</v>
      </c>
    </row>
    <row r="75" spans="1:52" ht="14.7" thickBot="1" x14ac:dyDescent="0.55000000000000004">
      <c r="A75" s="247">
        <v>6</v>
      </c>
      <c r="B75" s="248"/>
      <c r="C75" s="248" t="s">
        <v>98</v>
      </c>
      <c r="D75" s="248" t="s">
        <v>99</v>
      </c>
      <c r="E75" s="248" t="s">
        <v>62</v>
      </c>
      <c r="F75" s="249">
        <v>43812</v>
      </c>
      <c r="G75" s="246">
        <v>0</v>
      </c>
      <c r="H75" s="250">
        <v>1</v>
      </c>
      <c r="I75" s="246" t="s">
        <v>187</v>
      </c>
      <c r="J75" s="261">
        <v>4</v>
      </c>
      <c r="K75" s="139"/>
      <c r="L75" s="205">
        <v>0.09</v>
      </c>
      <c r="M75" s="114">
        <v>26.136000000000003</v>
      </c>
      <c r="N75" s="205">
        <v>0.21</v>
      </c>
      <c r="O75" s="114">
        <v>49.86</v>
      </c>
      <c r="P75" s="205">
        <v>0.46</v>
      </c>
      <c r="Q75" s="114">
        <v>35.28</v>
      </c>
      <c r="R75" s="139"/>
      <c r="S75" s="156">
        <v>-8.9999999999999993E-3</v>
      </c>
      <c r="T75" s="156">
        <v>2.9000000000000001E-2</v>
      </c>
      <c r="U75" s="156">
        <v>-0.3992</v>
      </c>
      <c r="V75" s="156">
        <v>-19.960599999999999</v>
      </c>
      <c r="W75" s="156">
        <v>0.81220000000000003</v>
      </c>
      <c r="X75" s="156">
        <v>1.3299999999999999E-2</v>
      </c>
      <c r="Y75" s="156">
        <v>3.4200000000000001E-2</v>
      </c>
      <c r="Z75" s="156">
        <v>-3.1362000000000001</v>
      </c>
      <c r="AA75" s="156">
        <v>-156.80950000000001</v>
      </c>
      <c r="AB75" s="156">
        <v>0.66930000000000001</v>
      </c>
      <c r="AC75" s="113">
        <f t="shared" si="58"/>
        <v>1.115E-2</v>
      </c>
      <c r="AD75" s="139"/>
      <c r="AE75" s="262">
        <v>20.007589995469072</v>
      </c>
      <c r="AF75" s="262">
        <v>13.694363919696871</v>
      </c>
      <c r="AG75" s="262">
        <v>11.711580262447111</v>
      </c>
      <c r="AH75" s="262">
        <v>6.6146861740396705</v>
      </c>
      <c r="AI75" s="262">
        <v>6.0082399416418699</v>
      </c>
      <c r="AJ75" s="262">
        <v>0</v>
      </c>
      <c r="AK75" s="262">
        <v>0.69939713127666003</v>
      </c>
      <c r="AL75" s="262">
        <v>-3.68267321679894</v>
      </c>
      <c r="AM75" s="262">
        <v>-9.7777102995560305</v>
      </c>
      <c r="AN75" s="262">
        <v>-9.6079595282053294</v>
      </c>
      <c r="AO75" s="262">
        <v>-12.96495004199623</v>
      </c>
      <c r="AP75" s="107">
        <f>SLOPE(AE75:AO75,AE61:AO61)</f>
        <v>0.31676675205180654</v>
      </c>
      <c r="AQ75" s="107">
        <f>SLOPE(AE75:AJ75,AE61:AJ61)</f>
        <v>0.36626633142833659</v>
      </c>
      <c r="AR75" s="107">
        <f>SLOPE(AJ75:AO75,AJ61:AO61)</f>
        <v>0.29097673506052629</v>
      </c>
      <c r="AS75" s="139"/>
      <c r="AT75" s="194">
        <f>-1/-0.772</f>
        <v>1.2953367875647668</v>
      </c>
      <c r="AU75" s="194">
        <v>0</v>
      </c>
      <c r="AV75" s="194">
        <v>0</v>
      </c>
      <c r="AW75" s="194">
        <f>-1/-1.996</f>
        <v>0.50100200400801598</v>
      </c>
      <c r="AX75" s="149">
        <f t="shared" si="55"/>
        <v>0.89816939578639143</v>
      </c>
      <c r="AY75" s="149">
        <f t="shared" si="56"/>
        <v>0</v>
      </c>
      <c r="AZ75" s="150">
        <f t="shared" si="57"/>
        <v>0.44908469789319572</v>
      </c>
    </row>
    <row r="76" spans="1:52" x14ac:dyDescent="0.5">
      <c r="A76" s="252" t="s">
        <v>118</v>
      </c>
      <c r="B76" s="253"/>
      <c r="C76" s="253"/>
      <c r="D76" s="253"/>
      <c r="E76" s="253"/>
      <c r="F76" s="253"/>
      <c r="G76" s="253"/>
      <c r="H76" s="253"/>
      <c r="I76" s="108"/>
      <c r="J76" s="209">
        <f t="shared" ref="J76:L76" si="59">AVERAGE(J70:J75)</f>
        <v>6.833333333333333</v>
      </c>
      <c r="K76" s="140"/>
      <c r="L76" s="108">
        <f t="shared" si="59"/>
        <v>0.12333333333333335</v>
      </c>
      <c r="M76" s="108">
        <v>39.564</v>
      </c>
      <c r="N76" s="108">
        <f t="shared" ref="N76:AQ76" si="60">AVERAGE(N70:N75)</f>
        <v>0.27166666666666667</v>
      </c>
      <c r="O76" s="108">
        <v>39.24</v>
      </c>
      <c r="P76" s="108">
        <f t="shared" si="60"/>
        <v>0.42333333333333334</v>
      </c>
      <c r="Q76" s="108">
        <v>23.22</v>
      </c>
      <c r="R76" s="140"/>
      <c r="S76" s="108">
        <f>ABS(AVERAGE(S70:S75))</f>
        <v>4.4333333333333336E-2</v>
      </c>
      <c r="T76" s="108">
        <f t="shared" si="60"/>
        <v>1.9616666666666668E-2</v>
      </c>
      <c r="U76" s="108">
        <f t="shared" si="60"/>
        <v>-0.12209999999999999</v>
      </c>
      <c r="V76" s="108">
        <f t="shared" si="60"/>
        <v>-6.1052499999999981</v>
      </c>
      <c r="W76" s="108">
        <f t="shared" si="60"/>
        <v>0.33993333333333337</v>
      </c>
      <c r="X76" s="108">
        <f>ABS(AVERAGE(X70:X75))</f>
        <v>3.3833333333333332E-3</v>
      </c>
      <c r="Y76" s="108">
        <f t="shared" si="60"/>
        <v>5.6600000000000004E-2</v>
      </c>
      <c r="Z76" s="108">
        <f t="shared" si="60"/>
        <v>-1.9045833333333337</v>
      </c>
      <c r="AA76" s="108">
        <f t="shared" si="60"/>
        <v>-95.228816666666674</v>
      </c>
      <c r="AB76" s="108">
        <f t="shared" si="60"/>
        <v>0.73910000000000009</v>
      </c>
      <c r="AC76" s="108">
        <f t="shared" si="60"/>
        <v>2.8208333333333332E-2</v>
      </c>
      <c r="AD76" s="140"/>
      <c r="AE76" s="148">
        <f t="shared" si="60"/>
        <v>16.831367186965441</v>
      </c>
      <c r="AF76" s="108">
        <f t="shared" si="60"/>
        <v>19.985786254235094</v>
      </c>
      <c r="AG76" s="108">
        <f t="shared" si="60"/>
        <v>12.035246118626702</v>
      </c>
      <c r="AH76" s="108">
        <f t="shared" si="60"/>
        <v>5.6745535811971726</v>
      </c>
      <c r="AI76" s="108">
        <f t="shared" si="60"/>
        <v>2.8477121547908033</v>
      </c>
      <c r="AJ76" s="108">
        <f t="shared" si="60"/>
        <v>0</v>
      </c>
      <c r="AK76" s="108">
        <f t="shared" si="60"/>
        <v>-5.3578536617739507</v>
      </c>
      <c r="AL76" s="108">
        <f t="shared" si="60"/>
        <v>-4.8698193467297486</v>
      </c>
      <c r="AM76" s="108">
        <f t="shared" si="60"/>
        <v>-7.0656943383211042</v>
      </c>
      <c r="AN76" s="108">
        <f t="shared" si="60"/>
        <v>-9.1520848449255947</v>
      </c>
      <c r="AO76" s="108">
        <f t="shared" si="60"/>
        <v>-10.928541438485182</v>
      </c>
      <c r="AP76" s="108">
        <f t="shared" si="60"/>
        <v>0.31086196415196171</v>
      </c>
      <c r="AQ76" s="108">
        <f t="shared" si="60"/>
        <v>0.40551928791597036</v>
      </c>
      <c r="AR76" s="132">
        <f>AVERAGE(AR70:AR75)</f>
        <v>0.19491793066706339</v>
      </c>
      <c r="AS76" s="140"/>
      <c r="AT76" s="108">
        <f>AVERAGE(AT70:AT75)</f>
        <v>1.5927936761876438</v>
      </c>
      <c r="AU76" s="108">
        <f>AVERAGE(AU70:AU75)</f>
        <v>0.16880331840961763</v>
      </c>
      <c r="AV76" s="108">
        <f t="shared" ref="AV76:AZ76" si="61">AVERAGE(AV70:AV75)</f>
        <v>0</v>
      </c>
      <c r="AW76" s="108">
        <f t="shared" si="61"/>
        <v>1.2944527705756974</v>
      </c>
      <c r="AX76" s="108">
        <f t="shared" si="61"/>
        <v>1.4436232233816704</v>
      </c>
      <c r="AY76" s="108">
        <f>AVERAGE(AY70:AY75)</f>
        <v>8.4401659204808813E-2</v>
      </c>
      <c r="AZ76" s="132">
        <f t="shared" si="61"/>
        <v>0.76401244129323975</v>
      </c>
    </row>
    <row r="77" spans="1:52" ht="14.7" thickBot="1" x14ac:dyDescent="0.55000000000000004">
      <c r="A77" s="263" t="s">
        <v>78</v>
      </c>
      <c r="B77" s="255"/>
      <c r="C77" s="255"/>
      <c r="D77" s="255"/>
      <c r="E77" s="255"/>
      <c r="F77" s="255"/>
      <c r="G77" s="255"/>
      <c r="H77" s="255"/>
      <c r="I77" s="109"/>
      <c r="J77" s="109">
        <f>_xlfn.STDEV.S(J70:J75)</f>
        <v>2.483277404291889</v>
      </c>
      <c r="K77" s="109" t="e">
        <f t="shared" ref="K77:AZ77" si="62">_xlfn.STDEV.S(K70:K75)</f>
        <v>#DIV/0!</v>
      </c>
      <c r="L77" s="109">
        <f t="shared" si="62"/>
        <v>7.6854841530424489E-2</v>
      </c>
      <c r="M77" s="109">
        <v>9.3700469155709225</v>
      </c>
      <c r="N77" s="109">
        <f t="shared" si="62"/>
        <v>0.11856081421222896</v>
      </c>
      <c r="O77" s="109">
        <v>25.592683329420534</v>
      </c>
      <c r="P77" s="109">
        <f t="shared" si="62"/>
        <v>0.21304146701209764</v>
      </c>
      <c r="Q77" s="109">
        <v>14.15445654202237</v>
      </c>
      <c r="R77" s="109" t="e">
        <f t="shared" si="62"/>
        <v>#DIV/0!</v>
      </c>
      <c r="S77" s="109">
        <f t="shared" si="62"/>
        <v>5.4839389736453741E-2</v>
      </c>
      <c r="T77" s="109">
        <f t="shared" si="62"/>
        <v>1.7855354005638382E-2</v>
      </c>
      <c r="U77" s="109">
        <f t="shared" si="62"/>
        <v>2.1826218389817327</v>
      </c>
      <c r="V77" s="109">
        <f t="shared" si="62"/>
        <v>109.13170630112496</v>
      </c>
      <c r="W77" s="109">
        <f t="shared" si="62"/>
        <v>0.36577311911438581</v>
      </c>
      <c r="X77" s="109">
        <f t="shared" si="62"/>
        <v>2.12940758584792E-2</v>
      </c>
      <c r="Y77" s="109">
        <f t="shared" si="62"/>
        <v>3.5632737756170235E-2</v>
      </c>
      <c r="Z77" s="109">
        <f t="shared" si="62"/>
        <v>1.1138273195009472</v>
      </c>
      <c r="AA77" s="109">
        <f t="shared" si="62"/>
        <v>55.692490543606176</v>
      </c>
      <c r="AB77" s="109">
        <f t="shared" si="62"/>
        <v>0.10063333443745072</v>
      </c>
      <c r="AC77" s="109">
        <f t="shared" si="62"/>
        <v>3.5143454819733751E-2</v>
      </c>
      <c r="AD77" s="109" t="e">
        <f t="shared" si="62"/>
        <v>#DIV/0!</v>
      </c>
      <c r="AE77" s="109">
        <f t="shared" si="62"/>
        <v>11.703481179582855</v>
      </c>
      <c r="AF77" s="109">
        <f t="shared" si="62"/>
        <v>13.57528326511328</v>
      </c>
      <c r="AG77" s="109">
        <f t="shared" si="62"/>
        <v>7.4274449140399419</v>
      </c>
      <c r="AH77" s="109">
        <f t="shared" si="62"/>
        <v>6.4147847540403076</v>
      </c>
      <c r="AI77" s="109">
        <f t="shared" si="62"/>
        <v>4.9577150831227232</v>
      </c>
      <c r="AJ77" s="109">
        <f t="shared" si="62"/>
        <v>0</v>
      </c>
      <c r="AK77" s="109">
        <f t="shared" si="62"/>
        <v>4.4393608508177653</v>
      </c>
      <c r="AL77" s="109">
        <f t="shared" si="62"/>
        <v>6.1794482436698903</v>
      </c>
      <c r="AM77" s="109">
        <f t="shared" si="62"/>
        <v>3.0319558488917062</v>
      </c>
      <c r="AN77" s="109">
        <f t="shared" si="62"/>
        <v>2.8878574628447438</v>
      </c>
      <c r="AO77" s="109">
        <f t="shared" si="62"/>
        <v>4.365103804318899</v>
      </c>
      <c r="AP77" s="109">
        <f t="shared" si="62"/>
        <v>0.12532620454929241</v>
      </c>
      <c r="AQ77" s="109">
        <f t="shared" si="62"/>
        <v>0.23150938883343475</v>
      </c>
      <c r="AR77" s="109">
        <f t="shared" si="62"/>
        <v>7.2789549684458638E-2</v>
      </c>
      <c r="AS77" s="109" t="e">
        <f t="shared" si="62"/>
        <v>#DIV/0!</v>
      </c>
      <c r="AT77" s="109">
        <f t="shared" si="62"/>
        <v>1.9343235727155694</v>
      </c>
      <c r="AU77" s="109">
        <f t="shared" si="62"/>
        <v>0.29313462217622338</v>
      </c>
      <c r="AV77" s="109">
        <f t="shared" si="62"/>
        <v>0</v>
      </c>
      <c r="AW77" s="109">
        <f t="shared" si="62"/>
        <v>1.6399151281512574</v>
      </c>
      <c r="AX77" s="109">
        <f t="shared" si="62"/>
        <v>1.2431679570883298</v>
      </c>
      <c r="AY77" s="109">
        <f t="shared" si="62"/>
        <v>0.14656731108811169</v>
      </c>
      <c r="AZ77" s="109">
        <f t="shared" si="62"/>
        <v>0.6428628795990915</v>
      </c>
    </row>
    <row r="78" spans="1:52" s="256" customFormat="1" x14ac:dyDescent="0.5">
      <c r="J78" s="264"/>
      <c r="K78" s="257"/>
      <c r="R78" s="257"/>
      <c r="AD78" s="257"/>
      <c r="AS78" s="257"/>
    </row>
    <row r="79" spans="1:52" s="256" customFormat="1" x14ac:dyDescent="0.5">
      <c r="J79" s="264"/>
      <c r="K79" s="257"/>
      <c r="R79" s="257"/>
      <c r="AD79" s="257"/>
      <c r="AS79" s="257"/>
    </row>
    <row r="80" spans="1:52" s="256" customFormat="1" ht="14.7" thickBot="1" x14ac:dyDescent="0.55000000000000004">
      <c r="J80" s="264"/>
      <c r="K80" s="257"/>
      <c r="R80" s="257"/>
      <c r="AD80" s="257"/>
      <c r="AS80" s="257"/>
    </row>
    <row r="81" spans="1:52" ht="14.7" thickBot="1" x14ac:dyDescent="0.55000000000000004">
      <c r="A81" s="219"/>
      <c r="B81" s="220" t="s">
        <v>12</v>
      </c>
      <c r="C81" s="220" t="s">
        <v>85</v>
      </c>
      <c r="D81" s="220" t="s">
        <v>84</v>
      </c>
      <c r="E81" s="220" t="s">
        <v>3</v>
      </c>
      <c r="F81" s="220" t="s">
        <v>0</v>
      </c>
      <c r="G81" s="221" t="s">
        <v>7</v>
      </c>
      <c r="H81" s="222" t="s">
        <v>8</v>
      </c>
      <c r="I81" s="221" t="s">
        <v>153</v>
      </c>
      <c r="J81" s="265" t="s">
        <v>172</v>
      </c>
      <c r="K81" s="141"/>
      <c r="L81" s="223" t="s">
        <v>173</v>
      </c>
      <c r="M81" s="221"/>
      <c r="N81" s="221" t="s">
        <v>174</v>
      </c>
      <c r="O81" s="221"/>
      <c r="P81" s="221" t="s">
        <v>175</v>
      </c>
      <c r="Q81" s="221"/>
      <c r="R81" s="141"/>
      <c r="S81" s="143" t="s">
        <v>176</v>
      </c>
      <c r="T81" s="145" t="s">
        <v>108</v>
      </c>
      <c r="U81" s="145" t="s">
        <v>109</v>
      </c>
      <c r="V81" s="145" t="s">
        <v>104</v>
      </c>
      <c r="W81" s="146" t="s">
        <v>103</v>
      </c>
      <c r="X81" s="143" t="s">
        <v>177</v>
      </c>
      <c r="Y81" s="145" t="s">
        <v>108</v>
      </c>
      <c r="Z81" s="145" t="s">
        <v>109</v>
      </c>
      <c r="AA81" s="145" t="s">
        <v>104</v>
      </c>
      <c r="AB81" s="152" t="s">
        <v>103</v>
      </c>
      <c r="AC81" s="153" t="s">
        <v>178</v>
      </c>
      <c r="AD81" s="141"/>
      <c r="AE81" s="143">
        <v>50</v>
      </c>
      <c r="AF81" s="144">
        <v>40</v>
      </c>
      <c r="AG81" s="145">
        <v>30</v>
      </c>
      <c r="AH81" s="145">
        <v>20</v>
      </c>
      <c r="AI81" s="145">
        <v>10</v>
      </c>
      <c r="AJ81" s="145">
        <v>0</v>
      </c>
      <c r="AK81" s="145">
        <v>-10</v>
      </c>
      <c r="AL81" s="145">
        <v>-20</v>
      </c>
      <c r="AM81" s="145">
        <v>-30</v>
      </c>
      <c r="AN81" s="146">
        <v>-40</v>
      </c>
      <c r="AO81" s="146">
        <v>-50</v>
      </c>
      <c r="AP81" s="151" t="s">
        <v>179</v>
      </c>
      <c r="AQ81" s="151" t="s">
        <v>180</v>
      </c>
      <c r="AR81" s="151" t="s">
        <v>181</v>
      </c>
      <c r="AS81" s="141"/>
      <c r="AT81" s="258" t="s">
        <v>184</v>
      </c>
      <c r="AU81" s="258" t="s">
        <v>185</v>
      </c>
      <c r="AV81" s="259" t="s">
        <v>182</v>
      </c>
      <c r="AW81" s="258" t="s">
        <v>183</v>
      </c>
      <c r="AX81" s="258" t="s">
        <v>364</v>
      </c>
      <c r="AY81" s="258" t="s">
        <v>363</v>
      </c>
      <c r="AZ81" s="260" t="s">
        <v>186</v>
      </c>
    </row>
    <row r="82" spans="1:52" x14ac:dyDescent="0.5">
      <c r="A82" s="226">
        <v>1</v>
      </c>
      <c r="B82" s="9">
        <v>3729060</v>
      </c>
      <c r="C82" s="9"/>
      <c r="D82" s="9" t="s">
        <v>86</v>
      </c>
      <c r="E82" s="227" t="s">
        <v>4</v>
      </c>
      <c r="F82" s="228">
        <v>43430</v>
      </c>
      <c r="G82" s="229">
        <v>1</v>
      </c>
      <c r="H82" s="230">
        <v>0</v>
      </c>
      <c r="I82" s="229" t="s">
        <v>187</v>
      </c>
      <c r="J82" s="266">
        <v>8</v>
      </c>
      <c r="K82" s="139"/>
      <c r="L82" s="133">
        <v>0.19</v>
      </c>
      <c r="M82" s="114">
        <v>45.504000000000005</v>
      </c>
      <c r="N82" s="133">
        <v>0.47</v>
      </c>
      <c r="O82" s="114">
        <v>25.38</v>
      </c>
      <c r="P82" s="133">
        <v>0.54</v>
      </c>
      <c r="Q82" s="114">
        <v>11.52</v>
      </c>
      <c r="R82" s="139"/>
      <c r="S82" s="114">
        <v>-0.12189999999999999</v>
      </c>
      <c r="T82" s="114">
        <v>3.5499999999999997E-2</v>
      </c>
      <c r="U82" s="114">
        <v>1.0974999999999999</v>
      </c>
      <c r="V82" s="114">
        <v>54.874000000000002</v>
      </c>
      <c r="W82" s="114">
        <v>0.21229999999999999</v>
      </c>
      <c r="X82" s="114">
        <v>-1.1299999999999999E-2</v>
      </c>
      <c r="Y82" s="114">
        <v>4.7800000000000002E-2</v>
      </c>
      <c r="Z82" s="114">
        <v>-3.0756000000000001</v>
      </c>
      <c r="AA82" s="114">
        <v>-153.7775</v>
      </c>
      <c r="AB82" s="114">
        <v>0.6069</v>
      </c>
      <c r="AC82" s="113">
        <f t="shared" ref="AC82:AC83" si="63">(ABS(S82)+ABS(X82))/2</f>
        <v>6.6599999999999993E-2</v>
      </c>
      <c r="AD82" s="139"/>
      <c r="AE82" s="155">
        <v>33.952957218803107</v>
      </c>
      <c r="AF82" s="149">
        <v>19.780624926940806</v>
      </c>
      <c r="AG82" s="149">
        <v>16.033340430345707</v>
      </c>
      <c r="AH82" s="149">
        <v>15.824290330395804</v>
      </c>
      <c r="AI82" s="149">
        <v>12.576695108353306</v>
      </c>
      <c r="AJ82" s="149">
        <v>0</v>
      </c>
      <c r="AK82" s="149">
        <v>-2.5397845089993041</v>
      </c>
      <c r="AL82" s="149">
        <v>1.2949327255470839</v>
      </c>
      <c r="AM82" s="149">
        <v>-6.0433176637135837</v>
      </c>
      <c r="AN82" s="149">
        <v>-3.020915148249594</v>
      </c>
      <c r="AO82" s="149">
        <v>-14.837175464592395</v>
      </c>
      <c r="AP82" s="107">
        <f>SLOPE(AE82:AO82,AE81:AO81)</f>
        <v>0.40505635711542454</v>
      </c>
      <c r="AQ82" s="107">
        <f>SLOPE(AE82:AJ82,AE81:AJ81)</f>
        <v>0.54738750185636553</v>
      </c>
      <c r="AR82" s="107">
        <f>SLOPE(AJ82:AO82,AJ81:AO81)</f>
        <v>0.23705005608563864</v>
      </c>
      <c r="AS82" s="139"/>
      <c r="AT82" s="194">
        <f>-1/-0.412</f>
        <v>2.4271844660194177</v>
      </c>
      <c r="AU82" s="194">
        <v>0</v>
      </c>
      <c r="AV82" s="194">
        <f>-1/-0.656</f>
        <v>1.524390243902439</v>
      </c>
      <c r="AW82" s="194">
        <f>-1/-0.459</f>
        <v>2.1786492374727668</v>
      </c>
      <c r="AX82" s="149">
        <f t="shared" ref="AX82:AX87" si="64">AVERAGE(AW82,AT82)</f>
        <v>2.3029168517460921</v>
      </c>
      <c r="AY82" s="149">
        <f t="shared" ref="AY82:AY87" si="65">AVERAGE(AV82,AU82)</f>
        <v>0.76219512195121952</v>
      </c>
      <c r="AZ82" s="150">
        <f t="shared" ref="AZ82:AZ87" si="66">AVERAGE(AV82,AW82,AT82,AU82)</f>
        <v>1.532555986848656</v>
      </c>
    </row>
    <row r="83" spans="1:52" x14ac:dyDescent="0.5">
      <c r="A83" s="226">
        <v>2</v>
      </c>
      <c r="B83" s="9">
        <v>3729172</v>
      </c>
      <c r="C83" s="9" t="s">
        <v>63</v>
      </c>
      <c r="D83" s="9" t="s">
        <v>87</v>
      </c>
      <c r="E83" s="227" t="s">
        <v>62</v>
      </c>
      <c r="F83" s="228">
        <v>43555</v>
      </c>
      <c r="G83" s="229">
        <v>1</v>
      </c>
      <c r="H83" s="230">
        <v>0</v>
      </c>
      <c r="I83" s="229" t="s">
        <v>187</v>
      </c>
      <c r="J83" s="266">
        <v>8</v>
      </c>
      <c r="K83" s="139"/>
      <c r="L83" s="133">
        <v>0.27</v>
      </c>
      <c r="M83" s="114">
        <v>41.616000000000007</v>
      </c>
      <c r="N83" s="133">
        <v>0.51</v>
      </c>
      <c r="O83" s="114">
        <v>24.12</v>
      </c>
      <c r="P83" s="133">
        <v>0.44</v>
      </c>
      <c r="Q83" s="114">
        <v>7.2</v>
      </c>
      <c r="R83" s="139"/>
      <c r="S83" s="114">
        <v>-0.13539999999999999</v>
      </c>
      <c r="T83" s="114">
        <v>0.14799999999999999</v>
      </c>
      <c r="U83" s="114">
        <v>1.7663</v>
      </c>
      <c r="V83" s="114">
        <v>88.3172</v>
      </c>
      <c r="W83" s="114">
        <v>0.64380000000000004</v>
      </c>
      <c r="X83" s="114">
        <v>3.7400000000000003E-2</v>
      </c>
      <c r="Y83" s="114">
        <v>5.5899999999999998E-2</v>
      </c>
      <c r="Z83" s="114">
        <v>1.6573</v>
      </c>
      <c r="AA83" s="114">
        <v>82.862799999999993</v>
      </c>
      <c r="AB83" s="114">
        <v>0.44109999999999999</v>
      </c>
      <c r="AC83" s="113">
        <f t="shared" si="63"/>
        <v>8.6400000000000005E-2</v>
      </c>
      <c r="AD83" s="139"/>
      <c r="AE83" s="155">
        <v>18.20848298804901</v>
      </c>
      <c r="AF83" s="149">
        <v>18.899882079588409</v>
      </c>
      <c r="AG83" s="149">
        <v>9.1586957497393087</v>
      </c>
      <c r="AH83" s="149">
        <v>4.5264804502954279</v>
      </c>
      <c r="AI83" s="149">
        <v>4.3400840685642477</v>
      </c>
      <c r="AJ83" s="149">
        <v>0</v>
      </c>
      <c r="AK83" s="149">
        <v>1.674586148692945</v>
      </c>
      <c r="AL83" s="149">
        <v>-4.1090096916290317</v>
      </c>
      <c r="AM83" s="149">
        <v>-10.187308792102192</v>
      </c>
      <c r="AN83" s="149">
        <v>-18.568860049502291</v>
      </c>
      <c r="AO83" s="149">
        <v>-21.41855720018329</v>
      </c>
      <c r="AP83" s="107">
        <f>SLOPE(AE83:AO83,AE81:AO81)</f>
        <v>0.38725878298797184</v>
      </c>
      <c r="AQ83" s="107">
        <f>SLOPE(AE83:AJ83,AE81:AJ81)</f>
        <v>0.39815435506503261</v>
      </c>
      <c r="AR83" s="107">
        <f>SLOPE(AJ83:AO83,AJ81:AO81)</f>
        <v>0.49686121055992954</v>
      </c>
      <c r="AS83" s="139"/>
      <c r="AT83" s="194">
        <f>-1/-0.649</f>
        <v>1.5408320493066254</v>
      </c>
      <c r="AU83" s="194">
        <f>-1/-1.319</f>
        <v>0.75815011372251706</v>
      </c>
      <c r="AV83" s="194">
        <v>0</v>
      </c>
      <c r="AW83" s="194">
        <f>-1/-1.826</f>
        <v>0.547645125958379</v>
      </c>
      <c r="AX83" s="149">
        <f t="shared" si="64"/>
        <v>1.0442385876325022</v>
      </c>
      <c r="AY83" s="149">
        <f t="shared" si="65"/>
        <v>0.37907505686125853</v>
      </c>
      <c r="AZ83" s="150">
        <f t="shared" si="66"/>
        <v>0.71165682224688043</v>
      </c>
    </row>
    <row r="84" spans="1:52" x14ac:dyDescent="0.5">
      <c r="A84" s="226">
        <v>3</v>
      </c>
      <c r="B84" s="9" t="s">
        <v>18</v>
      </c>
      <c r="C84" s="227" t="s">
        <v>83</v>
      </c>
      <c r="D84" s="227" t="s">
        <v>88</v>
      </c>
      <c r="E84" s="227" t="s">
        <v>62</v>
      </c>
      <c r="F84" s="228">
        <v>43606</v>
      </c>
      <c r="G84" s="229">
        <v>1</v>
      </c>
      <c r="H84" s="230">
        <v>0</v>
      </c>
      <c r="I84" s="229" t="s">
        <v>187</v>
      </c>
      <c r="J84" s="266">
        <v>7</v>
      </c>
      <c r="K84" s="139"/>
      <c r="L84" s="114">
        <v>0.17</v>
      </c>
      <c r="M84" s="114">
        <v>66.744</v>
      </c>
      <c r="N84" s="114">
        <v>0.2</v>
      </c>
      <c r="O84" s="114"/>
      <c r="P84" s="114">
        <v>0.41</v>
      </c>
      <c r="Q84" s="114">
        <v>4.9248000000000003</v>
      </c>
      <c r="R84" s="139"/>
      <c r="S84" s="114">
        <v>-9.2299999999999993E-2</v>
      </c>
      <c r="T84" s="114">
        <v>9.4999999999999998E-3</v>
      </c>
      <c r="U84" s="114">
        <v>1.7607999999999999</v>
      </c>
      <c r="V84" s="114">
        <v>88.038300000000007</v>
      </c>
      <c r="W84" s="114">
        <v>6.7299999999999999E-2</v>
      </c>
      <c r="X84" s="114">
        <v>1.6500000000000001E-2</v>
      </c>
      <c r="Y84" s="114">
        <v>2.0400000000000001E-2</v>
      </c>
      <c r="Z84" s="114">
        <v>3.1964999999999999</v>
      </c>
      <c r="AA84" s="114">
        <v>159.82499999999999</v>
      </c>
      <c r="AB84" s="114">
        <v>0.28060000000000002</v>
      </c>
      <c r="AC84" s="113">
        <f>(ABS(S84)+ABS(X84))/2</f>
        <v>5.4399999999999997E-2</v>
      </c>
      <c r="AD84" s="139"/>
      <c r="AE84" s="155">
        <v>27.555193176493198</v>
      </c>
      <c r="AF84" s="149">
        <v>13.436921222830298</v>
      </c>
      <c r="AG84" s="149">
        <v>8.5046870260217009</v>
      </c>
      <c r="AH84" s="149">
        <v>6.2418490078949009</v>
      </c>
      <c r="AI84" s="149">
        <v>-0.58846989680220041</v>
      </c>
      <c r="AJ84" s="149">
        <v>0</v>
      </c>
      <c r="AK84" s="149">
        <v>-4.7280915405245603</v>
      </c>
      <c r="AL84" s="149">
        <v>-2.6356398422967509</v>
      </c>
      <c r="AM84" s="149">
        <v>-7.0605197841630902</v>
      </c>
      <c r="AN84" s="149">
        <v>-10.382169176670203</v>
      </c>
      <c r="AO84" s="149">
        <v>-15.04921543560787</v>
      </c>
      <c r="AP84" s="107">
        <f>SLOPE(AE84:AO84,AE81:AO81)</f>
        <v>0.34262602221197036</v>
      </c>
      <c r="AQ84" s="107">
        <f>SLOPE(AE84:AJ84,AE81:AJ81)</f>
        <v>0.52032850645568662</v>
      </c>
      <c r="AR84" s="107">
        <f>SLOPE(AJ84:AO84,AJ81:AO81)</f>
        <v>0.27609482865240748</v>
      </c>
      <c r="AS84" s="139"/>
      <c r="AT84" s="194">
        <f>-1/-0.549</f>
        <v>1.8214936247723132</v>
      </c>
      <c r="AU84" s="194">
        <f>-1/-0.668</f>
        <v>1.4970059880239519</v>
      </c>
      <c r="AV84" s="194">
        <f>-1/-1.288</f>
        <v>0.77639751552795033</v>
      </c>
      <c r="AW84" s="194">
        <f>-1/-0.55</f>
        <v>1.8181818181818181</v>
      </c>
      <c r="AX84" s="149">
        <f t="shared" si="64"/>
        <v>1.8198377214770658</v>
      </c>
      <c r="AY84" s="149">
        <f t="shared" si="65"/>
        <v>1.1367017517759512</v>
      </c>
      <c r="AZ84" s="150">
        <f t="shared" si="66"/>
        <v>1.4782697366265085</v>
      </c>
    </row>
    <row r="85" spans="1:52" x14ac:dyDescent="0.5">
      <c r="A85" s="226">
        <v>4</v>
      </c>
      <c r="B85" s="227"/>
      <c r="C85" s="227" t="s">
        <v>82</v>
      </c>
      <c r="D85" s="227" t="s">
        <v>90</v>
      </c>
      <c r="E85" s="227" t="s">
        <v>4</v>
      </c>
      <c r="F85" s="228">
        <v>43606</v>
      </c>
      <c r="G85" s="229">
        <v>1</v>
      </c>
      <c r="H85" s="230">
        <v>0</v>
      </c>
      <c r="I85" s="229" t="s">
        <v>187</v>
      </c>
      <c r="J85" s="266">
        <v>3</v>
      </c>
      <c r="K85" s="139"/>
      <c r="L85" s="114">
        <v>7.0000000000000007E-2</v>
      </c>
      <c r="M85" s="114">
        <v>-53.423999999999999</v>
      </c>
      <c r="N85" s="114">
        <v>0.14000000000000001</v>
      </c>
      <c r="O85" s="114"/>
      <c r="P85" s="114">
        <v>0.3</v>
      </c>
      <c r="Q85" s="114">
        <v>12.182400000000001</v>
      </c>
      <c r="R85" s="139"/>
      <c r="S85" s="114">
        <v>-5.11E-2</v>
      </c>
      <c r="T85" s="114">
        <v>1.2500000000000001E-2</v>
      </c>
      <c r="U85" s="114">
        <v>1.3523000000000001</v>
      </c>
      <c r="V85" s="114">
        <v>67.617000000000004</v>
      </c>
      <c r="W85" s="114">
        <v>0.1464</v>
      </c>
      <c r="X85" s="114">
        <v>-1.5800000000000002E-2</v>
      </c>
      <c r="Y85" s="114">
        <v>1.6199999999999999E-2</v>
      </c>
      <c r="Z85" s="114">
        <v>-1.6301000000000001</v>
      </c>
      <c r="AA85" s="114">
        <v>-81.506600000000006</v>
      </c>
      <c r="AB85" s="114">
        <v>0.1666</v>
      </c>
      <c r="AC85" s="113">
        <f t="shared" ref="AC85:AC87" si="67">(ABS(S85)+ABS(X85))/2</f>
        <v>3.3450000000000001E-2</v>
      </c>
      <c r="AD85" s="139"/>
      <c r="AE85" s="155">
        <v>26.673911357982249</v>
      </c>
      <c r="AF85" s="149">
        <v>13.52922301324895</v>
      </c>
      <c r="AG85" s="149">
        <v>6.2972872126030399</v>
      </c>
      <c r="AH85" s="149">
        <v>5.8144914036467901</v>
      </c>
      <c r="AI85" s="149">
        <v>6.0428750974771903</v>
      </c>
      <c r="AJ85" s="149">
        <v>0</v>
      </c>
      <c r="AK85" s="149">
        <v>-3.5302875319333498</v>
      </c>
      <c r="AL85" s="149">
        <v>-9.70053536549608</v>
      </c>
      <c r="AM85" s="149">
        <v>-12.578442470545451</v>
      </c>
      <c r="AN85" s="149">
        <v>-18.878910128112953</v>
      </c>
      <c r="AO85" s="149">
        <v>-27.048382718235651</v>
      </c>
      <c r="AP85" s="107">
        <f>SLOPE(AE85:AO85,AE81:AO81)</f>
        <v>0.45043128014879891</v>
      </c>
      <c r="AQ85" s="107">
        <f>SLOPE(AE85:AJ85,AE81:AJ81)</f>
        <v>0.44660398956052216</v>
      </c>
      <c r="AR85" s="107">
        <f>SLOPE(AJ85:AO85,AJ81:AO81)</f>
        <v>0.5261876813850469</v>
      </c>
      <c r="AS85" s="139"/>
      <c r="AT85" s="194">
        <f>-1/-0.35</f>
        <v>2.8571428571428572</v>
      </c>
      <c r="AU85" s="194">
        <v>0</v>
      </c>
      <c r="AV85" s="194">
        <v>0</v>
      </c>
      <c r="AW85" s="194">
        <f>-1/-0.972</f>
        <v>1.0288065843621399</v>
      </c>
      <c r="AX85" s="149">
        <f t="shared" si="64"/>
        <v>1.9429747207524986</v>
      </c>
      <c r="AY85" s="149">
        <f t="shared" si="65"/>
        <v>0</v>
      </c>
      <c r="AZ85" s="150">
        <f t="shared" si="66"/>
        <v>0.97148736037624928</v>
      </c>
    </row>
    <row r="86" spans="1:52" x14ac:dyDescent="0.5">
      <c r="A86" s="226">
        <v>5</v>
      </c>
      <c r="B86" s="227"/>
      <c r="C86" s="227" t="s">
        <v>93</v>
      </c>
      <c r="D86" s="227" t="s">
        <v>91</v>
      </c>
      <c r="E86" s="227" t="s">
        <v>62</v>
      </c>
      <c r="F86" s="228">
        <v>43690</v>
      </c>
      <c r="G86" s="229">
        <v>1</v>
      </c>
      <c r="H86" s="230">
        <v>0</v>
      </c>
      <c r="I86" s="229" t="s">
        <v>187</v>
      </c>
      <c r="J86" s="266">
        <v>10</v>
      </c>
      <c r="K86" s="139"/>
      <c r="L86" s="133">
        <v>0.23</v>
      </c>
      <c r="M86" s="114">
        <v>34.92</v>
      </c>
      <c r="N86" s="133">
        <v>0.47</v>
      </c>
      <c r="O86" s="114">
        <v>39.24</v>
      </c>
      <c r="P86" s="133">
        <v>0.67</v>
      </c>
      <c r="Q86" s="114">
        <v>3.6</v>
      </c>
      <c r="R86" s="139"/>
      <c r="S86" s="114">
        <v>-5.0900000000000001E-2</v>
      </c>
      <c r="T86" s="114">
        <v>7.5600000000000001E-2</v>
      </c>
      <c r="U86" s="114">
        <v>3.3189000000000002</v>
      </c>
      <c r="V86" s="114">
        <v>165.9434</v>
      </c>
      <c r="W86" s="114">
        <v>0.23649999999999999</v>
      </c>
      <c r="X86" s="114">
        <v>3.1000000000000008E-3</v>
      </c>
      <c r="Y86" s="114"/>
      <c r="Z86" s="114"/>
      <c r="AA86" s="114"/>
      <c r="AB86" s="114"/>
      <c r="AC86" s="113">
        <f t="shared" si="67"/>
        <v>2.7E-2</v>
      </c>
      <c r="AD86" s="139"/>
      <c r="AE86" s="155">
        <v>20.349855055106598</v>
      </c>
      <c r="AF86" s="149">
        <v>25.260158014652898</v>
      </c>
      <c r="AG86" s="149">
        <v>17.428617143630696</v>
      </c>
      <c r="AH86" s="149">
        <v>9.4457139403408981</v>
      </c>
      <c r="AI86" s="149">
        <v>2.9568185031400978</v>
      </c>
      <c r="AJ86" s="149">
        <v>0</v>
      </c>
      <c r="AK86" s="149">
        <v>-6.9617890819956418</v>
      </c>
      <c r="AL86" s="149">
        <v>-7.9225113843227515</v>
      </c>
      <c r="AM86" s="149">
        <v>-5.4554364870788419</v>
      </c>
      <c r="AN86" s="149">
        <v>-7.5985110549090003</v>
      </c>
      <c r="AO86" s="149">
        <v>-8.3517465236107924</v>
      </c>
      <c r="AP86" s="107">
        <f>SLOPE(AE86:AO86,AE81:AO81)</f>
        <v>0.35295445754402388</v>
      </c>
      <c r="AQ86" s="107">
        <f>SLOPE(AE86:AJ86,AE81:AJ81)</f>
        <v>0.50469199146674626</v>
      </c>
      <c r="AR86" s="107">
        <f>SLOPE(AJ86:AO86,AJ81:AO81)</f>
        <v>0.11771949611300037</v>
      </c>
      <c r="AS86" s="139"/>
      <c r="AT86" s="194">
        <f>-1/-0.598</f>
        <v>1.6722408026755853</v>
      </c>
      <c r="AU86" s="194">
        <f>-1/-0.233</f>
        <v>4.2918454935622314</v>
      </c>
      <c r="AV86" s="194">
        <f>-1/-0.403</f>
        <v>2.4813895781637716</v>
      </c>
      <c r="AW86" s="194">
        <f>-1/-0.609</f>
        <v>1.6420361247947455</v>
      </c>
      <c r="AX86" s="149">
        <f t="shared" si="64"/>
        <v>1.6571384637351654</v>
      </c>
      <c r="AY86" s="149">
        <f t="shared" si="65"/>
        <v>3.3866175358630013</v>
      </c>
      <c r="AZ86" s="150">
        <f t="shared" si="66"/>
        <v>2.5218779997990834</v>
      </c>
    </row>
    <row r="87" spans="1:52" ht="14.7" thickBot="1" x14ac:dyDescent="0.55000000000000004">
      <c r="A87" s="226">
        <v>6</v>
      </c>
      <c r="B87" s="227"/>
      <c r="C87" s="227" t="s">
        <v>92</v>
      </c>
      <c r="D87" s="227" t="s">
        <v>91</v>
      </c>
      <c r="E87" s="227" t="s">
        <v>4</v>
      </c>
      <c r="F87" s="228">
        <v>43690</v>
      </c>
      <c r="G87" s="229">
        <v>1</v>
      </c>
      <c r="H87" s="230">
        <v>0</v>
      </c>
      <c r="I87" s="229" t="s">
        <v>187</v>
      </c>
      <c r="J87" s="266">
        <v>13</v>
      </c>
      <c r="K87" s="139"/>
      <c r="L87" s="133">
        <v>0.25</v>
      </c>
      <c r="M87" s="114">
        <v>22.608000000000004</v>
      </c>
      <c r="N87" s="133">
        <v>0.45</v>
      </c>
      <c r="O87" s="114">
        <v>11.34</v>
      </c>
      <c r="P87" s="133">
        <v>0.55000000000000004</v>
      </c>
      <c r="Q87" s="114">
        <v>1.08</v>
      </c>
      <c r="R87" s="139"/>
      <c r="S87" s="114">
        <v>-9.9299999999999999E-2</v>
      </c>
      <c r="T87" s="114"/>
      <c r="U87" s="114"/>
      <c r="V87" s="114"/>
      <c r="W87" s="114"/>
      <c r="X87" s="114">
        <v>4.6300000000000001E-2</v>
      </c>
      <c r="Y87" s="114"/>
      <c r="Z87" s="114"/>
      <c r="AA87" s="114"/>
      <c r="AB87" s="114"/>
      <c r="AC87" s="113">
        <f t="shared" si="67"/>
        <v>7.2800000000000004E-2</v>
      </c>
      <c r="AD87" s="139"/>
      <c r="AE87" s="155">
        <v>22.28135483378216</v>
      </c>
      <c r="AF87" s="149">
        <v>17.566277845499858</v>
      </c>
      <c r="AG87" s="149">
        <v>15.298165496493962</v>
      </c>
      <c r="AH87" s="149">
        <v>13.16335987979126</v>
      </c>
      <c r="AI87" s="149">
        <v>5.0049330280508704</v>
      </c>
      <c r="AJ87" s="149">
        <v>0</v>
      </c>
      <c r="AK87" s="149">
        <v>0.5884192202717804</v>
      </c>
      <c r="AL87" s="149">
        <v>-6.3740444836610592</v>
      </c>
      <c r="AM87" s="149">
        <v>-12.287792452998939</v>
      </c>
      <c r="AN87" s="149">
        <v>-17.817434189295941</v>
      </c>
      <c r="AO87" s="149">
        <v>-16.688644430582642</v>
      </c>
      <c r="AP87" s="107">
        <f>SLOPE(AE87:AO87,AE81:AO81)</f>
        <v>0.42057640076742703</v>
      </c>
      <c r="AQ87" s="107">
        <f>SLOPE(AE87:AJ87,AE81:AJ81)</f>
        <v>0.43207318353702989</v>
      </c>
      <c r="AR87" s="107">
        <f>SLOPE(AJ87:AO87,AJ81:AO81)</f>
        <v>0.41307008671701212</v>
      </c>
      <c r="AS87" s="139"/>
      <c r="AT87" s="194">
        <f>-1/-0.662</f>
        <v>1.5105740181268881</v>
      </c>
      <c r="AU87" s="194">
        <f>-1/-0.805</f>
        <v>1.2422360248447204</v>
      </c>
      <c r="AV87" s="194">
        <f>-1/-4.46</f>
        <v>0.22421524663677131</v>
      </c>
      <c r="AW87" s="194">
        <f>-1/-0.68</f>
        <v>1.4705882352941175</v>
      </c>
      <c r="AX87" s="149">
        <f t="shared" si="64"/>
        <v>1.4905811267105027</v>
      </c>
      <c r="AY87" s="149">
        <f t="shared" si="65"/>
        <v>0.73322563574074584</v>
      </c>
      <c r="AZ87" s="150">
        <f t="shared" si="66"/>
        <v>1.1119033812256243</v>
      </c>
    </row>
    <row r="88" spans="1:52" x14ac:dyDescent="0.5">
      <c r="A88" s="231" t="s">
        <v>118</v>
      </c>
      <c r="B88" s="232"/>
      <c r="C88" s="232"/>
      <c r="D88" s="232"/>
      <c r="E88" s="232"/>
      <c r="F88" s="233"/>
      <c r="G88" s="234"/>
      <c r="H88" s="235"/>
      <c r="I88" s="234"/>
      <c r="J88" s="207">
        <f t="shared" ref="J88:L88" si="68">AVERAGE(J82:J87)</f>
        <v>8.1666666666666661</v>
      </c>
      <c r="K88" s="140"/>
      <c r="L88" s="129">
        <f t="shared" si="68"/>
        <v>0.19666666666666666</v>
      </c>
      <c r="M88" s="129">
        <v>26.328000000000003</v>
      </c>
      <c r="N88" s="129">
        <f t="shared" ref="N88:AX88" si="69">AVERAGE(N82:N87)</f>
        <v>0.37333333333333329</v>
      </c>
      <c r="O88" s="129">
        <v>25.020000000000003</v>
      </c>
      <c r="P88" s="129">
        <f t="shared" si="69"/>
        <v>0.48500000000000004</v>
      </c>
      <c r="Q88" s="129">
        <v>6.7512000000000008</v>
      </c>
      <c r="R88" s="140"/>
      <c r="S88" s="129">
        <f>ABS(AVERAGE(S82:S87))</f>
        <v>9.1816666666666658E-2</v>
      </c>
      <c r="T88" s="129">
        <f t="shared" si="69"/>
        <v>5.6220000000000006E-2</v>
      </c>
      <c r="U88" s="129">
        <f t="shared" si="69"/>
        <v>1.8591599999999999</v>
      </c>
      <c r="V88" s="129">
        <f t="shared" si="69"/>
        <v>92.957980000000006</v>
      </c>
      <c r="W88" s="129">
        <f t="shared" si="69"/>
        <v>0.26125999999999999</v>
      </c>
      <c r="X88" s="129">
        <f>ABS(AVERAGE(X82:X87))</f>
        <v>1.2700000000000001E-2</v>
      </c>
      <c r="Y88" s="129">
        <f t="shared" si="69"/>
        <v>3.5075000000000002E-2</v>
      </c>
      <c r="Z88" s="129">
        <f t="shared" si="69"/>
        <v>3.7024999999999919E-2</v>
      </c>
      <c r="AA88" s="129">
        <f t="shared" si="69"/>
        <v>1.850924999999993</v>
      </c>
      <c r="AB88" s="129">
        <f t="shared" si="69"/>
        <v>0.37380000000000002</v>
      </c>
      <c r="AC88" s="129">
        <f t="shared" si="69"/>
        <v>5.6774999999999999E-2</v>
      </c>
      <c r="AD88" s="140"/>
      <c r="AE88" s="147">
        <f t="shared" si="69"/>
        <v>24.836959105036055</v>
      </c>
      <c r="AF88" s="129">
        <f t="shared" si="69"/>
        <v>18.078847850460203</v>
      </c>
      <c r="AG88" s="129">
        <f t="shared" si="69"/>
        <v>12.120132176472403</v>
      </c>
      <c r="AH88" s="129">
        <f t="shared" si="69"/>
        <v>9.1693641687275136</v>
      </c>
      <c r="AI88" s="129">
        <f t="shared" si="69"/>
        <v>5.0554893181305856</v>
      </c>
      <c r="AJ88" s="129">
        <f t="shared" si="69"/>
        <v>0</v>
      </c>
      <c r="AK88" s="129">
        <f t="shared" si="69"/>
        <v>-2.5828245490813551</v>
      </c>
      <c r="AL88" s="129">
        <f t="shared" si="69"/>
        <v>-4.9078013403097644</v>
      </c>
      <c r="AM88" s="129">
        <f t="shared" si="69"/>
        <v>-8.9354696084336833</v>
      </c>
      <c r="AN88" s="129">
        <f t="shared" si="69"/>
        <v>-12.71113329112333</v>
      </c>
      <c r="AO88" s="129">
        <f t="shared" si="69"/>
        <v>-17.23228696213544</v>
      </c>
      <c r="AP88" s="129">
        <f t="shared" si="69"/>
        <v>0.39315055012926936</v>
      </c>
      <c r="AQ88" s="129">
        <f t="shared" si="69"/>
        <v>0.47487325465689717</v>
      </c>
      <c r="AR88" s="131">
        <f t="shared" si="69"/>
        <v>0.34449722658550591</v>
      </c>
      <c r="AS88" s="140"/>
      <c r="AT88" s="129">
        <f>AVERAGE(AT82:AT87)</f>
        <v>1.9715779696739479</v>
      </c>
      <c r="AU88" s="129">
        <f>AVERAGE(AU82:AU87)</f>
        <v>1.2982062700255701</v>
      </c>
      <c r="AV88" s="129">
        <f t="shared" si="69"/>
        <v>0.83439876403848878</v>
      </c>
      <c r="AW88" s="129">
        <f t="shared" si="69"/>
        <v>1.4476511876773277</v>
      </c>
      <c r="AX88" s="129">
        <f t="shared" si="69"/>
        <v>1.7096145786756376</v>
      </c>
      <c r="AY88" s="129">
        <f>AVERAGE(AY82:AY87)</f>
        <v>1.0663025170320293</v>
      </c>
      <c r="AZ88" s="131">
        <f>AVERAGE(AZ82:AZ87)</f>
        <v>1.3879585478538337</v>
      </c>
    </row>
    <row r="89" spans="1:52" ht="14.7" thickBot="1" x14ac:dyDescent="0.55000000000000004">
      <c r="A89" s="236" t="s">
        <v>78</v>
      </c>
      <c r="B89" s="237"/>
      <c r="C89" s="237"/>
      <c r="D89" s="237"/>
      <c r="E89" s="237"/>
      <c r="F89" s="238"/>
      <c r="G89" s="239"/>
      <c r="H89" s="240"/>
      <c r="I89" s="239"/>
      <c r="J89" s="208">
        <f>_xlfn.STDEV.S(J82:J87)</f>
        <v>3.3115957885386109</v>
      </c>
      <c r="K89" s="208" t="e">
        <f t="shared" ref="K89:AZ89" si="70">_xlfn.STDEV.S(K82:K87)</f>
        <v>#DIV/0!</v>
      </c>
      <c r="L89" s="130">
        <f t="shared" si="70"/>
        <v>7.2295689129205129E-2</v>
      </c>
      <c r="M89" s="130">
        <v>41.67238256687515</v>
      </c>
      <c r="N89" s="130">
        <f t="shared" si="70"/>
        <v>0.15983324643723751</v>
      </c>
      <c r="O89" s="130">
        <v>11.405998421883101</v>
      </c>
      <c r="P89" s="130">
        <f t="shared" si="70"/>
        <v>0.12911235417263509</v>
      </c>
      <c r="Q89" s="130">
        <v>4.4242313718882285</v>
      </c>
      <c r="R89" s="130" t="e">
        <f t="shared" si="70"/>
        <v>#DIV/0!</v>
      </c>
      <c r="S89" s="130">
        <f t="shared" si="70"/>
        <v>3.5193091178051812E-2</v>
      </c>
      <c r="T89" s="130">
        <f t="shared" si="70"/>
        <v>5.7711931175451051E-2</v>
      </c>
      <c r="U89" s="130">
        <f t="shared" si="70"/>
        <v>0.86402713383319185</v>
      </c>
      <c r="V89" s="130">
        <f t="shared" si="70"/>
        <v>43.200597284320033</v>
      </c>
      <c r="W89" s="130">
        <f t="shared" si="70"/>
        <v>0.22369638575533585</v>
      </c>
      <c r="X89" s="130">
        <f t="shared" si="70"/>
        <v>2.5431869770034608E-2</v>
      </c>
      <c r="Y89" s="130">
        <f t="shared" si="70"/>
        <v>1.9725005280945642E-2</v>
      </c>
      <c r="Z89" s="130">
        <f t="shared" si="70"/>
        <v>2.8910963034519161</v>
      </c>
      <c r="AA89" s="130">
        <f t="shared" si="70"/>
        <v>144.55381455272115</v>
      </c>
      <c r="AB89" s="130">
        <f t="shared" si="70"/>
        <v>0.19190534124927311</v>
      </c>
      <c r="AC89" s="130">
        <f t="shared" si="70"/>
        <v>2.3096401234824437E-2</v>
      </c>
      <c r="AD89" s="130" t="e">
        <f t="shared" si="70"/>
        <v>#DIV/0!</v>
      </c>
      <c r="AE89" s="130">
        <f t="shared" si="70"/>
        <v>5.7352684895591599</v>
      </c>
      <c r="AF89" s="130">
        <f t="shared" si="70"/>
        <v>4.4192907820922294</v>
      </c>
      <c r="AG89" s="130">
        <f t="shared" si="70"/>
        <v>4.6763271931432007</v>
      </c>
      <c r="AH89" s="130">
        <f t="shared" si="70"/>
        <v>4.5099511896070519</v>
      </c>
      <c r="AI89" s="130">
        <f t="shared" si="70"/>
        <v>4.3431905929909842</v>
      </c>
      <c r="AJ89" s="130">
        <f t="shared" si="70"/>
        <v>0</v>
      </c>
      <c r="AK89" s="130">
        <f t="shared" si="70"/>
        <v>3.2514419043927636</v>
      </c>
      <c r="AL89" s="130">
        <f t="shared" si="70"/>
        <v>3.9619020912655571</v>
      </c>
      <c r="AM89" s="130">
        <f t="shared" si="70"/>
        <v>3.1643966663694991</v>
      </c>
      <c r="AN89" s="130">
        <f t="shared" si="70"/>
        <v>6.6916672120262559</v>
      </c>
      <c r="AO89" s="130">
        <f t="shared" si="70"/>
        <v>6.3803213156842924</v>
      </c>
      <c r="AP89" s="130">
        <f t="shared" si="70"/>
        <v>4.0934519064533235E-2</v>
      </c>
      <c r="AQ89" s="130">
        <f t="shared" si="70"/>
        <v>5.7845380143056256E-2</v>
      </c>
      <c r="AR89" s="130">
        <f t="shared" si="70"/>
        <v>0.1603623170536789</v>
      </c>
      <c r="AS89" s="130" t="e">
        <f t="shared" si="70"/>
        <v>#DIV/0!</v>
      </c>
      <c r="AT89" s="130">
        <f t="shared" si="70"/>
        <v>0.54808707169869875</v>
      </c>
      <c r="AU89" s="130">
        <f t="shared" si="70"/>
        <v>1.5916575943303422</v>
      </c>
      <c r="AV89" s="130">
        <f t="shared" si="70"/>
        <v>0.99567039211712349</v>
      </c>
      <c r="AW89" s="130">
        <f t="shared" si="70"/>
        <v>0.58230652095531577</v>
      </c>
      <c r="AX89" s="130">
        <f t="shared" si="70"/>
        <v>0.42709911953207585</v>
      </c>
      <c r="AY89" s="130">
        <f t="shared" si="70"/>
        <v>1.2001268262396503</v>
      </c>
      <c r="AZ89" s="130">
        <f t="shared" si="70"/>
        <v>0.63590511599786192</v>
      </c>
    </row>
    <row r="90" spans="1:52" x14ac:dyDescent="0.5">
      <c r="A90" s="241">
        <v>1</v>
      </c>
      <c r="B90" s="242"/>
      <c r="C90" s="242" t="s">
        <v>95</v>
      </c>
      <c r="D90" s="242" t="s">
        <v>94</v>
      </c>
      <c r="E90" s="242" t="s">
        <v>4</v>
      </c>
      <c r="F90" s="243">
        <v>43615</v>
      </c>
      <c r="G90" s="244">
        <v>0</v>
      </c>
      <c r="H90" s="245">
        <v>1</v>
      </c>
      <c r="I90" s="246" t="s">
        <v>187</v>
      </c>
      <c r="J90" s="261">
        <v>6</v>
      </c>
      <c r="K90" s="139"/>
      <c r="L90" s="201">
        <v>0.19</v>
      </c>
      <c r="M90" s="114">
        <v>37.583999999999996</v>
      </c>
      <c r="N90" s="202">
        <v>0.5</v>
      </c>
      <c r="O90" s="114">
        <v>25.92</v>
      </c>
      <c r="P90" s="202">
        <v>0.45</v>
      </c>
      <c r="Q90" s="114">
        <v>8.2799999999999994</v>
      </c>
      <c r="R90" s="139"/>
      <c r="S90" s="111">
        <v>-4.3799999999999999E-2</v>
      </c>
      <c r="T90" s="111">
        <v>4.0899999999999999E-2</v>
      </c>
      <c r="U90" s="111">
        <v>2.3689</v>
      </c>
      <c r="V90" s="111">
        <v>118.4464</v>
      </c>
      <c r="W90" s="111">
        <v>0.38300000000000001</v>
      </c>
      <c r="X90" s="110">
        <v>1.1599999999999999E-2</v>
      </c>
      <c r="Y90" s="111">
        <v>5.9799999999999999E-2</v>
      </c>
      <c r="Z90" s="111">
        <v>-2.3729</v>
      </c>
      <c r="AA90" s="111">
        <v>-118.6433</v>
      </c>
      <c r="AB90" s="112">
        <v>0.70479999999999998</v>
      </c>
      <c r="AC90" s="113">
        <f t="shared" ref="AC90:AC91" si="71">(ABS(S90)+ABS(X90))/2</f>
        <v>2.7699999999999999E-2</v>
      </c>
      <c r="AD90" s="139"/>
      <c r="AE90" s="262">
        <v>11.224244465409958</v>
      </c>
      <c r="AF90" s="262">
        <v>5.4001436457522605</v>
      </c>
      <c r="AG90" s="262">
        <v>1.2684994400759599</v>
      </c>
      <c r="AH90" s="262">
        <v>7.3824866033923602</v>
      </c>
      <c r="AI90" s="262">
        <v>-3.5144159847829801</v>
      </c>
      <c r="AJ90" s="262">
        <v>0</v>
      </c>
      <c r="AK90" s="262">
        <v>-1.8278855177155702</v>
      </c>
      <c r="AL90" s="262">
        <v>-5.9227411203098548</v>
      </c>
      <c r="AM90" s="262">
        <v>-8.2710726873077007</v>
      </c>
      <c r="AN90" s="262">
        <v>-10.795949872047579</v>
      </c>
      <c r="AO90" s="262">
        <v>-13.104177218462532</v>
      </c>
      <c r="AP90" s="107">
        <f>SLOPE(AE90:AO90,AE81:AO81)</f>
        <v>0.21815374895731798</v>
      </c>
      <c r="AQ90" s="107">
        <f>SLOPE(AE90:AJ90,AE81:AJ81)</f>
        <v>0.21928832587239747</v>
      </c>
      <c r="AR90" s="107">
        <f>SLOPE(AJ90:AO90,AJ81:AO81)</f>
        <v>0.27078117349230435</v>
      </c>
      <c r="AS90" s="139"/>
      <c r="AT90" s="194">
        <f>-1/-0.275</f>
        <v>3.6363636363636362</v>
      </c>
      <c r="AU90" s="194">
        <f>-1/-0.647</f>
        <v>1.5455950540958268</v>
      </c>
      <c r="AV90" s="194">
        <f>-1/-0.786</f>
        <v>1.272264631043257</v>
      </c>
      <c r="AW90" s="194">
        <f>-1/-0.236</f>
        <v>4.2372881355932206</v>
      </c>
      <c r="AX90" s="149">
        <f t="shared" ref="AX90:AX95" si="72">AVERAGE(AW90,AT90)</f>
        <v>3.9368258859784282</v>
      </c>
      <c r="AY90" s="149">
        <f t="shared" ref="AY90:AY95" si="73">AVERAGE(AV90,AU90)</f>
        <v>1.4089298425695418</v>
      </c>
      <c r="AZ90" s="150">
        <f t="shared" ref="AZ90:AZ95" si="74">AVERAGE(AV90,AW90,AT90,AU90)</f>
        <v>2.6728778642739854</v>
      </c>
    </row>
    <row r="91" spans="1:52" x14ac:dyDescent="0.5">
      <c r="A91" s="247">
        <v>2</v>
      </c>
      <c r="B91" s="248"/>
      <c r="C91" s="248" t="s">
        <v>96</v>
      </c>
      <c r="D91" s="248" t="s">
        <v>94</v>
      </c>
      <c r="E91" s="248" t="s">
        <v>4</v>
      </c>
      <c r="F91" s="249">
        <v>43615</v>
      </c>
      <c r="G91" s="246">
        <v>0</v>
      </c>
      <c r="H91" s="250">
        <v>1</v>
      </c>
      <c r="I91" s="246" t="s">
        <v>187</v>
      </c>
      <c r="J91" s="261">
        <v>4</v>
      </c>
      <c r="K91" s="139"/>
      <c r="L91" s="201">
        <v>0.22</v>
      </c>
      <c r="M91" s="114">
        <v>51.336000000000006</v>
      </c>
      <c r="N91" s="202">
        <v>0.47</v>
      </c>
      <c r="O91" s="114">
        <v>22.86</v>
      </c>
      <c r="P91" s="202">
        <v>0.59</v>
      </c>
      <c r="Q91" s="114">
        <v>3.6</v>
      </c>
      <c r="R91" s="139"/>
      <c r="S91" s="111">
        <v>-4.5400000000000003E-2</v>
      </c>
      <c r="T91" s="111">
        <v>1.34E-2</v>
      </c>
      <c r="U91" s="111">
        <v>1.2262999999999999</v>
      </c>
      <c r="V91" s="111">
        <v>61.316499999999998</v>
      </c>
      <c r="W91" s="111">
        <v>0.22670000000000001</v>
      </c>
      <c r="X91" s="110">
        <v>2E-3</v>
      </c>
      <c r="Y91" s="111">
        <v>6.0400000000000002E-2</v>
      </c>
      <c r="Z91" s="111">
        <v>-2.0304000000000002</v>
      </c>
      <c r="AA91" s="111">
        <v>-101.5202</v>
      </c>
      <c r="AB91" s="112">
        <v>0.92430000000000001</v>
      </c>
      <c r="AC91" s="113">
        <f t="shared" si="71"/>
        <v>2.3700000000000002E-2</v>
      </c>
      <c r="AD91" s="139"/>
      <c r="AE91" s="262">
        <v>31.434659617661701</v>
      </c>
      <c r="AF91" s="262">
        <v>21.091328668525421</v>
      </c>
      <c r="AG91" s="262">
        <v>-4.5961324396054</v>
      </c>
      <c r="AH91" s="262">
        <v>10.17668951426157</v>
      </c>
      <c r="AI91" s="262">
        <v>5.1498745367247905</v>
      </c>
      <c r="AJ91" s="262">
        <v>0</v>
      </c>
      <c r="AK91" s="262">
        <v>3.383915518845221</v>
      </c>
      <c r="AL91" s="262">
        <v>1.3029574034621998</v>
      </c>
      <c r="AM91" s="262">
        <v>-5.17152511288021</v>
      </c>
      <c r="AN91" s="262">
        <v>-2.5675828300304002</v>
      </c>
      <c r="AO91" s="262">
        <v>-5.7548406343882998</v>
      </c>
      <c r="AP91" s="107">
        <f>SLOPE(AE91:AO91,AE81:AO81)</f>
        <v>0.27438431683070547</v>
      </c>
      <c r="AQ91" s="107">
        <f>SLOPE(AE91:AJ91,AE81:AJ81)</f>
        <v>0.54349953865669554</v>
      </c>
      <c r="AR91" s="107">
        <f>SLOPE(AJ91:AO91,AJ81:AO81)</f>
        <v>0.15172337352831647</v>
      </c>
      <c r="AS91" s="139"/>
      <c r="AT91" s="194">
        <v>0</v>
      </c>
      <c r="AU91" s="194">
        <f>-1/-0.812</f>
        <v>1.2315270935960589</v>
      </c>
      <c r="AV91" s="194">
        <f>-1/-1.99</f>
        <v>0.50251256281407031</v>
      </c>
      <c r="AW91" s="194">
        <f>-1/-1.048</f>
        <v>0.95419847328244267</v>
      </c>
      <c r="AX91" s="149">
        <f t="shared" si="72"/>
        <v>0.47709923664122134</v>
      </c>
      <c r="AY91" s="149">
        <f t="shared" si="73"/>
        <v>0.86701982820506462</v>
      </c>
      <c r="AZ91" s="150">
        <f t="shared" si="74"/>
        <v>0.67205953242314298</v>
      </c>
    </row>
    <row r="92" spans="1:52" x14ac:dyDescent="0.5">
      <c r="A92" s="247">
        <v>3</v>
      </c>
      <c r="B92" s="116">
        <v>4084374</v>
      </c>
      <c r="C92" s="248" t="s">
        <v>100</v>
      </c>
      <c r="D92" s="248" t="s">
        <v>99</v>
      </c>
      <c r="E92" s="248" t="s">
        <v>62</v>
      </c>
      <c r="F92" s="249">
        <v>43812</v>
      </c>
      <c r="G92" s="246">
        <v>0</v>
      </c>
      <c r="H92" s="250">
        <v>1</v>
      </c>
      <c r="I92" s="246"/>
      <c r="J92" s="261"/>
      <c r="K92" s="139"/>
      <c r="L92" s="114">
        <v>0.12</v>
      </c>
      <c r="M92" s="114">
        <v>44.207999999999998</v>
      </c>
      <c r="N92" s="114">
        <v>0.38</v>
      </c>
      <c r="O92" s="114">
        <v>34.74</v>
      </c>
      <c r="P92" s="114">
        <v>0.65</v>
      </c>
      <c r="Q92" s="114">
        <v>15.84</v>
      </c>
      <c r="R92" s="139"/>
      <c r="S92" s="114">
        <v>-8.2400000000000001E-2</v>
      </c>
      <c r="T92" s="114">
        <v>4.4499999999999998E-2</v>
      </c>
      <c r="U92" s="114">
        <v>1.1275999999999999</v>
      </c>
      <c r="V92" s="114">
        <v>56.3782</v>
      </c>
      <c r="W92" s="114">
        <v>0.45469999999999999</v>
      </c>
      <c r="X92" s="114">
        <v>-5.3E-3</v>
      </c>
      <c r="Y92" s="114">
        <v>5.1299999999999998E-2</v>
      </c>
      <c r="Z92" s="114">
        <v>-2.9300999999999999</v>
      </c>
      <c r="AA92" s="114">
        <v>-146.50280000000001</v>
      </c>
      <c r="AB92" s="114">
        <v>0.77629999999999999</v>
      </c>
      <c r="AC92" s="113">
        <f>(ABS(S92)+ABS(X92))/2</f>
        <v>4.385E-2</v>
      </c>
      <c r="AD92" s="139"/>
      <c r="AE92" s="262">
        <v>13.765169088885802</v>
      </c>
      <c r="AF92" s="262">
        <v>9.7446648490649999</v>
      </c>
      <c r="AG92" s="262">
        <v>10.311275034794701</v>
      </c>
      <c r="AH92" s="262">
        <v>4.087839665262802</v>
      </c>
      <c r="AI92" s="262">
        <v>4.8202533177549007</v>
      </c>
      <c r="AJ92" s="262">
        <v>0</v>
      </c>
      <c r="AK92" s="262">
        <v>-0.21633034246569949</v>
      </c>
      <c r="AL92" s="262">
        <v>-5.6443746777088002</v>
      </c>
      <c r="AM92" s="262">
        <v>-1.1560400919228</v>
      </c>
      <c r="AN92" s="262">
        <v>-2.1189326282112999</v>
      </c>
      <c r="AO92" s="262">
        <v>-5.7236587668591898</v>
      </c>
      <c r="AP92" s="107">
        <f>SLOPE(AE92:AO92,AE81:AO81)</f>
        <v>0.18527407901286042</v>
      </c>
      <c r="AQ92" s="107">
        <f>SLOPE(AE92:AJ92,AE81:AJ81)</f>
        <v>0.25663575830826058</v>
      </c>
      <c r="AR92" s="107">
        <f>SLOPE(AJ92:AO92,AJ81:AO81)</f>
        <v>8.5250760302133563E-2</v>
      </c>
      <c r="AS92" s="139"/>
      <c r="AT92" s="194">
        <f>-1/-0.223</f>
        <v>4.4843049327354256</v>
      </c>
      <c r="AU92" s="194">
        <f>-1/-0.464</f>
        <v>2.1551724137931032</v>
      </c>
      <c r="AV92" s="194">
        <f>-1/-0.719</f>
        <v>1.3908205841446455</v>
      </c>
      <c r="AW92" s="194">
        <f>-1/-0.213</f>
        <v>4.694835680751174</v>
      </c>
      <c r="AX92" s="149">
        <f t="shared" si="72"/>
        <v>4.5895703067432994</v>
      </c>
      <c r="AY92" s="149">
        <f t="shared" si="73"/>
        <v>1.7729964989688742</v>
      </c>
      <c r="AZ92" s="150">
        <f t="shared" si="74"/>
        <v>3.1812834028560868</v>
      </c>
    </row>
    <row r="93" spans="1:52" x14ac:dyDescent="0.5">
      <c r="A93" s="247">
        <v>4</v>
      </c>
      <c r="B93" s="248"/>
      <c r="C93" s="248" t="s">
        <v>188</v>
      </c>
      <c r="D93" s="248" t="s">
        <v>99</v>
      </c>
      <c r="E93" s="248" t="s">
        <v>62</v>
      </c>
      <c r="F93" s="249">
        <v>43812</v>
      </c>
      <c r="G93" s="246">
        <v>0</v>
      </c>
      <c r="H93" s="250">
        <v>1</v>
      </c>
      <c r="I93" s="246"/>
      <c r="J93" s="261"/>
      <c r="K93" s="139"/>
      <c r="L93" s="114">
        <v>0.19</v>
      </c>
      <c r="M93" s="114">
        <v>49.392000000000003</v>
      </c>
      <c r="N93" s="114">
        <v>0.31</v>
      </c>
      <c r="O93" s="114">
        <v>32.22</v>
      </c>
      <c r="P93" s="114">
        <v>0.56999999999999995</v>
      </c>
      <c r="Q93" s="114">
        <v>-1.08</v>
      </c>
      <c r="R93" s="139"/>
      <c r="S93" s="114">
        <v>-3.5099999999999999E-2</v>
      </c>
      <c r="T93" s="114">
        <v>6.1499999999999999E-2</v>
      </c>
      <c r="U93" s="114">
        <v>0.19439999999999999</v>
      </c>
      <c r="V93" s="114">
        <v>9.7215000000000007</v>
      </c>
      <c r="W93" s="114">
        <v>0.71650000000000003</v>
      </c>
      <c r="X93" s="114">
        <v>1.7600000000000001E-2</v>
      </c>
      <c r="Y93" s="114">
        <v>7.0999999999999994E-2</v>
      </c>
      <c r="Z93" s="114">
        <v>-2.161</v>
      </c>
      <c r="AA93" s="114">
        <v>-108.0508</v>
      </c>
      <c r="AB93" s="114">
        <v>0.54900000000000004</v>
      </c>
      <c r="AC93" s="113">
        <f t="shared" ref="AC93:AC95" si="75">(ABS(S93)+ABS(X93))/2</f>
        <v>2.6349999999999998E-2</v>
      </c>
      <c r="AD93" s="139"/>
      <c r="AE93" s="262">
        <v>25.56113738794658</v>
      </c>
      <c r="AF93" s="262">
        <v>19.79077436646218</v>
      </c>
      <c r="AG93" s="262">
        <v>12.90693279782008</v>
      </c>
      <c r="AH93" s="262">
        <v>9.2789901377343789</v>
      </c>
      <c r="AI93" s="262">
        <v>2.3168457199045793</v>
      </c>
      <c r="AJ93" s="262">
        <v>0</v>
      </c>
      <c r="AK93" s="262">
        <v>-5.7010689134892996</v>
      </c>
      <c r="AL93" s="262">
        <v>-4.81316141753293</v>
      </c>
      <c r="AM93" s="262">
        <v>-5.4821031834745302</v>
      </c>
      <c r="AN93" s="262">
        <v>-2.9832381502370096</v>
      </c>
      <c r="AO93" s="262">
        <v>-8.4243977690647611</v>
      </c>
      <c r="AP93" s="107">
        <f>SLOPE(AE93:AO93,AE81:AO81)</f>
        <v>0.32035731958151431</v>
      </c>
      <c r="AQ93" s="107">
        <f>SLOPE(AE93:AJ93,AE81:AJ81)</f>
        <v>0.52530118725568975</v>
      </c>
      <c r="AR93" s="107">
        <f>SLOPE(AJ93:AO93,AJ81:AO81)</f>
        <v>9.8964109490024391E-2</v>
      </c>
      <c r="AS93" s="139"/>
      <c r="AT93" s="194">
        <f>-1/-0.343</f>
        <v>2.9154518950437316</v>
      </c>
      <c r="AU93" s="194">
        <f>-1/-1.39</f>
        <v>0.71942446043165476</v>
      </c>
      <c r="AV93" s="194">
        <f>-1/-1.672</f>
        <v>0.59808612440191389</v>
      </c>
      <c r="AW93" s="194">
        <f>-1/-0.255</f>
        <v>3.9215686274509802</v>
      </c>
      <c r="AX93" s="149">
        <f t="shared" si="72"/>
        <v>3.4185102612473557</v>
      </c>
      <c r="AY93" s="149">
        <f t="shared" si="73"/>
        <v>0.65875529241678432</v>
      </c>
      <c r="AZ93" s="150">
        <f t="shared" si="74"/>
        <v>2.03863277683207</v>
      </c>
    </row>
    <row r="94" spans="1:52" x14ac:dyDescent="0.5">
      <c r="A94" s="247">
        <v>5</v>
      </c>
      <c r="B94" s="116" t="s">
        <v>18</v>
      </c>
      <c r="C94" s="248" t="s">
        <v>97</v>
      </c>
      <c r="D94" s="248" t="s">
        <v>99</v>
      </c>
      <c r="E94" s="248" t="s">
        <v>62</v>
      </c>
      <c r="F94" s="249">
        <v>43784</v>
      </c>
      <c r="G94" s="246">
        <v>0</v>
      </c>
      <c r="H94" s="250">
        <v>1</v>
      </c>
      <c r="I94" s="246"/>
      <c r="J94" s="261"/>
      <c r="K94" s="139"/>
      <c r="L94" s="114">
        <v>0.06</v>
      </c>
      <c r="M94" s="114">
        <v>35.28</v>
      </c>
      <c r="N94" s="114">
        <v>0.15</v>
      </c>
      <c r="O94" s="114">
        <v>32.22</v>
      </c>
      <c r="P94" s="114">
        <v>0.22</v>
      </c>
      <c r="Q94" s="114">
        <v>11.52</v>
      </c>
      <c r="R94" s="139"/>
      <c r="S94" s="114">
        <v>-2.6499999999999999E-2</v>
      </c>
      <c r="T94" s="114">
        <v>2.3300000000000001E-2</v>
      </c>
      <c r="U94" s="114">
        <v>1.6536</v>
      </c>
      <c r="V94" s="114">
        <v>82.679400000000001</v>
      </c>
      <c r="W94" s="114">
        <v>0.58409999999999995</v>
      </c>
      <c r="X94" s="114">
        <v>-1E-4</v>
      </c>
      <c r="Y94" s="114">
        <v>8.9999999999999993E-3</v>
      </c>
      <c r="Z94" s="114">
        <v>3.2153</v>
      </c>
      <c r="AA94" s="114">
        <v>160.76339999999999</v>
      </c>
      <c r="AB94" s="114">
        <v>0.18410000000000001</v>
      </c>
      <c r="AC94" s="113">
        <f t="shared" si="75"/>
        <v>1.3299999999999999E-2</v>
      </c>
      <c r="AD94" s="139"/>
      <c r="AE94" s="262">
        <v>22.7849501055411</v>
      </c>
      <c r="AF94" s="262">
        <v>17.136187319653203</v>
      </c>
      <c r="AG94" s="262">
        <v>12.790401541144499</v>
      </c>
      <c r="AH94" s="262">
        <v>11.493282996725002</v>
      </c>
      <c r="AI94" s="262">
        <v>3.3112899415448016</v>
      </c>
      <c r="AJ94" s="262">
        <v>0</v>
      </c>
      <c r="AK94" s="262">
        <v>0.5251466272397014</v>
      </c>
      <c r="AL94" s="262">
        <v>2.6731472883528991</v>
      </c>
      <c r="AM94" s="262">
        <v>-2.3774600877141001</v>
      </c>
      <c r="AN94" s="262">
        <v>-3.0172983633393997</v>
      </c>
      <c r="AO94" s="262">
        <v>-3.4374105682040987</v>
      </c>
      <c r="AP94" s="107">
        <f>SLOPE(AE94:AO94,AE81:AO81)</f>
        <v>0.25241431428938316</v>
      </c>
      <c r="AQ94" s="107">
        <f>SLOPE(AE94:AJ94,AE81:AJ81)</f>
        <v>0.44770446058985763</v>
      </c>
      <c r="AR94" s="107">
        <f>SLOPE(AJ94:AO94,AJ81:AO81)</f>
        <v>9.3899986253785123E-2</v>
      </c>
      <c r="AS94" s="139"/>
      <c r="AT94" s="194">
        <f>-1/-0.661</f>
        <v>1.51285930408472</v>
      </c>
      <c r="AU94" s="194">
        <f>-1/-0.835</f>
        <v>1.1976047904191618</v>
      </c>
      <c r="AV94" s="194">
        <v>0</v>
      </c>
      <c r="AW94" s="194">
        <f>-1/-0.559</f>
        <v>1.7889087656529514</v>
      </c>
      <c r="AX94" s="149">
        <f t="shared" si="72"/>
        <v>1.6508840348688358</v>
      </c>
      <c r="AY94" s="149">
        <f t="shared" si="73"/>
        <v>0.5988023952095809</v>
      </c>
      <c r="AZ94" s="150">
        <f t="shared" si="74"/>
        <v>1.1248432150392085</v>
      </c>
    </row>
    <row r="95" spans="1:52" ht="14.7" thickBot="1" x14ac:dyDescent="0.55000000000000004">
      <c r="A95" s="247">
        <v>6</v>
      </c>
      <c r="B95" s="248"/>
      <c r="C95" s="248" t="s">
        <v>98</v>
      </c>
      <c r="D95" s="248" t="s">
        <v>99</v>
      </c>
      <c r="E95" s="248" t="s">
        <v>62</v>
      </c>
      <c r="F95" s="249">
        <v>43812</v>
      </c>
      <c r="G95" s="246">
        <v>0</v>
      </c>
      <c r="H95" s="250">
        <v>1</v>
      </c>
      <c r="I95" s="246"/>
      <c r="J95" s="261"/>
      <c r="K95" s="139"/>
      <c r="L95" s="114">
        <v>0.15</v>
      </c>
      <c r="M95" s="114">
        <v>43.704000000000008</v>
      </c>
      <c r="N95" s="114">
        <v>0.33</v>
      </c>
      <c r="O95" s="114">
        <v>19.260000000000002</v>
      </c>
      <c r="P95" s="114">
        <v>0.35</v>
      </c>
      <c r="Q95" s="114">
        <v>-3.6</v>
      </c>
      <c r="R95" s="139"/>
      <c r="S95" s="114">
        <v>-9.9299999999999999E-2</v>
      </c>
      <c r="T95" s="114">
        <v>5.1799999999999999E-2</v>
      </c>
      <c r="U95" s="114">
        <v>1.4852000000000001</v>
      </c>
      <c r="V95" s="114">
        <v>74.259200000000007</v>
      </c>
      <c r="W95" s="114">
        <v>0.49930000000000002</v>
      </c>
      <c r="X95" s="114">
        <v>-3.7000000000000002E-3</v>
      </c>
      <c r="Y95" s="114">
        <v>2.86E-2</v>
      </c>
      <c r="Z95" s="114">
        <v>-1.4251</v>
      </c>
      <c r="AA95" s="114">
        <v>-71.256399999999999</v>
      </c>
      <c r="AB95" s="114">
        <v>0.873</v>
      </c>
      <c r="AC95" s="113">
        <f t="shared" si="75"/>
        <v>5.1499999999999997E-2</v>
      </c>
      <c r="AD95" s="139"/>
      <c r="AE95" s="262">
        <v>23.837821815959003</v>
      </c>
      <c r="AF95" s="262">
        <v>20.3721048735515</v>
      </c>
      <c r="AG95" s="262">
        <v>15.261927537682102</v>
      </c>
      <c r="AH95" s="262">
        <v>10.742260103942602</v>
      </c>
      <c r="AI95" s="262">
        <v>2.0430921386570997</v>
      </c>
      <c r="AJ95" s="262">
        <v>0</v>
      </c>
      <c r="AK95" s="262">
        <v>-5.7281285929508199</v>
      </c>
      <c r="AL95" s="262">
        <v>-9.9842272442439999</v>
      </c>
      <c r="AM95" s="262">
        <v>-14.079258445110339</v>
      </c>
      <c r="AN95" s="262">
        <v>-17.564036354118908</v>
      </c>
      <c r="AO95" s="262">
        <v>-22.247461069065658</v>
      </c>
      <c r="AP95" s="107">
        <f>SLOPE(AE95:AO95,AE81:AO81)</f>
        <v>0.47219884792014849</v>
      </c>
      <c r="AQ95" s="107">
        <f>SLOPE(AE95:AJ95,AE81:AJ81)</f>
        <v>0.51055947062347917</v>
      </c>
      <c r="AR95" s="107">
        <f>SLOPE(AJ95:AO95,AJ81:AO81)</f>
        <v>0.4309715995134254</v>
      </c>
      <c r="AS95" s="139"/>
      <c r="AT95" s="194">
        <f>-1/-0.722</f>
        <v>1.3850415512465375</v>
      </c>
      <c r="AU95" s="194">
        <f>-1/-0.329</f>
        <v>3.0395136778115499</v>
      </c>
      <c r="AV95" s="194">
        <f>-1/-1.143</f>
        <v>0.87489063867016625</v>
      </c>
      <c r="AW95" s="194">
        <f>-1/-1.369</f>
        <v>0.73046018991964934</v>
      </c>
      <c r="AX95" s="149">
        <f t="shared" si="72"/>
        <v>1.0577508705830934</v>
      </c>
      <c r="AY95" s="149">
        <f t="shared" si="73"/>
        <v>1.9572021582408581</v>
      </c>
      <c r="AZ95" s="150">
        <f t="shared" si="74"/>
        <v>1.5074765144119757</v>
      </c>
    </row>
    <row r="96" spans="1:52" x14ac:dyDescent="0.5">
      <c r="A96" s="252" t="s">
        <v>118</v>
      </c>
      <c r="B96" s="253"/>
      <c r="C96" s="253"/>
      <c r="D96" s="253"/>
      <c r="E96" s="253"/>
      <c r="F96" s="253"/>
      <c r="G96" s="253"/>
      <c r="H96" s="253"/>
      <c r="I96" s="108"/>
      <c r="J96" s="209">
        <f t="shared" ref="J96:L96" si="76">AVERAGE(J90:J95)</f>
        <v>5</v>
      </c>
      <c r="K96" s="140"/>
      <c r="L96" s="108">
        <f t="shared" si="76"/>
        <v>0.155</v>
      </c>
      <c r="M96" s="108">
        <v>43.584000000000003</v>
      </c>
      <c r="N96" s="108">
        <f t="shared" ref="N96:AQ96" si="77">AVERAGE(N90:N95)</f>
        <v>0.35666666666666669</v>
      </c>
      <c r="O96" s="108">
        <v>27.87</v>
      </c>
      <c r="P96" s="108">
        <f t="shared" si="77"/>
        <v>0.47166666666666668</v>
      </c>
      <c r="Q96" s="108">
        <v>5.7599999999999989</v>
      </c>
      <c r="R96" s="140"/>
      <c r="S96" s="108">
        <f>ABS(AVERAGE(S90:S95))</f>
        <v>5.541666666666667E-2</v>
      </c>
      <c r="T96" s="108">
        <f t="shared" si="77"/>
        <v>3.9233333333333335E-2</v>
      </c>
      <c r="U96" s="108">
        <f t="shared" si="77"/>
        <v>1.3426666666666669</v>
      </c>
      <c r="V96" s="108">
        <f t="shared" si="77"/>
        <v>67.133533333333332</v>
      </c>
      <c r="W96" s="108">
        <f t="shared" si="77"/>
        <v>0.47738333333333327</v>
      </c>
      <c r="X96" s="108">
        <f>ABS(AVERAGE(X90:X95))</f>
        <v>3.6833333333333336E-3</v>
      </c>
      <c r="Y96" s="108">
        <f t="shared" si="77"/>
        <v>4.6683333333333334E-2</v>
      </c>
      <c r="Z96" s="108">
        <f t="shared" si="77"/>
        <v>-1.2840333333333331</v>
      </c>
      <c r="AA96" s="108">
        <f t="shared" si="77"/>
        <v>-64.201683333333321</v>
      </c>
      <c r="AB96" s="108">
        <f>AVERAGE(AB90:AB95)</f>
        <v>0.66858333333333331</v>
      </c>
      <c r="AC96" s="108">
        <f t="shared" si="77"/>
        <v>3.1066666666666663E-2</v>
      </c>
      <c r="AD96" s="140"/>
      <c r="AE96" s="148">
        <f t="shared" si="77"/>
        <v>21.434663746900686</v>
      </c>
      <c r="AF96" s="108">
        <f t="shared" si="77"/>
        <v>15.589200620501595</v>
      </c>
      <c r="AG96" s="108">
        <f t="shared" si="77"/>
        <v>7.9904839853186571</v>
      </c>
      <c r="AH96" s="108">
        <f t="shared" si="77"/>
        <v>8.8602581702197867</v>
      </c>
      <c r="AI96" s="108">
        <f t="shared" si="77"/>
        <v>2.3544899449671988</v>
      </c>
      <c r="AJ96" s="108">
        <f t="shared" si="77"/>
        <v>0</v>
      </c>
      <c r="AK96" s="108">
        <f t="shared" si="77"/>
        <v>-1.5940585367560776</v>
      </c>
      <c r="AL96" s="108">
        <f t="shared" si="77"/>
        <v>-3.7313999613300814</v>
      </c>
      <c r="AM96" s="108">
        <f t="shared" si="77"/>
        <v>-6.0895766014016139</v>
      </c>
      <c r="AN96" s="108">
        <f t="shared" si="77"/>
        <v>-6.5078396996640997</v>
      </c>
      <c r="AO96" s="108">
        <f t="shared" si="77"/>
        <v>-9.7819910043407567</v>
      </c>
      <c r="AP96" s="108">
        <f t="shared" si="77"/>
        <v>0.2871304377653216</v>
      </c>
      <c r="AQ96" s="108">
        <f t="shared" si="77"/>
        <v>0.41716479021773001</v>
      </c>
      <c r="AR96" s="132">
        <f>AVERAGE(AR90:AR95)</f>
        <v>0.18859850042999823</v>
      </c>
      <c r="AS96" s="140"/>
      <c r="AT96" s="108">
        <f>AVERAGE(AT90:AT95)</f>
        <v>2.3223368865790088</v>
      </c>
      <c r="AU96" s="108">
        <f>AVERAGE(AU90:AU95)</f>
        <v>1.6481395816912261</v>
      </c>
      <c r="AV96" s="108">
        <f t="shared" ref="AV96:AZ96" si="78">AVERAGE(AV90:AV95)</f>
        <v>0.77309575684567555</v>
      </c>
      <c r="AW96" s="108">
        <f t="shared" si="78"/>
        <v>2.7212099787750699</v>
      </c>
      <c r="AX96" s="108">
        <f t="shared" si="78"/>
        <v>2.5217734326770391</v>
      </c>
      <c r="AY96" s="108">
        <f>AVERAGE(AY90:AY95)</f>
        <v>1.2106176692684507</v>
      </c>
      <c r="AZ96" s="132">
        <f t="shared" si="78"/>
        <v>1.8661955509727448</v>
      </c>
    </row>
    <row r="97" spans="1:52" ht="14.7" thickBot="1" x14ac:dyDescent="0.55000000000000004">
      <c r="A97" s="263" t="s">
        <v>78</v>
      </c>
      <c r="B97" s="255"/>
      <c r="C97" s="255"/>
      <c r="D97" s="255"/>
      <c r="E97" s="255"/>
      <c r="F97" s="255"/>
      <c r="G97" s="255"/>
      <c r="H97" s="255"/>
      <c r="I97" s="109"/>
      <c r="J97" s="210">
        <f>_xlfn.STDEV.S(J90:J95)</f>
        <v>1.4142135623730951</v>
      </c>
      <c r="K97" s="210" t="e">
        <f t="shared" ref="K97:AZ97" si="79">_xlfn.STDEV.S(K90:K95)</f>
        <v>#DIV/0!</v>
      </c>
      <c r="L97" s="109">
        <f t="shared" si="79"/>
        <v>5.8223706512038439E-2</v>
      </c>
      <c r="M97" s="109">
        <v>6.3116806002838626</v>
      </c>
      <c r="N97" s="109">
        <f t="shared" si="79"/>
        <v>0.12612163441165297</v>
      </c>
      <c r="O97" s="109">
        <v>6.1331329677416813</v>
      </c>
      <c r="P97" s="109">
        <f t="shared" si="79"/>
        <v>0.16375795146088834</v>
      </c>
      <c r="Q97" s="109">
        <v>7.4859227888083373</v>
      </c>
      <c r="R97" s="109" t="e">
        <f t="shared" si="79"/>
        <v>#DIV/0!</v>
      </c>
      <c r="S97" s="109">
        <f t="shared" si="79"/>
        <v>2.8768275350925476E-2</v>
      </c>
      <c r="T97" s="109">
        <f t="shared" si="79"/>
        <v>1.79191145614583E-2</v>
      </c>
      <c r="U97" s="109">
        <f t="shared" si="79"/>
        <v>0.71392735671541963</v>
      </c>
      <c r="V97" s="109">
        <f t="shared" si="79"/>
        <v>35.696263179199406</v>
      </c>
      <c r="W97" s="109">
        <f t="shared" si="79"/>
        <v>0.16811332388203715</v>
      </c>
      <c r="X97" s="109">
        <f t="shared" si="79"/>
        <v>9.0411098138816256E-3</v>
      </c>
      <c r="Y97" s="109">
        <f t="shared" si="79"/>
        <v>2.332315730484761E-2</v>
      </c>
      <c r="Z97" s="109">
        <f t="shared" si="79"/>
        <v>2.2576625112418083</v>
      </c>
      <c r="AA97" s="109">
        <f t="shared" si="79"/>
        <v>112.88209591864278</v>
      </c>
      <c r="AB97" s="109">
        <f t="shared" si="79"/>
        <v>0.27170424668500626</v>
      </c>
      <c r="AC97" s="109">
        <f t="shared" si="79"/>
        <v>1.403166656768421E-2</v>
      </c>
      <c r="AD97" s="109" t="e">
        <f t="shared" si="79"/>
        <v>#DIV/0!</v>
      </c>
      <c r="AE97" s="109">
        <f t="shared" si="79"/>
        <v>7.5855119048598487</v>
      </c>
      <c r="AF97" s="109">
        <f t="shared" si="79"/>
        <v>6.4987915239539751</v>
      </c>
      <c r="AG97" s="109">
        <f t="shared" si="79"/>
        <v>7.8622977449834286</v>
      </c>
      <c r="AH97" s="109">
        <f t="shared" si="79"/>
        <v>2.7328690473530881</v>
      </c>
      <c r="AI97" s="109">
        <f t="shared" si="79"/>
        <v>3.1417215902616245</v>
      </c>
      <c r="AJ97" s="109">
        <f t="shared" si="79"/>
        <v>0</v>
      </c>
      <c r="AK97" s="109">
        <f t="shared" si="79"/>
        <v>3.6105992777884852</v>
      </c>
      <c r="AL97" s="109">
        <f t="shared" si="79"/>
        <v>4.7977595764790442</v>
      </c>
      <c r="AM97" s="109">
        <f t="shared" si="79"/>
        <v>4.6459740663746452</v>
      </c>
      <c r="AN97" s="109">
        <f t="shared" si="79"/>
        <v>6.3249062869869546</v>
      </c>
      <c r="AO97" s="109">
        <f t="shared" si="79"/>
        <v>6.945640735467375</v>
      </c>
      <c r="AP97" s="109">
        <f t="shared" si="79"/>
        <v>0.10183763190271583</v>
      </c>
      <c r="AQ97" s="109">
        <f t="shared" si="79"/>
        <v>0.14299220401799487</v>
      </c>
      <c r="AR97" s="109">
        <f t="shared" si="79"/>
        <v>0.1375073626471579</v>
      </c>
      <c r="AS97" s="109" t="e">
        <f t="shared" si="79"/>
        <v>#DIV/0!</v>
      </c>
      <c r="AT97" s="109">
        <f t="shared" si="79"/>
        <v>1.6540606193232059</v>
      </c>
      <c r="AU97" s="109">
        <f t="shared" si="79"/>
        <v>0.8297685084604316</v>
      </c>
      <c r="AV97" s="109">
        <f t="shared" si="79"/>
        <v>0.51819618114920896</v>
      </c>
      <c r="AW97" s="109">
        <f t="shared" si="79"/>
        <v>1.7657379312283599</v>
      </c>
      <c r="AX97" s="109">
        <f t="shared" si="79"/>
        <v>1.6831397607552616</v>
      </c>
      <c r="AY97" s="109">
        <f t="shared" si="79"/>
        <v>0.58479322059824379</v>
      </c>
      <c r="AZ97" s="109">
        <f t="shared" si="79"/>
        <v>0.95017582305686343</v>
      </c>
    </row>
    <row r="102" spans="1:52" x14ac:dyDescent="0.5">
      <c r="A102" s="269"/>
      <c r="B102" s="269">
        <v>0</v>
      </c>
      <c r="C102" s="270">
        <v>1</v>
      </c>
      <c r="D102" s="270">
        <v>4</v>
      </c>
      <c r="E102" s="270">
        <v>7</v>
      </c>
      <c r="F102" s="270">
        <v>28</v>
      </c>
    </row>
    <row r="103" spans="1:52" x14ac:dyDescent="0.5">
      <c r="A103" s="17"/>
      <c r="B103" s="17" t="s">
        <v>190</v>
      </c>
      <c r="C103" s="17" t="s">
        <v>191</v>
      </c>
      <c r="D103" s="17" t="s">
        <v>192</v>
      </c>
      <c r="E103" s="17" t="s">
        <v>193</v>
      </c>
      <c r="F103" s="17" t="s">
        <v>194</v>
      </c>
    </row>
    <row r="104" spans="1:52" x14ac:dyDescent="0.5">
      <c r="A104" s="226">
        <v>1</v>
      </c>
      <c r="B104" s="269">
        <v>0</v>
      </c>
      <c r="C104" s="269">
        <v>21</v>
      </c>
      <c r="D104" s="269">
        <v>15</v>
      </c>
      <c r="E104" s="269">
        <v>11</v>
      </c>
      <c r="F104" s="269">
        <v>5</v>
      </c>
    </row>
    <row r="105" spans="1:52" x14ac:dyDescent="0.5">
      <c r="A105" s="226">
        <v>2</v>
      </c>
      <c r="B105" s="269">
        <v>0</v>
      </c>
      <c r="C105" s="269">
        <v>22</v>
      </c>
      <c r="D105" s="269">
        <v>15</v>
      </c>
      <c r="E105" s="269">
        <v>10</v>
      </c>
      <c r="F105" s="269">
        <v>6</v>
      </c>
    </row>
    <row r="106" spans="1:52" x14ac:dyDescent="0.5">
      <c r="A106" s="226">
        <v>3</v>
      </c>
      <c r="B106" s="269">
        <v>0</v>
      </c>
      <c r="C106" s="269">
        <v>21</v>
      </c>
      <c r="D106" s="269">
        <v>15</v>
      </c>
      <c r="E106" s="269">
        <v>12</v>
      </c>
      <c r="F106" s="269">
        <v>6</v>
      </c>
    </row>
    <row r="107" spans="1:52" x14ac:dyDescent="0.5">
      <c r="A107" s="226">
        <v>4</v>
      </c>
      <c r="B107" s="269">
        <v>0</v>
      </c>
      <c r="C107" s="269">
        <v>22</v>
      </c>
      <c r="D107" s="269">
        <v>14</v>
      </c>
      <c r="E107" s="269">
        <v>13</v>
      </c>
      <c r="F107" s="269">
        <v>5</v>
      </c>
    </row>
    <row r="108" spans="1:52" x14ac:dyDescent="0.5">
      <c r="A108" s="226">
        <v>5</v>
      </c>
      <c r="B108" s="269">
        <v>0</v>
      </c>
      <c r="C108" s="269">
        <v>23</v>
      </c>
      <c r="D108" s="269">
        <v>16</v>
      </c>
      <c r="E108" s="269">
        <v>12</v>
      </c>
      <c r="F108" s="269">
        <v>5</v>
      </c>
    </row>
    <row r="109" spans="1:52" x14ac:dyDescent="0.5">
      <c r="A109" s="226">
        <v>6</v>
      </c>
      <c r="B109" s="269">
        <v>0</v>
      </c>
      <c r="C109" s="269">
        <v>19</v>
      </c>
      <c r="D109" s="269">
        <v>14</v>
      </c>
      <c r="E109" s="269">
        <v>13</v>
      </c>
      <c r="F109" s="269">
        <v>6</v>
      </c>
    </row>
    <row r="110" spans="1:52" x14ac:dyDescent="0.5">
      <c r="A110" s="159" t="s">
        <v>118</v>
      </c>
      <c r="B110" s="158">
        <f>AVERAGE(B104:B109)</f>
        <v>0</v>
      </c>
      <c r="C110" s="158">
        <f>AVERAGE(C104:C109)</f>
        <v>21.333333333333332</v>
      </c>
      <c r="D110" s="158">
        <f>AVERAGE(D104:D109)</f>
        <v>14.833333333333334</v>
      </c>
      <c r="E110" s="158">
        <f>AVERAGE(E104:E109)</f>
        <v>11.833333333333334</v>
      </c>
      <c r="F110" s="158">
        <f>AVERAGE(F104:F109)</f>
        <v>5.5</v>
      </c>
    </row>
    <row r="111" spans="1:52" ht="14.7" thickBot="1" x14ac:dyDescent="0.55000000000000004">
      <c r="A111" s="159" t="s">
        <v>78</v>
      </c>
      <c r="B111" s="158">
        <f>_xlfn.STDEV.S(B104:B109)/SQRT(COUNT(B104:B109))</f>
        <v>0</v>
      </c>
      <c r="C111" s="158">
        <f>_xlfn.STDEV.S(C104:C109)</f>
        <v>1.3662601021279464</v>
      </c>
      <c r="D111" s="158">
        <f t="shared" ref="D111:F111" si="80">_xlfn.STDEV.S(D104:D109)</f>
        <v>0.752772652709081</v>
      </c>
      <c r="E111" s="158">
        <f t="shared" si="80"/>
        <v>1.1690451944500122</v>
      </c>
      <c r="F111" s="158">
        <f t="shared" si="80"/>
        <v>0.54772255750516607</v>
      </c>
    </row>
    <row r="112" spans="1:52" x14ac:dyDescent="0.5">
      <c r="A112" s="241">
        <v>1</v>
      </c>
      <c r="B112" s="271">
        <v>0</v>
      </c>
      <c r="C112" s="271">
        <v>21</v>
      </c>
      <c r="D112" s="271">
        <v>11</v>
      </c>
      <c r="E112" s="271">
        <v>7</v>
      </c>
      <c r="F112" s="271">
        <v>5</v>
      </c>
    </row>
    <row r="113" spans="1:6" x14ac:dyDescent="0.5">
      <c r="A113" s="247">
        <v>2</v>
      </c>
      <c r="B113" s="271">
        <v>0</v>
      </c>
      <c r="C113" s="271">
        <v>20</v>
      </c>
      <c r="D113" s="271">
        <v>10</v>
      </c>
      <c r="E113" s="271">
        <v>8</v>
      </c>
      <c r="F113" s="271">
        <v>5</v>
      </c>
    </row>
    <row r="114" spans="1:6" x14ac:dyDescent="0.5">
      <c r="A114" s="247">
        <v>5</v>
      </c>
      <c r="B114" s="271">
        <v>0</v>
      </c>
      <c r="C114" s="271">
        <v>22</v>
      </c>
      <c r="D114" s="271">
        <v>14</v>
      </c>
      <c r="E114" s="271">
        <v>7</v>
      </c>
      <c r="F114" s="271">
        <v>4</v>
      </c>
    </row>
    <row r="115" spans="1:6" x14ac:dyDescent="0.5">
      <c r="A115" s="247">
        <v>3</v>
      </c>
      <c r="B115" s="271">
        <v>0</v>
      </c>
      <c r="C115" s="271">
        <v>23</v>
      </c>
      <c r="D115" s="271">
        <v>11</v>
      </c>
      <c r="E115" s="271">
        <v>7</v>
      </c>
      <c r="F115" s="271">
        <v>5</v>
      </c>
    </row>
    <row r="116" spans="1:6" x14ac:dyDescent="0.5">
      <c r="A116" s="247">
        <v>4</v>
      </c>
      <c r="B116" s="271">
        <v>0</v>
      </c>
      <c r="C116" s="271">
        <v>23</v>
      </c>
      <c r="D116" s="271">
        <v>12</v>
      </c>
      <c r="E116" s="271">
        <v>7</v>
      </c>
      <c r="F116" s="271">
        <v>5</v>
      </c>
    </row>
    <row r="117" spans="1:6" ht="14.7" thickBot="1" x14ac:dyDescent="0.55000000000000004">
      <c r="A117" s="272">
        <v>6</v>
      </c>
      <c r="B117" s="271">
        <v>0</v>
      </c>
      <c r="C117" s="271">
        <v>21</v>
      </c>
      <c r="D117" s="271">
        <v>11</v>
      </c>
      <c r="E117" s="271">
        <v>7</v>
      </c>
      <c r="F117" s="271">
        <v>6</v>
      </c>
    </row>
    <row r="118" spans="1:6" ht="14.7" thickBot="1" x14ac:dyDescent="0.55000000000000004">
      <c r="A118" s="157" t="s">
        <v>118</v>
      </c>
      <c r="B118" s="158">
        <f>AVERAGE(B112:B117)</f>
        <v>0</v>
      </c>
      <c r="C118" s="158">
        <f>AVERAGE(C112:C117)</f>
        <v>21.666666666666668</v>
      </c>
      <c r="D118" s="158">
        <f>AVERAGE(D112:D117)</f>
        <v>11.5</v>
      </c>
      <c r="E118" s="158">
        <f>AVERAGE(E112:E117)</f>
        <v>7.166666666666667</v>
      </c>
      <c r="F118" s="158">
        <f>AVERAGE(F112:F117)</f>
        <v>5</v>
      </c>
    </row>
    <row r="119" spans="1:6" ht="14.7" thickBot="1" x14ac:dyDescent="0.55000000000000004">
      <c r="A119" s="157" t="s">
        <v>78</v>
      </c>
      <c r="B119" s="158">
        <f>_xlfn.STDEV.S(B112:B117)/SQRT(COUNT(B112:B117))</f>
        <v>0</v>
      </c>
      <c r="C119" s="158">
        <f>_xlfn.STDEV.S(C112:C117)</f>
        <v>1.2110601416389968</v>
      </c>
      <c r="D119" s="158">
        <f t="shared" ref="D119:F119" si="81">_xlfn.STDEV.S(D112:D117)</f>
        <v>1.3784048752090221</v>
      </c>
      <c r="E119" s="158">
        <f t="shared" si="81"/>
        <v>0.40824829046386302</v>
      </c>
      <c r="F119" s="158">
        <f t="shared" si="81"/>
        <v>0.63245553203367588</v>
      </c>
    </row>
  </sheetData>
  <pageMargins left="0.7" right="0.7" top="0.75" bottom="0.75" header="0.3" footer="0.3"/>
  <pageSetup paperSize="9" scale="95" orientation="portrait" horizontalDpi="1200" verticalDpi="12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FA93EA-5AE3-4968-805A-31DC20DC57AF}">
  <dimension ref="B1:X350"/>
  <sheetViews>
    <sheetView topLeftCell="A214" zoomScaleNormal="100" workbookViewId="0">
      <selection activeCell="L222" sqref="L222"/>
    </sheetView>
  </sheetViews>
  <sheetFormatPr defaultRowHeight="14.35" x14ac:dyDescent="0.5"/>
  <cols>
    <col min="1" max="1" width="4.76171875" customWidth="1"/>
    <col min="2" max="2" width="59.9375" customWidth="1"/>
  </cols>
  <sheetData>
    <row r="1" spans="2:9" x14ac:dyDescent="0.5">
      <c r="B1" t="s">
        <v>1551</v>
      </c>
    </row>
    <row r="2" spans="2:9" x14ac:dyDescent="0.5">
      <c r="B2" t="s">
        <v>1552</v>
      </c>
    </row>
    <row r="3" spans="2:9" x14ac:dyDescent="0.5">
      <c r="B3" t="s">
        <v>1553</v>
      </c>
    </row>
    <row r="4" spans="2:9" x14ac:dyDescent="0.5">
      <c r="B4" t="s">
        <v>213</v>
      </c>
    </row>
    <row r="5" spans="2:9" x14ac:dyDescent="0.5">
      <c r="B5" t="s">
        <v>214</v>
      </c>
    </row>
    <row r="6" spans="2:9" x14ac:dyDescent="0.5">
      <c r="B6" t="s">
        <v>215</v>
      </c>
    </row>
    <row r="7" spans="2:9" x14ac:dyDescent="0.5">
      <c r="B7" t="s">
        <v>216</v>
      </c>
    </row>
    <row r="8" spans="2:9" x14ac:dyDescent="0.5">
      <c r="B8" t="s">
        <v>217</v>
      </c>
    </row>
    <row r="9" spans="2:9" x14ac:dyDescent="0.5">
      <c r="B9" t="s">
        <v>218</v>
      </c>
    </row>
    <row r="13" spans="2:9" x14ac:dyDescent="0.5">
      <c r="B13" t="s">
        <v>219</v>
      </c>
    </row>
    <row r="14" spans="2:9" ht="14.7" thickBot="1" x14ac:dyDescent="0.55000000000000004"/>
    <row r="15" spans="2:9" x14ac:dyDescent="0.5">
      <c r="B15" s="161" t="s">
        <v>220</v>
      </c>
      <c r="C15" s="162" t="s">
        <v>221</v>
      </c>
      <c r="D15" s="162" t="s">
        <v>222</v>
      </c>
      <c r="E15" s="162" t="s">
        <v>223</v>
      </c>
      <c r="F15" s="162" t="s">
        <v>224</v>
      </c>
      <c r="G15" s="162" t="s">
        <v>225</v>
      </c>
      <c r="H15" s="162" t="s">
        <v>77</v>
      </c>
      <c r="I15" s="162" t="s">
        <v>226</v>
      </c>
    </row>
    <row r="16" spans="2:9" ht="14.7" thickBot="1" x14ac:dyDescent="0.55000000000000004">
      <c r="B16" s="164" t="s">
        <v>365</v>
      </c>
      <c r="C16" s="165">
        <v>120</v>
      </c>
      <c r="D16" s="165">
        <v>0</v>
      </c>
      <c r="E16" s="165">
        <v>120</v>
      </c>
      <c r="F16" s="166">
        <v>0</v>
      </c>
      <c r="G16" s="166">
        <v>6.4484126984126977</v>
      </c>
      <c r="H16" s="166">
        <v>1.4506176163660103</v>
      </c>
      <c r="I16" s="166">
        <v>1.6850347886755828</v>
      </c>
    </row>
    <row r="18" spans="2:5" ht="14.7" thickBot="1" x14ac:dyDescent="0.55000000000000004"/>
    <row r="19" spans="2:5" x14ac:dyDescent="0.5">
      <c r="B19" s="162" t="s">
        <v>220</v>
      </c>
      <c r="C19" s="162" t="s">
        <v>227</v>
      </c>
      <c r="D19" s="162" t="s">
        <v>228</v>
      </c>
      <c r="E19" s="162" t="s">
        <v>229</v>
      </c>
    </row>
    <row r="20" spans="2:5" x14ac:dyDescent="0.5">
      <c r="B20" s="163" t="s">
        <v>468</v>
      </c>
      <c r="C20" s="163" t="s">
        <v>470</v>
      </c>
      <c r="D20" s="163">
        <v>60</v>
      </c>
      <c r="E20" s="168">
        <v>50</v>
      </c>
    </row>
    <row r="21" spans="2:5" x14ac:dyDescent="0.5">
      <c r="B21" s="160"/>
      <c r="C21" s="160" t="s">
        <v>469</v>
      </c>
      <c r="D21" s="160">
        <v>60</v>
      </c>
      <c r="E21" s="169">
        <v>50</v>
      </c>
    </row>
    <row r="22" spans="2:5" x14ac:dyDescent="0.5">
      <c r="B22" s="163" t="s">
        <v>5</v>
      </c>
      <c r="C22" s="163" t="s">
        <v>93</v>
      </c>
      <c r="D22" s="163">
        <v>10</v>
      </c>
      <c r="E22" s="168">
        <v>8.3333333333333339</v>
      </c>
    </row>
    <row r="23" spans="2:5" x14ac:dyDescent="0.5">
      <c r="B23" s="160"/>
      <c r="C23" s="160" t="s">
        <v>92</v>
      </c>
      <c r="D23" s="160">
        <v>10</v>
      </c>
      <c r="E23" s="169">
        <v>8.3333333333333339</v>
      </c>
    </row>
    <row r="24" spans="2:5" x14ac:dyDescent="0.5">
      <c r="B24" s="160"/>
      <c r="C24" s="160">
        <v>3729060</v>
      </c>
      <c r="D24" s="160">
        <v>10</v>
      </c>
      <c r="E24" s="169">
        <v>8.3333333333333339</v>
      </c>
    </row>
    <row r="25" spans="2:5" x14ac:dyDescent="0.5">
      <c r="B25" s="160"/>
      <c r="C25" s="160">
        <v>3729172</v>
      </c>
      <c r="D25" s="160">
        <v>10</v>
      </c>
      <c r="E25" s="169">
        <v>8.3333333333333339</v>
      </c>
    </row>
    <row r="26" spans="2:5" x14ac:dyDescent="0.5">
      <c r="B26" s="160"/>
      <c r="C26" s="160" t="s">
        <v>95</v>
      </c>
      <c r="D26" s="160">
        <v>10</v>
      </c>
      <c r="E26" s="169">
        <v>8.3333333333333339</v>
      </c>
    </row>
    <row r="27" spans="2:5" x14ac:dyDescent="0.5">
      <c r="B27" s="160"/>
      <c r="C27" s="160" t="s">
        <v>96</v>
      </c>
      <c r="D27" s="160">
        <v>10</v>
      </c>
      <c r="E27" s="169">
        <v>8.3333333333333339</v>
      </c>
    </row>
    <row r="28" spans="2:5" x14ac:dyDescent="0.5">
      <c r="B28" s="160"/>
      <c r="C28" s="160" t="s">
        <v>100</v>
      </c>
      <c r="D28" s="160">
        <v>10</v>
      </c>
      <c r="E28" s="169">
        <v>8.3333333333333339</v>
      </c>
    </row>
    <row r="29" spans="2:5" x14ac:dyDescent="0.5">
      <c r="B29" s="160"/>
      <c r="C29" s="160" t="s">
        <v>188</v>
      </c>
      <c r="D29" s="160">
        <v>10</v>
      </c>
      <c r="E29" s="169">
        <v>8.3333333333333339</v>
      </c>
    </row>
    <row r="30" spans="2:5" x14ac:dyDescent="0.5">
      <c r="B30" s="160"/>
      <c r="C30" s="160" t="s">
        <v>97</v>
      </c>
      <c r="D30" s="160">
        <v>10</v>
      </c>
      <c r="E30" s="169">
        <v>8.3333333333333339</v>
      </c>
    </row>
    <row r="31" spans="2:5" x14ac:dyDescent="0.5">
      <c r="B31" s="160"/>
      <c r="C31" s="160" t="s">
        <v>98</v>
      </c>
      <c r="D31" s="160">
        <v>10</v>
      </c>
      <c r="E31" s="169">
        <v>8.3333333333333339</v>
      </c>
    </row>
    <row r="32" spans="2:5" x14ac:dyDescent="0.5">
      <c r="B32" s="160"/>
      <c r="C32" s="160" t="s">
        <v>82</v>
      </c>
      <c r="D32" s="160">
        <v>10</v>
      </c>
      <c r="E32" s="169">
        <v>8.3333333333333339</v>
      </c>
    </row>
    <row r="33" spans="2:24" x14ac:dyDescent="0.5">
      <c r="B33" s="160"/>
      <c r="C33" s="160" t="s">
        <v>83</v>
      </c>
      <c r="D33" s="160">
        <v>10</v>
      </c>
      <c r="E33" s="169">
        <v>8.3333333333333339</v>
      </c>
    </row>
    <row r="34" spans="2:24" x14ac:dyDescent="0.5">
      <c r="B34" s="163" t="s">
        <v>367</v>
      </c>
      <c r="C34" s="163" t="s">
        <v>8</v>
      </c>
      <c r="D34" s="163">
        <v>60</v>
      </c>
      <c r="E34" s="168">
        <v>50</v>
      </c>
    </row>
    <row r="35" spans="2:24" x14ac:dyDescent="0.5">
      <c r="B35" s="160"/>
      <c r="C35" s="160" t="s">
        <v>7</v>
      </c>
      <c r="D35" s="160">
        <v>60</v>
      </c>
      <c r="E35" s="169">
        <v>50</v>
      </c>
    </row>
    <row r="36" spans="2:24" x14ac:dyDescent="0.5">
      <c r="B36" s="163" t="s">
        <v>366</v>
      </c>
      <c r="C36" s="163" t="s">
        <v>368</v>
      </c>
      <c r="D36" s="163">
        <v>24</v>
      </c>
      <c r="E36" s="168">
        <v>20</v>
      </c>
    </row>
    <row r="37" spans="2:24" x14ac:dyDescent="0.5">
      <c r="B37" s="160"/>
      <c r="C37" s="160" t="s">
        <v>371</v>
      </c>
      <c r="D37" s="160">
        <v>24</v>
      </c>
      <c r="E37" s="169">
        <v>20</v>
      </c>
    </row>
    <row r="38" spans="2:24" x14ac:dyDescent="0.5">
      <c r="B38" s="160"/>
      <c r="C38" s="160" t="s">
        <v>369</v>
      </c>
      <c r="D38" s="160">
        <v>24</v>
      </c>
      <c r="E38" s="169">
        <v>20</v>
      </c>
    </row>
    <row r="39" spans="2:24" x14ac:dyDescent="0.5">
      <c r="B39" s="160"/>
      <c r="C39" s="160" t="s">
        <v>370</v>
      </c>
      <c r="D39" s="160">
        <v>24</v>
      </c>
      <c r="E39" s="169">
        <v>20</v>
      </c>
    </row>
    <row r="40" spans="2:24" ht="14.7" thickBot="1" x14ac:dyDescent="0.55000000000000004">
      <c r="B40" s="167"/>
      <c r="C40" s="167" t="s">
        <v>432</v>
      </c>
      <c r="D40" s="167">
        <v>24</v>
      </c>
      <c r="E40" s="170">
        <v>20</v>
      </c>
    </row>
    <row r="43" spans="2:24" x14ac:dyDescent="0.5">
      <c r="B43" t="s">
        <v>230</v>
      </c>
    </row>
    <row r="44" spans="2:24" ht="14.7" thickBot="1" x14ac:dyDescent="0.55000000000000004"/>
    <row r="45" spans="2:24" x14ac:dyDescent="0.5">
      <c r="B45" s="161" t="s">
        <v>231</v>
      </c>
      <c r="C45" s="172" t="s">
        <v>474</v>
      </c>
      <c r="D45" s="172" t="s">
        <v>475</v>
      </c>
      <c r="E45" s="172" t="s">
        <v>375</v>
      </c>
      <c r="F45" s="172" t="s">
        <v>376</v>
      </c>
      <c r="G45" s="172" t="s">
        <v>377</v>
      </c>
      <c r="H45" s="172" t="s">
        <v>378</v>
      </c>
      <c r="I45" s="172" t="s">
        <v>379</v>
      </c>
      <c r="J45" s="172" t="s">
        <v>380</v>
      </c>
      <c r="K45" s="172" t="s">
        <v>381</v>
      </c>
      <c r="L45" s="172" t="s">
        <v>382</v>
      </c>
      <c r="M45" s="172" t="s">
        <v>383</v>
      </c>
      <c r="N45" s="172" t="s">
        <v>384</v>
      </c>
      <c r="O45" s="172" t="s">
        <v>385</v>
      </c>
      <c r="P45" s="172" t="s">
        <v>386</v>
      </c>
      <c r="Q45" s="172" t="s">
        <v>387</v>
      </c>
      <c r="R45" s="172" t="s">
        <v>388</v>
      </c>
      <c r="S45" s="172" t="s">
        <v>389</v>
      </c>
      <c r="T45" s="172" t="s">
        <v>392</v>
      </c>
      <c r="U45" s="172" t="s">
        <v>390</v>
      </c>
      <c r="V45" s="172" t="s">
        <v>391</v>
      </c>
      <c r="W45" s="172" t="s">
        <v>437</v>
      </c>
      <c r="X45" s="173" t="s">
        <v>365</v>
      </c>
    </row>
    <row r="46" spans="2:24" x14ac:dyDescent="0.5">
      <c r="B46" s="174" t="s">
        <v>474</v>
      </c>
      <c r="C46" s="181">
        <v>1</v>
      </c>
      <c r="D46" s="176">
        <v>-1</v>
      </c>
      <c r="E46" s="176">
        <v>-1.0517983523841123E-18</v>
      </c>
      <c r="F46" s="176">
        <v>-4.3996553458118644E-18</v>
      </c>
      <c r="G46" s="176">
        <v>-1.7789857447317289E-17</v>
      </c>
      <c r="H46" s="176">
        <v>-1.1095165020633105E-17</v>
      </c>
      <c r="I46" s="176">
        <v>-6.0731752184572144E-18</v>
      </c>
      <c r="J46" s="176">
        <v>-4.3996553458118636E-18</v>
      </c>
      <c r="K46" s="176">
        <v>2.2952413929065882E-18</v>
      </c>
      <c r="L46" s="176">
        <v>-7.7475123392396145E-18</v>
      </c>
      <c r="M46" s="176">
        <v>-2.3079087390308728E-18</v>
      </c>
      <c r="N46" s="176">
        <v>-8.0940255493490668E-18</v>
      </c>
      <c r="O46" s="176">
        <v>-4.4000639698803886E-18</v>
      </c>
      <c r="P46" s="176">
        <v>-7.7477166512738758E-18</v>
      </c>
      <c r="Q46" s="176">
        <v>-1.085196024476949E-17</v>
      </c>
      <c r="R46" s="176">
        <v>1.085196024476949E-17</v>
      </c>
      <c r="S46" s="176">
        <v>-8.5685852944245038E-18</v>
      </c>
      <c r="T46" s="176">
        <v>-2.7364811082628936E-18</v>
      </c>
      <c r="U46" s="176">
        <v>2.8438848859747387E-17</v>
      </c>
      <c r="V46" s="176">
        <v>4.6942848281149091E-17</v>
      </c>
      <c r="W46" s="176">
        <v>-8.5677382614772495E-18</v>
      </c>
      <c r="X46" s="177">
        <v>-2.7727389142115259E-2</v>
      </c>
    </row>
    <row r="47" spans="2:24" x14ac:dyDescent="0.5">
      <c r="B47" s="171" t="s">
        <v>475</v>
      </c>
      <c r="C47" s="178">
        <v>-1</v>
      </c>
      <c r="D47" s="182">
        <v>1</v>
      </c>
      <c r="E47" s="178">
        <v>1.0497552320414858E-18</v>
      </c>
      <c r="F47" s="178">
        <v>4.3976122254692387E-18</v>
      </c>
      <c r="G47" s="178">
        <v>1.7787814326974663E-17</v>
      </c>
      <c r="H47" s="178">
        <v>1.1093121900290478E-17</v>
      </c>
      <c r="I47" s="178">
        <v>6.071132098114588E-18</v>
      </c>
      <c r="J47" s="178">
        <v>4.3976122254692371E-18</v>
      </c>
      <c r="K47" s="178">
        <v>-2.2972845132492151E-18</v>
      </c>
      <c r="L47" s="178">
        <v>7.7454692188969888E-18</v>
      </c>
      <c r="M47" s="178">
        <v>2.3058656186882463E-18</v>
      </c>
      <c r="N47" s="178">
        <v>8.1152740009123814E-18</v>
      </c>
      <c r="O47" s="178">
        <v>4.3980208495377613E-18</v>
      </c>
      <c r="P47" s="178">
        <v>7.7456735309312501E-18</v>
      </c>
      <c r="Q47" s="178">
        <v>1.0858284757442323E-17</v>
      </c>
      <c r="R47" s="178">
        <v>-1.0858284757442323E-17</v>
      </c>
      <c r="S47" s="178">
        <v>8.5657618512669889E-18</v>
      </c>
      <c r="T47" s="178">
        <v>2.7477748808929507E-18</v>
      </c>
      <c r="U47" s="178">
        <v>-2.8441672302904903E-17</v>
      </c>
      <c r="V47" s="178">
        <v>-4.6945671724306601E-17</v>
      </c>
      <c r="W47" s="178">
        <v>8.5649148183197346E-18</v>
      </c>
      <c r="X47" s="179">
        <v>2.7727389142115259E-2</v>
      </c>
    </row>
    <row r="48" spans="2:24" x14ac:dyDescent="0.5">
      <c r="B48" s="171" t="s">
        <v>375</v>
      </c>
      <c r="C48" s="178">
        <v>-1.0517983523841123E-18</v>
      </c>
      <c r="D48" s="178">
        <v>1.0497552320414858E-18</v>
      </c>
      <c r="E48" s="182">
        <v>1</v>
      </c>
      <c r="F48" s="178">
        <v>-9.0909090909090967E-2</v>
      </c>
      <c r="G48" s="178">
        <v>-9.0909090909090939E-2</v>
      </c>
      <c r="H48" s="178">
        <v>-9.0909090909090967E-2</v>
      </c>
      <c r="I48" s="178">
        <v>-9.0909090909090953E-2</v>
      </c>
      <c r="J48" s="178">
        <v>-9.0909090909090953E-2</v>
      </c>
      <c r="K48" s="178">
        <v>-9.0909090909090953E-2</v>
      </c>
      <c r="L48" s="178">
        <v>-9.0909090909090939E-2</v>
      </c>
      <c r="M48" s="178">
        <v>-9.0909090909090912E-2</v>
      </c>
      <c r="N48" s="178">
        <v>-9.0909090909090898E-2</v>
      </c>
      <c r="O48" s="178">
        <v>-9.0909090909090953E-2</v>
      </c>
      <c r="P48" s="178">
        <v>-9.0909090909090939E-2</v>
      </c>
      <c r="Q48" s="178">
        <v>-0.30151134457776368</v>
      </c>
      <c r="R48" s="178">
        <v>0.30151134457776368</v>
      </c>
      <c r="S48" s="178">
        <v>-3.0831962920447734E-18</v>
      </c>
      <c r="T48" s="178">
        <v>-4.403435118445723E-18</v>
      </c>
      <c r="U48" s="178">
        <v>-5.1753515228942904E-18</v>
      </c>
      <c r="V48" s="178">
        <v>2.1470640900576029E-18</v>
      </c>
      <c r="W48" s="178">
        <v>-3.0834516820876016E-18</v>
      </c>
      <c r="X48" s="179">
        <v>3.1339644361721028E-2</v>
      </c>
    </row>
    <row r="49" spans="2:24" x14ac:dyDescent="0.5">
      <c r="B49" s="171" t="s">
        <v>376</v>
      </c>
      <c r="C49" s="178">
        <v>-4.3996553458118644E-18</v>
      </c>
      <c r="D49" s="178">
        <v>4.3976122254692387E-18</v>
      </c>
      <c r="E49" s="178">
        <v>-9.0909090909090967E-2</v>
      </c>
      <c r="F49" s="182">
        <v>1</v>
      </c>
      <c r="G49" s="178">
        <v>-9.0909090909090967E-2</v>
      </c>
      <c r="H49" s="178">
        <v>-9.0909090909090967E-2</v>
      </c>
      <c r="I49" s="178">
        <v>-9.0909090909090967E-2</v>
      </c>
      <c r="J49" s="178">
        <v>-9.0909090909090953E-2</v>
      </c>
      <c r="K49" s="178">
        <v>-9.0909090909090953E-2</v>
      </c>
      <c r="L49" s="178">
        <v>-9.0909090909090953E-2</v>
      </c>
      <c r="M49" s="178">
        <v>-9.0909090909090939E-2</v>
      </c>
      <c r="N49" s="178">
        <v>-9.0909090909090912E-2</v>
      </c>
      <c r="O49" s="178">
        <v>-9.0909090909090981E-2</v>
      </c>
      <c r="P49" s="178">
        <v>-9.0909090909090953E-2</v>
      </c>
      <c r="Q49" s="178">
        <v>-0.3015113445777638</v>
      </c>
      <c r="R49" s="178">
        <v>0.3015113445777638</v>
      </c>
      <c r="S49" s="178">
        <v>-3.0830685970233595E-18</v>
      </c>
      <c r="T49" s="178">
        <v>-2.1963543683234673E-19</v>
      </c>
      <c r="U49" s="178">
        <v>-2.036990981598602E-18</v>
      </c>
      <c r="V49" s="178">
        <v>1.1012418646756733E-18</v>
      </c>
      <c r="W49" s="178">
        <v>-9.9116875621667172E-19</v>
      </c>
      <c r="X49" s="179">
        <v>8.8956921830700572E-2</v>
      </c>
    </row>
    <row r="50" spans="2:24" x14ac:dyDescent="0.5">
      <c r="B50" s="171" t="s">
        <v>377</v>
      </c>
      <c r="C50" s="178">
        <v>-1.7789857447317289E-17</v>
      </c>
      <c r="D50" s="178">
        <v>1.7787814326974663E-17</v>
      </c>
      <c r="E50" s="178">
        <v>-9.0909090909090939E-2</v>
      </c>
      <c r="F50" s="178">
        <v>-9.0909090909090967E-2</v>
      </c>
      <c r="G50" s="182">
        <v>1</v>
      </c>
      <c r="H50" s="178">
        <v>-9.0909090909090953E-2</v>
      </c>
      <c r="I50" s="178">
        <v>-9.0909090909090939E-2</v>
      </c>
      <c r="J50" s="178">
        <v>-9.0909090909090939E-2</v>
      </c>
      <c r="K50" s="178">
        <v>-9.0909090909090939E-2</v>
      </c>
      <c r="L50" s="178">
        <v>-9.0909090909090925E-2</v>
      </c>
      <c r="M50" s="178">
        <v>-9.0909090909090884E-2</v>
      </c>
      <c r="N50" s="178">
        <v>-9.0909090909090884E-2</v>
      </c>
      <c r="O50" s="178">
        <v>-9.0909090909090939E-2</v>
      </c>
      <c r="P50" s="178">
        <v>-9.0909090909090953E-2</v>
      </c>
      <c r="Q50" s="178">
        <v>-0.30151134457776357</v>
      </c>
      <c r="R50" s="178">
        <v>0.30151134457776357</v>
      </c>
      <c r="S50" s="178">
        <v>-1.2497511745803352E-17</v>
      </c>
      <c r="T50" s="178">
        <v>-2.2065699700365992E-19</v>
      </c>
      <c r="U50" s="178">
        <v>1.0516195793541322E-17</v>
      </c>
      <c r="V50" s="178">
        <v>-8.3133289791257343E-18</v>
      </c>
      <c r="W50" s="178">
        <v>-1.2497767135846181E-17</v>
      </c>
      <c r="X50" s="179">
        <v>-0.13023997267284773</v>
      </c>
    </row>
    <row r="51" spans="2:24" x14ac:dyDescent="0.5">
      <c r="B51" s="171" t="s">
        <v>378</v>
      </c>
      <c r="C51" s="178">
        <v>-1.1095165020633105E-17</v>
      </c>
      <c r="D51" s="178">
        <v>1.1093121900290478E-17</v>
      </c>
      <c r="E51" s="178">
        <v>-9.0909090909090967E-2</v>
      </c>
      <c r="F51" s="178">
        <v>-9.0909090909090967E-2</v>
      </c>
      <c r="G51" s="178">
        <v>-9.0909090909090953E-2</v>
      </c>
      <c r="H51" s="182">
        <v>1</v>
      </c>
      <c r="I51" s="178">
        <v>-9.0909090909090953E-2</v>
      </c>
      <c r="J51" s="178">
        <v>-9.0909090909090953E-2</v>
      </c>
      <c r="K51" s="178">
        <v>-9.0909090909090953E-2</v>
      </c>
      <c r="L51" s="178">
        <v>-9.0909090909090953E-2</v>
      </c>
      <c r="M51" s="178">
        <v>-9.0909090909090912E-2</v>
      </c>
      <c r="N51" s="178">
        <v>-9.0909090909090912E-2</v>
      </c>
      <c r="O51" s="178">
        <v>-9.0909090909090939E-2</v>
      </c>
      <c r="P51" s="178">
        <v>-9.0909090909090953E-2</v>
      </c>
      <c r="Q51" s="178">
        <v>-0.30151134457776368</v>
      </c>
      <c r="R51" s="178">
        <v>0.30151134457776368</v>
      </c>
      <c r="S51" s="178">
        <v>-8.3130735890829073E-18</v>
      </c>
      <c r="T51" s="178">
        <v>-2.2116777708931658E-19</v>
      </c>
      <c r="U51" s="178">
        <v>8.4241682577132238E-18</v>
      </c>
      <c r="V51" s="178">
        <v>5.5419639293743287E-20</v>
      </c>
      <c r="W51" s="178">
        <v>-4.1290185174267027E-18</v>
      </c>
      <c r="X51" s="179">
        <v>2.3699643312788312E-2</v>
      </c>
    </row>
    <row r="52" spans="2:24" x14ac:dyDescent="0.5">
      <c r="B52" s="171" t="s">
        <v>379</v>
      </c>
      <c r="C52" s="178">
        <v>-6.0731752184572144E-18</v>
      </c>
      <c r="D52" s="178">
        <v>6.071132098114588E-18</v>
      </c>
      <c r="E52" s="178">
        <v>-9.0909090909090953E-2</v>
      </c>
      <c r="F52" s="178">
        <v>-9.0909090909090967E-2</v>
      </c>
      <c r="G52" s="178">
        <v>-9.0909090909090939E-2</v>
      </c>
      <c r="H52" s="178">
        <v>-9.0909090909090953E-2</v>
      </c>
      <c r="I52" s="182">
        <v>1</v>
      </c>
      <c r="J52" s="178">
        <v>-9.0909090909090953E-2</v>
      </c>
      <c r="K52" s="178">
        <v>-9.0909090909090953E-2</v>
      </c>
      <c r="L52" s="178">
        <v>-9.0909090909090967E-2</v>
      </c>
      <c r="M52" s="178">
        <v>-9.0909090909090939E-2</v>
      </c>
      <c r="N52" s="178">
        <v>-9.0909090909090925E-2</v>
      </c>
      <c r="O52" s="178">
        <v>-9.0909090909090953E-2</v>
      </c>
      <c r="P52" s="178">
        <v>-9.0909090909090912E-2</v>
      </c>
      <c r="Q52" s="178">
        <v>0.30151134457776335</v>
      </c>
      <c r="R52" s="178">
        <v>-0.30151134457776335</v>
      </c>
      <c r="S52" s="178">
        <v>-3.0831962920447734E-18</v>
      </c>
      <c r="T52" s="178">
        <v>-2.1912465674669011E-19</v>
      </c>
      <c r="U52" s="178">
        <v>2.1471917850790172E-18</v>
      </c>
      <c r="V52" s="178">
        <v>1.1011141696542591E-18</v>
      </c>
      <c r="W52" s="178">
        <v>-9.9129645123808564E-19</v>
      </c>
      <c r="X52" s="179">
        <v>1.1798490026253022E-2</v>
      </c>
    </row>
    <row r="53" spans="2:24" x14ac:dyDescent="0.5">
      <c r="B53" s="171" t="s">
        <v>380</v>
      </c>
      <c r="C53" s="178">
        <v>-4.3996553458118636E-18</v>
      </c>
      <c r="D53" s="178">
        <v>4.3976122254692371E-18</v>
      </c>
      <c r="E53" s="178">
        <v>-9.0909090909090953E-2</v>
      </c>
      <c r="F53" s="178">
        <v>-9.0909090909090953E-2</v>
      </c>
      <c r="G53" s="178">
        <v>-9.0909090909090939E-2</v>
      </c>
      <c r="H53" s="178">
        <v>-9.0909090909090953E-2</v>
      </c>
      <c r="I53" s="178">
        <v>-9.0909090909090953E-2</v>
      </c>
      <c r="J53" s="182">
        <v>1</v>
      </c>
      <c r="K53" s="178">
        <v>-9.0909090909090967E-2</v>
      </c>
      <c r="L53" s="178">
        <v>-9.0909090909090981E-2</v>
      </c>
      <c r="M53" s="178">
        <v>-9.0909090909090953E-2</v>
      </c>
      <c r="N53" s="178">
        <v>-9.0909090909090939E-2</v>
      </c>
      <c r="O53" s="178">
        <v>-9.0909090909090953E-2</v>
      </c>
      <c r="P53" s="178">
        <v>-9.0909090909090912E-2</v>
      </c>
      <c r="Q53" s="178">
        <v>0.30151134457776346</v>
      </c>
      <c r="R53" s="178">
        <v>-0.30151134457776346</v>
      </c>
      <c r="S53" s="178">
        <v>-5.1752238278728753E-18</v>
      </c>
      <c r="T53" s="178">
        <v>-4.4039458985313794E-18</v>
      </c>
      <c r="U53" s="178">
        <v>-5.1752238278728769E-18</v>
      </c>
      <c r="V53" s="178">
        <v>1.1012418646756733E-18</v>
      </c>
      <c r="W53" s="178">
        <v>1.1009864746328448E-18</v>
      </c>
      <c r="X53" s="179">
        <v>0.17434637496622502</v>
      </c>
    </row>
    <row r="54" spans="2:24" x14ac:dyDescent="0.5">
      <c r="B54" s="171" t="s">
        <v>381</v>
      </c>
      <c r="C54" s="178">
        <v>2.2952413929065882E-18</v>
      </c>
      <c r="D54" s="178">
        <v>-2.2972845132492151E-18</v>
      </c>
      <c r="E54" s="178">
        <v>-9.0909090909090953E-2</v>
      </c>
      <c r="F54" s="178">
        <v>-9.0909090909090953E-2</v>
      </c>
      <c r="G54" s="178">
        <v>-9.0909090909090939E-2</v>
      </c>
      <c r="H54" s="178">
        <v>-9.0909090909090953E-2</v>
      </c>
      <c r="I54" s="178">
        <v>-9.0909090909090953E-2</v>
      </c>
      <c r="J54" s="178">
        <v>-9.0909090909090967E-2</v>
      </c>
      <c r="K54" s="182">
        <v>1</v>
      </c>
      <c r="L54" s="178">
        <v>-9.0909090909090967E-2</v>
      </c>
      <c r="M54" s="178">
        <v>-9.0909090909090939E-2</v>
      </c>
      <c r="N54" s="178">
        <v>-9.0909090909090925E-2</v>
      </c>
      <c r="O54" s="178">
        <v>-9.0909090909090953E-2</v>
      </c>
      <c r="P54" s="178">
        <v>-9.0909090909090912E-2</v>
      </c>
      <c r="Q54" s="178">
        <v>0.30151134457776346</v>
      </c>
      <c r="R54" s="178">
        <v>-0.30151134457776346</v>
      </c>
      <c r="S54" s="178">
        <v>-2.56002978931098E-18</v>
      </c>
      <c r="T54" s="178">
        <v>1.8725197940171699E-18</v>
      </c>
      <c r="U54" s="178">
        <v>1.6242806723880524E-18</v>
      </c>
      <c r="V54" s="178">
        <v>1.6242806723880524E-18</v>
      </c>
      <c r="W54" s="178">
        <v>1.6240252823452242E-18</v>
      </c>
      <c r="X54" s="179">
        <v>-9.9857419283285842E-2</v>
      </c>
    </row>
    <row r="55" spans="2:24" x14ac:dyDescent="0.5">
      <c r="B55" s="171" t="s">
        <v>382</v>
      </c>
      <c r="C55" s="178">
        <v>-7.7475123392396145E-18</v>
      </c>
      <c r="D55" s="178">
        <v>7.7454692188969888E-18</v>
      </c>
      <c r="E55" s="178">
        <v>-9.0909090909090939E-2</v>
      </c>
      <c r="F55" s="178">
        <v>-9.0909090909090953E-2</v>
      </c>
      <c r="G55" s="178">
        <v>-9.0909090909090925E-2</v>
      </c>
      <c r="H55" s="178">
        <v>-9.0909090909090953E-2</v>
      </c>
      <c r="I55" s="178">
        <v>-9.0909090909090967E-2</v>
      </c>
      <c r="J55" s="178">
        <v>-9.0909090909090981E-2</v>
      </c>
      <c r="K55" s="178">
        <v>-9.0909090909090967E-2</v>
      </c>
      <c r="L55" s="182">
        <v>1</v>
      </c>
      <c r="M55" s="178">
        <v>-9.0909090909090939E-2</v>
      </c>
      <c r="N55" s="178">
        <v>-9.0909090909090912E-2</v>
      </c>
      <c r="O55" s="178">
        <v>-9.0909090909090939E-2</v>
      </c>
      <c r="P55" s="178">
        <v>-9.0909090909090925E-2</v>
      </c>
      <c r="Q55" s="178">
        <v>0.30151134457776346</v>
      </c>
      <c r="R55" s="178">
        <v>-0.30151134457776346</v>
      </c>
      <c r="S55" s="178">
        <v>-1.5136967838433937E-18</v>
      </c>
      <c r="T55" s="178">
        <v>-1.0681433151251244E-17</v>
      </c>
      <c r="U55" s="178">
        <v>6.8549241395546728E-18</v>
      </c>
      <c r="V55" s="178">
        <v>2.6704859828342242E-18</v>
      </c>
      <c r="W55" s="178">
        <v>5.7820305696329401E-19</v>
      </c>
      <c r="X55" s="179">
        <v>-7.0591672965420356E-3</v>
      </c>
    </row>
    <row r="56" spans="2:24" x14ac:dyDescent="0.5">
      <c r="B56" s="171" t="s">
        <v>383</v>
      </c>
      <c r="C56" s="178">
        <v>-2.3079087390308728E-18</v>
      </c>
      <c r="D56" s="178">
        <v>2.3058656186882463E-18</v>
      </c>
      <c r="E56" s="178">
        <v>-9.0909090909090912E-2</v>
      </c>
      <c r="F56" s="178">
        <v>-9.0909090909090939E-2</v>
      </c>
      <c r="G56" s="178">
        <v>-9.0909090909090884E-2</v>
      </c>
      <c r="H56" s="178">
        <v>-9.0909090909090912E-2</v>
      </c>
      <c r="I56" s="178">
        <v>-9.0909090909090939E-2</v>
      </c>
      <c r="J56" s="178">
        <v>-9.0909090909090953E-2</v>
      </c>
      <c r="K56" s="178">
        <v>-9.0909090909090939E-2</v>
      </c>
      <c r="L56" s="178">
        <v>-9.0909090909090939E-2</v>
      </c>
      <c r="M56" s="182">
        <v>1</v>
      </c>
      <c r="N56" s="178">
        <v>-9.0909090909090925E-2</v>
      </c>
      <c r="O56" s="178">
        <v>-9.0909090909090898E-2</v>
      </c>
      <c r="P56" s="178">
        <v>-9.0909090909090884E-2</v>
      </c>
      <c r="Q56" s="178">
        <v>0.30151134457776357</v>
      </c>
      <c r="R56" s="178">
        <v>-0.30151134457776357</v>
      </c>
      <c r="S56" s="178">
        <v>-6.7440848609671841E-18</v>
      </c>
      <c r="T56" s="178">
        <v>-6.4971226895522096E-18</v>
      </c>
      <c r="U56" s="178">
        <v>7.9010017549794303E-18</v>
      </c>
      <c r="V56" s="178">
        <v>3.7165635982589821E-18</v>
      </c>
      <c r="W56" s="178">
        <v>-2.56002978931098E-18</v>
      </c>
      <c r="X56" s="179">
        <v>-6.732487647183967E-2</v>
      </c>
    </row>
    <row r="57" spans="2:24" x14ac:dyDescent="0.5">
      <c r="B57" s="171" t="s">
        <v>384</v>
      </c>
      <c r="C57" s="178">
        <v>-8.0940255493490668E-18</v>
      </c>
      <c r="D57" s="178">
        <v>8.1152740009123814E-18</v>
      </c>
      <c r="E57" s="178">
        <v>-9.0909090909090898E-2</v>
      </c>
      <c r="F57" s="178">
        <v>-9.0909090909090912E-2</v>
      </c>
      <c r="G57" s="178">
        <v>-9.0909090909090884E-2</v>
      </c>
      <c r="H57" s="178">
        <v>-9.0909090909090912E-2</v>
      </c>
      <c r="I57" s="178">
        <v>-9.0909090909090925E-2</v>
      </c>
      <c r="J57" s="178">
        <v>-9.0909090909090939E-2</v>
      </c>
      <c r="K57" s="178">
        <v>-9.0909090909090925E-2</v>
      </c>
      <c r="L57" s="178">
        <v>-9.0909090909090912E-2</v>
      </c>
      <c r="M57" s="178">
        <v>-9.0909090909090925E-2</v>
      </c>
      <c r="N57" s="182">
        <v>1</v>
      </c>
      <c r="O57" s="178">
        <v>-9.0909090909090884E-2</v>
      </c>
      <c r="P57" s="178">
        <v>-9.0909090909090884E-2</v>
      </c>
      <c r="Q57" s="178">
        <v>0.30151134457776352</v>
      </c>
      <c r="R57" s="178">
        <v>-0.30151134457776352</v>
      </c>
      <c r="S57" s="178">
        <v>7.0079027752088284E-19</v>
      </c>
      <c r="T57" s="178">
        <v>-2.8154198321392905E-18</v>
      </c>
      <c r="U57" s="178">
        <v>6.9772559700694329E-18</v>
      </c>
      <c r="V57" s="178">
        <v>2.7939670685417123E-18</v>
      </c>
      <c r="W57" s="178">
        <v>7.0385495803482244E-19</v>
      </c>
      <c r="X57" s="179">
        <v>-2.5849341910454179E-2</v>
      </c>
    </row>
    <row r="58" spans="2:24" x14ac:dyDescent="0.5">
      <c r="B58" s="171" t="s">
        <v>385</v>
      </c>
      <c r="C58" s="178">
        <v>-4.4000639698803886E-18</v>
      </c>
      <c r="D58" s="178">
        <v>4.3980208495377613E-18</v>
      </c>
      <c r="E58" s="178">
        <v>-9.0909090909090953E-2</v>
      </c>
      <c r="F58" s="178">
        <v>-9.0909090909090981E-2</v>
      </c>
      <c r="G58" s="178">
        <v>-9.0909090909090939E-2</v>
      </c>
      <c r="H58" s="178">
        <v>-9.0909090909090939E-2</v>
      </c>
      <c r="I58" s="178">
        <v>-9.0909090909090953E-2</v>
      </c>
      <c r="J58" s="178">
        <v>-9.0909090909090953E-2</v>
      </c>
      <c r="K58" s="178">
        <v>-9.0909090909090953E-2</v>
      </c>
      <c r="L58" s="178">
        <v>-9.0909090909090939E-2</v>
      </c>
      <c r="M58" s="178">
        <v>-9.0909090909090898E-2</v>
      </c>
      <c r="N58" s="178">
        <v>-9.0909090909090884E-2</v>
      </c>
      <c r="O58" s="182">
        <v>1</v>
      </c>
      <c r="P58" s="178">
        <v>-9.0909090909090925E-2</v>
      </c>
      <c r="Q58" s="178">
        <v>-0.30151134457776363</v>
      </c>
      <c r="R58" s="178">
        <v>0.30151134457776363</v>
      </c>
      <c r="S58" s="178">
        <v>-4.1288908224052884E-18</v>
      </c>
      <c r="T58" s="178">
        <v>-2.2065699700365992E-19</v>
      </c>
      <c r="U58" s="178">
        <v>-6.221046053254805E-18</v>
      </c>
      <c r="V58" s="178">
        <v>5.5291944272329133E-20</v>
      </c>
      <c r="W58" s="178">
        <v>2.1473194801004308E-18</v>
      </c>
      <c r="X58" s="179">
        <v>3.127398411736277E-2</v>
      </c>
    </row>
    <row r="59" spans="2:24" x14ac:dyDescent="0.5">
      <c r="B59" s="171" t="s">
        <v>386</v>
      </c>
      <c r="C59" s="178">
        <v>-7.7477166512738758E-18</v>
      </c>
      <c r="D59" s="178">
        <v>7.7456735309312501E-18</v>
      </c>
      <c r="E59" s="178">
        <v>-9.0909090909090939E-2</v>
      </c>
      <c r="F59" s="178">
        <v>-9.0909090909090953E-2</v>
      </c>
      <c r="G59" s="178">
        <v>-9.0909090909090953E-2</v>
      </c>
      <c r="H59" s="178">
        <v>-9.0909090909090953E-2</v>
      </c>
      <c r="I59" s="178">
        <v>-9.0909090909090912E-2</v>
      </c>
      <c r="J59" s="178">
        <v>-9.0909090909090912E-2</v>
      </c>
      <c r="K59" s="178">
        <v>-9.0909090909090912E-2</v>
      </c>
      <c r="L59" s="178">
        <v>-9.0909090909090925E-2</v>
      </c>
      <c r="M59" s="178">
        <v>-9.0909090909090884E-2</v>
      </c>
      <c r="N59" s="178">
        <v>-9.0909090909090884E-2</v>
      </c>
      <c r="O59" s="178">
        <v>-9.0909090909090925E-2</v>
      </c>
      <c r="P59" s="182">
        <v>1</v>
      </c>
      <c r="Q59" s="178">
        <v>-0.30151134457776363</v>
      </c>
      <c r="R59" s="178">
        <v>0.30151134457776363</v>
      </c>
      <c r="S59" s="178">
        <v>-6.2209183582333899E-18</v>
      </c>
      <c r="T59" s="178">
        <v>-2.2116777708931653E-19</v>
      </c>
      <c r="U59" s="178">
        <v>2.1477025651646733E-18</v>
      </c>
      <c r="V59" s="178">
        <v>5.5419639293743287E-20</v>
      </c>
      <c r="W59" s="178">
        <v>-2.0368632865771869E-18</v>
      </c>
      <c r="X59" s="179">
        <v>-3.1084280980081255E-2</v>
      </c>
    </row>
    <row r="60" spans="2:24" x14ac:dyDescent="0.5">
      <c r="B60" s="171" t="s">
        <v>387</v>
      </c>
      <c r="C60" s="178">
        <v>-1.085196024476949E-17</v>
      </c>
      <c r="D60" s="178">
        <v>1.0858284757442323E-17</v>
      </c>
      <c r="E60" s="178">
        <v>-0.30151134457776368</v>
      </c>
      <c r="F60" s="178">
        <v>-0.3015113445777638</v>
      </c>
      <c r="G60" s="178">
        <v>-0.30151134457776357</v>
      </c>
      <c r="H60" s="178">
        <v>-0.30151134457776368</v>
      </c>
      <c r="I60" s="178">
        <v>0.30151134457776335</v>
      </c>
      <c r="J60" s="178">
        <v>0.30151134457776346</v>
      </c>
      <c r="K60" s="178">
        <v>0.30151134457776346</v>
      </c>
      <c r="L60" s="178">
        <v>0.30151134457776346</v>
      </c>
      <c r="M60" s="178">
        <v>0.30151134457776357</v>
      </c>
      <c r="N60" s="178">
        <v>0.30151134457776352</v>
      </c>
      <c r="O60" s="178">
        <v>-0.30151134457776363</v>
      </c>
      <c r="P60" s="178">
        <v>-0.30151134457776363</v>
      </c>
      <c r="Q60" s="182">
        <v>1</v>
      </c>
      <c r="R60" s="178">
        <v>-1</v>
      </c>
      <c r="S60" s="178">
        <v>-8.566891228529989E-18</v>
      </c>
      <c r="T60" s="178">
        <v>-2.7432573718409265E-18</v>
      </c>
      <c r="U60" s="178">
        <v>2.8440542925641883E-17</v>
      </c>
      <c r="V60" s="178">
        <v>5.311178923600212E-18</v>
      </c>
      <c r="W60" s="178">
        <v>-1.7817902734125702E-17</v>
      </c>
      <c r="X60" s="179">
        <v>-7.7089083713548102E-3</v>
      </c>
    </row>
    <row r="61" spans="2:24" x14ac:dyDescent="0.5">
      <c r="B61" s="171" t="s">
        <v>388</v>
      </c>
      <c r="C61" s="178">
        <v>1.085196024476949E-17</v>
      </c>
      <c r="D61" s="178">
        <v>-1.0858284757442323E-17</v>
      </c>
      <c r="E61" s="178">
        <v>0.30151134457776368</v>
      </c>
      <c r="F61" s="178">
        <v>0.3015113445777638</v>
      </c>
      <c r="G61" s="178">
        <v>0.30151134457776357</v>
      </c>
      <c r="H61" s="178">
        <v>0.30151134457776368</v>
      </c>
      <c r="I61" s="178">
        <v>-0.30151134457776335</v>
      </c>
      <c r="J61" s="178">
        <v>-0.30151134457776346</v>
      </c>
      <c r="K61" s="178">
        <v>-0.30151134457776346</v>
      </c>
      <c r="L61" s="178">
        <v>-0.30151134457776346</v>
      </c>
      <c r="M61" s="178">
        <v>-0.30151134457776357</v>
      </c>
      <c r="N61" s="178">
        <v>-0.30151134457776352</v>
      </c>
      <c r="O61" s="178">
        <v>0.30151134457776363</v>
      </c>
      <c r="P61" s="178">
        <v>0.30151134457776363</v>
      </c>
      <c r="Q61" s="178">
        <v>-1</v>
      </c>
      <c r="R61" s="182">
        <v>1</v>
      </c>
      <c r="S61" s="178">
        <v>8.566891228529989E-18</v>
      </c>
      <c r="T61" s="178">
        <v>2.7432573718409265E-18</v>
      </c>
      <c r="U61" s="178">
        <v>-2.8440542925641883E-17</v>
      </c>
      <c r="V61" s="178">
        <v>-5.311178923600212E-18</v>
      </c>
      <c r="W61" s="178">
        <v>1.7817902734125702E-17</v>
      </c>
      <c r="X61" s="179">
        <v>7.7089083713548102E-3</v>
      </c>
    </row>
    <row r="62" spans="2:24" x14ac:dyDescent="0.5">
      <c r="B62" s="171" t="s">
        <v>389</v>
      </c>
      <c r="C62" s="178">
        <v>-8.5685852944245038E-18</v>
      </c>
      <c r="D62" s="178">
        <v>8.5657618512669889E-18</v>
      </c>
      <c r="E62" s="178">
        <v>-3.0831962920447734E-18</v>
      </c>
      <c r="F62" s="178">
        <v>-3.0830685970233595E-18</v>
      </c>
      <c r="G62" s="178">
        <v>-1.2497511745803352E-17</v>
      </c>
      <c r="H62" s="178">
        <v>-8.3130735890829073E-18</v>
      </c>
      <c r="I62" s="178">
        <v>-3.0831962920447734E-18</v>
      </c>
      <c r="J62" s="178">
        <v>-5.1752238278728753E-18</v>
      </c>
      <c r="K62" s="178">
        <v>-2.56002978931098E-18</v>
      </c>
      <c r="L62" s="178">
        <v>-1.5136967838433937E-18</v>
      </c>
      <c r="M62" s="178">
        <v>-6.7440848609671841E-18</v>
      </c>
      <c r="N62" s="178">
        <v>7.0079027752088284E-19</v>
      </c>
      <c r="O62" s="178">
        <v>-4.1288908224052884E-18</v>
      </c>
      <c r="P62" s="178">
        <v>-6.2209183582333899E-18</v>
      </c>
      <c r="Q62" s="178">
        <v>-8.566891228529989E-18</v>
      </c>
      <c r="R62" s="178">
        <v>8.566891228529989E-18</v>
      </c>
      <c r="S62" s="182">
        <v>1</v>
      </c>
      <c r="T62" s="178">
        <v>-0.25</v>
      </c>
      <c r="U62" s="178">
        <v>-0.25000000000000011</v>
      </c>
      <c r="V62" s="178">
        <v>-0.25000000000000011</v>
      </c>
      <c r="W62" s="178">
        <v>-0.24999999999999983</v>
      </c>
      <c r="X62" s="179">
        <v>9.8611048251832409E-2</v>
      </c>
    </row>
    <row r="63" spans="2:24" x14ac:dyDescent="0.5">
      <c r="B63" s="171" t="s">
        <v>392</v>
      </c>
      <c r="C63" s="178">
        <v>-2.7364811082628936E-18</v>
      </c>
      <c r="D63" s="178">
        <v>2.7477748808929507E-18</v>
      </c>
      <c r="E63" s="178">
        <v>-4.403435118445723E-18</v>
      </c>
      <c r="F63" s="178">
        <v>-2.1963543683234673E-19</v>
      </c>
      <c r="G63" s="178">
        <v>-2.2065699700365992E-19</v>
      </c>
      <c r="H63" s="178">
        <v>-2.2116777708931658E-19</v>
      </c>
      <c r="I63" s="178">
        <v>-2.1912465674669011E-19</v>
      </c>
      <c r="J63" s="178">
        <v>-4.4039458985313794E-18</v>
      </c>
      <c r="K63" s="178">
        <v>1.8725197940171699E-18</v>
      </c>
      <c r="L63" s="178">
        <v>-1.0681433151251244E-17</v>
      </c>
      <c r="M63" s="178">
        <v>-6.4971226895522096E-18</v>
      </c>
      <c r="N63" s="178">
        <v>-2.8154198321392905E-18</v>
      </c>
      <c r="O63" s="178">
        <v>-2.2065699700365992E-19</v>
      </c>
      <c r="P63" s="178">
        <v>-2.2116777708931653E-19</v>
      </c>
      <c r="Q63" s="178">
        <v>-2.7432573718409265E-18</v>
      </c>
      <c r="R63" s="178">
        <v>2.7432573718409265E-18</v>
      </c>
      <c r="S63" s="178">
        <v>-0.25</v>
      </c>
      <c r="T63" s="182">
        <v>1</v>
      </c>
      <c r="U63" s="178">
        <v>-0.25000000000000011</v>
      </c>
      <c r="V63" s="178">
        <v>-0.25000000000000011</v>
      </c>
      <c r="W63" s="178">
        <v>-0.24999999999999994</v>
      </c>
      <c r="X63" s="179">
        <v>-1.912833054748413E-2</v>
      </c>
    </row>
    <row r="64" spans="2:24" x14ac:dyDescent="0.5">
      <c r="B64" s="171" t="s">
        <v>390</v>
      </c>
      <c r="C64" s="178">
        <v>2.8438848859747387E-17</v>
      </c>
      <c r="D64" s="178">
        <v>-2.8441672302904903E-17</v>
      </c>
      <c r="E64" s="178">
        <v>-5.1753515228942904E-18</v>
      </c>
      <c r="F64" s="178">
        <v>-2.036990981598602E-18</v>
      </c>
      <c r="G64" s="178">
        <v>1.0516195793541322E-17</v>
      </c>
      <c r="H64" s="178">
        <v>8.4241682577132238E-18</v>
      </c>
      <c r="I64" s="178">
        <v>2.1471917850790172E-18</v>
      </c>
      <c r="J64" s="178">
        <v>-5.1752238278728769E-18</v>
      </c>
      <c r="K64" s="178">
        <v>1.6242806723880524E-18</v>
      </c>
      <c r="L64" s="178">
        <v>6.8549241395546728E-18</v>
      </c>
      <c r="M64" s="178">
        <v>7.9010017549794303E-18</v>
      </c>
      <c r="N64" s="178">
        <v>6.9772559700694329E-18</v>
      </c>
      <c r="O64" s="178">
        <v>-6.221046053254805E-18</v>
      </c>
      <c r="P64" s="178">
        <v>2.1477025651646733E-18</v>
      </c>
      <c r="Q64" s="178">
        <v>2.8440542925641883E-17</v>
      </c>
      <c r="R64" s="178">
        <v>-2.8440542925641883E-17</v>
      </c>
      <c r="S64" s="178">
        <v>-0.25000000000000011</v>
      </c>
      <c r="T64" s="178">
        <v>-0.25000000000000011</v>
      </c>
      <c r="U64" s="182">
        <v>1</v>
      </c>
      <c r="V64" s="178">
        <v>-0.25000000000000028</v>
      </c>
      <c r="W64" s="178">
        <v>-0.25000000000000006</v>
      </c>
      <c r="X64" s="179">
        <v>-0.12261828870967412</v>
      </c>
    </row>
    <row r="65" spans="2:24" x14ac:dyDescent="0.5">
      <c r="B65" s="171" t="s">
        <v>391</v>
      </c>
      <c r="C65" s="178">
        <v>4.6942848281149091E-17</v>
      </c>
      <c r="D65" s="178">
        <v>-4.6945671724306601E-17</v>
      </c>
      <c r="E65" s="178">
        <v>2.1470640900576029E-18</v>
      </c>
      <c r="F65" s="178">
        <v>1.1012418646756733E-18</v>
      </c>
      <c r="G65" s="178">
        <v>-8.3133289791257343E-18</v>
      </c>
      <c r="H65" s="178">
        <v>5.5419639293743287E-20</v>
      </c>
      <c r="I65" s="178">
        <v>1.1011141696542591E-18</v>
      </c>
      <c r="J65" s="178">
        <v>1.1012418646756733E-18</v>
      </c>
      <c r="K65" s="178">
        <v>1.6242806723880524E-18</v>
      </c>
      <c r="L65" s="178">
        <v>2.6704859828342242E-18</v>
      </c>
      <c r="M65" s="178">
        <v>3.7165635982589821E-18</v>
      </c>
      <c r="N65" s="178">
        <v>2.7939670685417123E-18</v>
      </c>
      <c r="O65" s="178">
        <v>5.5291944272329133E-20</v>
      </c>
      <c r="P65" s="178">
        <v>5.5419639293743287E-20</v>
      </c>
      <c r="Q65" s="178">
        <v>5.311178923600212E-18</v>
      </c>
      <c r="R65" s="178">
        <v>-5.311178923600212E-18</v>
      </c>
      <c r="S65" s="178">
        <v>-0.25000000000000011</v>
      </c>
      <c r="T65" s="178">
        <v>-0.25000000000000011</v>
      </c>
      <c r="U65" s="178">
        <v>-0.25000000000000028</v>
      </c>
      <c r="V65" s="182">
        <v>1</v>
      </c>
      <c r="W65" s="178">
        <v>-0.25</v>
      </c>
      <c r="X65" s="179">
        <v>-4.3821862643282146E-2</v>
      </c>
    </row>
    <row r="66" spans="2:24" x14ac:dyDescent="0.5">
      <c r="B66" s="171" t="s">
        <v>437</v>
      </c>
      <c r="C66" s="178">
        <v>-8.5677382614772495E-18</v>
      </c>
      <c r="D66" s="178">
        <v>8.5649148183197346E-18</v>
      </c>
      <c r="E66" s="178">
        <v>-3.0834516820876016E-18</v>
      </c>
      <c r="F66" s="178">
        <v>-9.9116875621667172E-19</v>
      </c>
      <c r="G66" s="178">
        <v>-1.2497767135846181E-17</v>
      </c>
      <c r="H66" s="178">
        <v>-4.1290185174267027E-18</v>
      </c>
      <c r="I66" s="178">
        <v>-9.9129645123808564E-19</v>
      </c>
      <c r="J66" s="178">
        <v>1.1009864746328448E-18</v>
      </c>
      <c r="K66" s="178">
        <v>1.6240252823452242E-18</v>
      </c>
      <c r="L66" s="178">
        <v>5.7820305696329401E-19</v>
      </c>
      <c r="M66" s="178">
        <v>-2.56002978931098E-18</v>
      </c>
      <c r="N66" s="178">
        <v>7.0385495803482244E-19</v>
      </c>
      <c r="O66" s="178">
        <v>2.1473194801004308E-18</v>
      </c>
      <c r="P66" s="178">
        <v>-2.0368632865771869E-18</v>
      </c>
      <c r="Q66" s="178">
        <v>-1.7817902734125702E-17</v>
      </c>
      <c r="R66" s="178">
        <v>1.7817902734125702E-17</v>
      </c>
      <c r="S66" s="178">
        <v>-0.24999999999999983</v>
      </c>
      <c r="T66" s="178">
        <v>-0.24999999999999994</v>
      </c>
      <c r="U66" s="178">
        <v>-0.25000000000000006</v>
      </c>
      <c r="V66" s="178">
        <v>-0.25</v>
      </c>
      <c r="W66" s="182">
        <v>1</v>
      </c>
      <c r="X66" s="179">
        <v>8.6957433648607974E-2</v>
      </c>
    </row>
    <row r="67" spans="2:24" ht="14.7" thickBot="1" x14ac:dyDescent="0.55000000000000004">
      <c r="B67" s="175" t="s">
        <v>365</v>
      </c>
      <c r="C67" s="180">
        <v>-2.7727389142115259E-2</v>
      </c>
      <c r="D67" s="180">
        <v>2.7727389142115259E-2</v>
      </c>
      <c r="E67" s="180">
        <v>3.1339644361721028E-2</v>
      </c>
      <c r="F67" s="180">
        <v>8.8956921830700572E-2</v>
      </c>
      <c r="G67" s="180">
        <v>-0.13023997267284773</v>
      </c>
      <c r="H67" s="180">
        <v>2.3699643312788312E-2</v>
      </c>
      <c r="I67" s="180">
        <v>1.1798490026253022E-2</v>
      </c>
      <c r="J67" s="180">
        <v>0.17434637496622502</v>
      </c>
      <c r="K67" s="180">
        <v>-9.9857419283285842E-2</v>
      </c>
      <c r="L67" s="180">
        <v>-7.0591672965420356E-3</v>
      </c>
      <c r="M67" s="180">
        <v>-6.732487647183967E-2</v>
      </c>
      <c r="N67" s="180">
        <v>-2.5849341910454179E-2</v>
      </c>
      <c r="O67" s="180">
        <v>3.127398411736277E-2</v>
      </c>
      <c r="P67" s="180">
        <v>-3.1084280980081255E-2</v>
      </c>
      <c r="Q67" s="180">
        <v>-7.7089083713548102E-3</v>
      </c>
      <c r="R67" s="180">
        <v>7.7089083713548102E-3</v>
      </c>
      <c r="S67" s="180">
        <v>9.8611048251832409E-2</v>
      </c>
      <c r="T67" s="180">
        <v>-1.912833054748413E-2</v>
      </c>
      <c r="U67" s="180">
        <v>-0.12261828870967412</v>
      </c>
      <c r="V67" s="180">
        <v>-4.3821862643282146E-2</v>
      </c>
      <c r="W67" s="180">
        <v>8.6957433648607974E-2</v>
      </c>
      <c r="X67" s="183">
        <v>1</v>
      </c>
    </row>
    <row r="70" spans="2:24" x14ac:dyDescent="0.5">
      <c r="B70" s="89" t="s">
        <v>1554</v>
      </c>
    </row>
    <row r="72" spans="2:24" x14ac:dyDescent="0.5">
      <c r="B72" t="s">
        <v>252</v>
      </c>
    </row>
    <row r="73" spans="2:24" ht="14.7" thickBot="1" x14ac:dyDescent="0.55000000000000004"/>
    <row r="74" spans="2:24" x14ac:dyDescent="0.5">
      <c r="B74" s="184" t="s">
        <v>221</v>
      </c>
      <c r="C74" s="185">
        <v>120</v>
      </c>
    </row>
    <row r="75" spans="2:24" x14ac:dyDescent="0.5">
      <c r="B75" s="160" t="s">
        <v>253</v>
      </c>
      <c r="C75" s="186">
        <v>120</v>
      </c>
    </row>
    <row r="76" spans="2:24" x14ac:dyDescent="0.5">
      <c r="B76" s="160" t="s">
        <v>254</v>
      </c>
      <c r="C76" s="169">
        <v>333.62816940253816</v>
      </c>
    </row>
    <row r="77" spans="2:24" x14ac:dyDescent="0.5">
      <c r="B77" s="160" t="s">
        <v>255</v>
      </c>
      <c r="C77" s="169">
        <v>337.62816940253816</v>
      </c>
    </row>
    <row r="78" spans="2:24" x14ac:dyDescent="0.5">
      <c r="B78" s="160" t="s">
        <v>256</v>
      </c>
      <c r="C78" s="169">
        <v>337.73073350510225</v>
      </c>
    </row>
    <row r="79" spans="2:24" x14ac:dyDescent="0.5">
      <c r="B79" s="160" t="s">
        <v>257</v>
      </c>
      <c r="C79" s="169">
        <v>343.20315288810224</v>
      </c>
    </row>
    <row r="80" spans="2:24" x14ac:dyDescent="0.5">
      <c r="B80" s="160" t="s">
        <v>258</v>
      </c>
      <c r="C80" s="169">
        <v>345.20315288810224</v>
      </c>
    </row>
    <row r="81" spans="2:6" x14ac:dyDescent="0.5">
      <c r="B81" s="160" t="s">
        <v>259</v>
      </c>
      <c r="C81" s="186">
        <v>7</v>
      </c>
    </row>
    <row r="82" spans="2:6" x14ac:dyDescent="0.5">
      <c r="B82" s="160" t="s">
        <v>260</v>
      </c>
      <c r="C82" s="186">
        <v>2</v>
      </c>
    </row>
    <row r="83" spans="2:6" x14ac:dyDescent="0.5">
      <c r="B83" s="160" t="s">
        <v>261</v>
      </c>
      <c r="C83" s="186">
        <v>1</v>
      </c>
    </row>
    <row r="84" spans="2:6" x14ac:dyDescent="0.5">
      <c r="B84" s="160" t="s">
        <v>262</v>
      </c>
      <c r="C84" s="186">
        <v>0</v>
      </c>
    </row>
    <row r="85" spans="2:6" x14ac:dyDescent="0.5">
      <c r="B85" s="160" t="s">
        <v>263</v>
      </c>
      <c r="C85" s="186">
        <v>12</v>
      </c>
    </row>
    <row r="86" spans="2:6" ht="14.7" thickBot="1" x14ac:dyDescent="0.55000000000000004">
      <c r="B86" s="167" t="s">
        <v>264</v>
      </c>
      <c r="C86" s="187">
        <v>10</v>
      </c>
    </row>
    <row r="89" spans="2:6" x14ac:dyDescent="0.5">
      <c r="B89" t="s">
        <v>265</v>
      </c>
    </row>
    <row r="90" spans="2:6" ht="14.7" thickBot="1" x14ac:dyDescent="0.55000000000000004"/>
    <row r="91" spans="2:6" x14ac:dyDescent="0.5">
      <c r="B91" s="161"/>
      <c r="C91" s="162" t="s">
        <v>266</v>
      </c>
      <c r="D91" s="162" t="s">
        <v>267</v>
      </c>
      <c r="E91" s="162" t="s">
        <v>268</v>
      </c>
      <c r="F91" s="162" t="s">
        <v>269</v>
      </c>
    </row>
    <row r="92" spans="2:6" x14ac:dyDescent="0.5">
      <c r="B92" s="163" t="s">
        <v>270</v>
      </c>
      <c r="C92" s="168">
        <v>1.037344923998031</v>
      </c>
      <c r="D92" s="168">
        <v>0.15463817743309224</v>
      </c>
      <c r="E92" s="168">
        <v>6.7082071272267942</v>
      </c>
      <c r="F92" s="188" t="s">
        <v>272</v>
      </c>
    </row>
    <row r="93" spans="2:6" ht="14.7" thickBot="1" x14ac:dyDescent="0.55000000000000004">
      <c r="B93" s="167" t="s">
        <v>271</v>
      </c>
      <c r="C93" s="170">
        <v>0.18796294848523457</v>
      </c>
      <c r="D93" s="170">
        <v>0.13136378215504987</v>
      </c>
      <c r="E93" s="170">
        <v>1.4308582274479595</v>
      </c>
      <c r="F93" s="170">
        <v>0.15247085110294145</v>
      </c>
    </row>
    <row r="96" spans="2:6" x14ac:dyDescent="0.5">
      <c r="B96" t="s">
        <v>273</v>
      </c>
    </row>
    <row r="97" spans="2:8" ht="14.7" thickBot="1" x14ac:dyDescent="0.55000000000000004"/>
    <row r="98" spans="2:8" x14ac:dyDescent="0.5">
      <c r="B98" s="162" t="s">
        <v>274</v>
      </c>
      <c r="C98" s="162" t="s">
        <v>275</v>
      </c>
      <c r="D98" s="162" t="s">
        <v>276</v>
      </c>
    </row>
    <row r="99" spans="2:8" ht="14.7" thickBot="1" x14ac:dyDescent="0.55000000000000004">
      <c r="B99" s="165">
        <v>1</v>
      </c>
      <c r="C99" s="166">
        <v>6.3139403128603249</v>
      </c>
      <c r="D99" s="166">
        <v>1.197923184517188E-2</v>
      </c>
    </row>
    <row r="102" spans="2:8" x14ac:dyDescent="0.5">
      <c r="B102" t="s">
        <v>277</v>
      </c>
    </row>
    <row r="103" spans="2:8" ht="14.7" thickBot="1" x14ac:dyDescent="0.55000000000000004"/>
    <row r="104" spans="2:8" x14ac:dyDescent="0.5">
      <c r="B104" s="161" t="s">
        <v>278</v>
      </c>
      <c r="C104" s="162" t="s">
        <v>279</v>
      </c>
      <c r="D104" s="162" t="s">
        <v>280</v>
      </c>
      <c r="E104" s="162" t="s">
        <v>62</v>
      </c>
      <c r="F104" s="162" t="s">
        <v>281</v>
      </c>
    </row>
    <row r="105" spans="2:8" ht="14.7" thickBot="1" x14ac:dyDescent="0.55000000000000004">
      <c r="B105" s="164" t="s">
        <v>477</v>
      </c>
      <c r="C105" s="165">
        <v>19</v>
      </c>
      <c r="D105" s="165">
        <v>100</v>
      </c>
      <c r="E105" s="166">
        <v>10.92551688723124</v>
      </c>
      <c r="F105" s="189" t="s">
        <v>272</v>
      </c>
    </row>
    <row r="108" spans="2:8" x14ac:dyDescent="0.5">
      <c r="B108" t="s">
        <v>283</v>
      </c>
    </row>
    <row r="109" spans="2:8" ht="14.7" thickBot="1" x14ac:dyDescent="0.55000000000000004"/>
    <row r="110" spans="2:8" x14ac:dyDescent="0.5">
      <c r="B110" s="161" t="s">
        <v>284</v>
      </c>
      <c r="C110" s="162" t="s">
        <v>285</v>
      </c>
      <c r="D110" s="162" t="s">
        <v>267</v>
      </c>
      <c r="E110" s="162" t="s">
        <v>286</v>
      </c>
      <c r="F110" s="162" t="s">
        <v>287</v>
      </c>
      <c r="G110" s="162" t="s">
        <v>288</v>
      </c>
      <c r="H110" s="162" t="s">
        <v>289</v>
      </c>
    </row>
    <row r="111" spans="2:8" x14ac:dyDescent="0.5">
      <c r="B111" s="163" t="s">
        <v>290</v>
      </c>
      <c r="C111" s="168">
        <v>2.9750899409303798E-15</v>
      </c>
      <c r="D111" s="168">
        <v>0.4519048337285303</v>
      </c>
      <c r="E111" s="168">
        <v>6.5834435015527746E-15</v>
      </c>
      <c r="F111" s="168">
        <v>1</v>
      </c>
      <c r="G111" s="168">
        <v>-0.89474012050283014</v>
      </c>
      <c r="H111" s="168">
        <v>0.89474012050283613</v>
      </c>
    </row>
    <row r="112" spans="2:8" x14ac:dyDescent="0.5">
      <c r="B112" s="160" t="s">
        <v>478</v>
      </c>
      <c r="C112" s="169">
        <v>0</v>
      </c>
      <c r="D112" s="169"/>
      <c r="E112" s="169"/>
      <c r="F112" s="169"/>
      <c r="G112" s="169"/>
      <c r="H112" s="169"/>
    </row>
    <row r="113" spans="2:8" x14ac:dyDescent="0.5">
      <c r="B113" s="160" t="s">
        <v>479</v>
      </c>
      <c r="C113" s="169">
        <v>2.5217734326770365</v>
      </c>
      <c r="D113" s="169">
        <v>0.58803200706481684</v>
      </c>
      <c r="E113" s="169">
        <v>4.2884968885699948</v>
      </c>
      <c r="F113" s="190" t="s">
        <v>272</v>
      </c>
      <c r="G113" s="169">
        <v>1.3575109827277645</v>
      </c>
      <c r="H113" s="169">
        <v>3.6860358826263084</v>
      </c>
    </row>
    <row r="114" spans="2:8" x14ac:dyDescent="0.5">
      <c r="B114" s="160" t="s">
        <v>480</v>
      </c>
      <c r="C114" s="169">
        <v>1.1892708495385926</v>
      </c>
      <c r="D114" s="169">
        <v>0.58803200706481673</v>
      </c>
      <c r="E114" s="169">
        <v>2.0224593818878698</v>
      </c>
      <c r="F114" s="169">
        <v>4.5352113354180053E-2</v>
      </c>
      <c r="G114" s="169">
        <v>2.5008399589320884E-2</v>
      </c>
      <c r="H114" s="169">
        <v>2.3535332994878644</v>
      </c>
    </row>
    <row r="115" spans="2:8" x14ac:dyDescent="0.5">
      <c r="B115" s="160" t="s">
        <v>481</v>
      </c>
      <c r="C115" s="169">
        <v>1.4436232233816679</v>
      </c>
      <c r="D115" s="169">
        <v>0.58803200706481662</v>
      </c>
      <c r="E115" s="169">
        <v>2.4550079009943122</v>
      </c>
      <c r="F115" s="169">
        <v>1.5521910886370746E-2</v>
      </c>
      <c r="G115" s="169">
        <v>0.2793607734323964</v>
      </c>
      <c r="H115" s="169">
        <v>2.6078856733309395</v>
      </c>
    </row>
    <row r="116" spans="2:8" x14ac:dyDescent="0.5">
      <c r="B116" s="160" t="s">
        <v>482</v>
      </c>
      <c r="C116" s="169">
        <v>4.0120897188086913</v>
      </c>
      <c r="D116" s="169">
        <v>0.58803200706481673</v>
      </c>
      <c r="E116" s="169">
        <v>6.8229104378776659</v>
      </c>
      <c r="F116" s="190" t="s">
        <v>272</v>
      </c>
      <c r="G116" s="169">
        <v>2.8478272688594197</v>
      </c>
      <c r="H116" s="169">
        <v>5.1763521687579628</v>
      </c>
    </row>
    <row r="117" spans="2:8" x14ac:dyDescent="0.5">
      <c r="B117" s="160" t="s">
        <v>483</v>
      </c>
      <c r="C117" s="169">
        <v>-3.2351900421096523E-15</v>
      </c>
      <c r="D117" s="169">
        <v>0.63908994476084624</v>
      </c>
      <c r="E117" s="169">
        <v>-5.0621826687013394E-15</v>
      </c>
      <c r="F117" s="169">
        <v>1</v>
      </c>
      <c r="G117" s="169">
        <v>-1.2653536132144478</v>
      </c>
      <c r="H117" s="169">
        <v>1.2653536132144412</v>
      </c>
    </row>
    <row r="118" spans="2:8" x14ac:dyDescent="0.5">
      <c r="B118" s="160" t="s">
        <v>484</v>
      </c>
      <c r="C118" s="169">
        <v>1.7096145786756345</v>
      </c>
      <c r="D118" s="169">
        <v>0.63908994476084624</v>
      </c>
      <c r="E118" s="169">
        <v>2.6750766346596002</v>
      </c>
      <c r="F118" s="169">
        <v>8.5140550832695817E-3</v>
      </c>
      <c r="G118" s="169">
        <v>0.44426096546118998</v>
      </c>
      <c r="H118" s="169">
        <v>2.974968191890079</v>
      </c>
    </row>
    <row r="119" spans="2:8" x14ac:dyDescent="0.5">
      <c r="B119" s="160" t="s">
        <v>485</v>
      </c>
      <c r="C119" s="169">
        <v>0.6208923716727508</v>
      </c>
      <c r="D119" s="169">
        <v>0.63908994476084613</v>
      </c>
      <c r="E119" s="169">
        <v>0.97152580284312717</v>
      </c>
      <c r="F119" s="169">
        <v>0.33324072543671218</v>
      </c>
      <c r="G119" s="169">
        <v>-0.64446124154169349</v>
      </c>
      <c r="H119" s="169">
        <v>1.8862459848871951</v>
      </c>
    </row>
    <row r="120" spans="2:8" x14ac:dyDescent="0.5">
      <c r="B120" s="160" t="s">
        <v>486</v>
      </c>
      <c r="C120" s="169">
        <v>1.7732090932445423</v>
      </c>
      <c r="D120" s="169">
        <v>0.63908994476084613</v>
      </c>
      <c r="E120" s="169">
        <v>2.7745845600936421</v>
      </c>
      <c r="F120" s="169">
        <v>6.4123960744732955E-3</v>
      </c>
      <c r="G120" s="169">
        <v>0.50785548003009806</v>
      </c>
      <c r="H120" s="169">
        <v>3.0385627064589866</v>
      </c>
    </row>
    <row r="121" spans="2:8" x14ac:dyDescent="0.5">
      <c r="B121" s="160" t="s">
        <v>487</v>
      </c>
      <c r="C121" s="169">
        <v>3.882634531270444</v>
      </c>
      <c r="D121" s="169">
        <v>0.63908994476084624</v>
      </c>
      <c r="E121" s="169">
        <v>6.0752552330069349</v>
      </c>
      <c r="F121" s="190" t="s">
        <v>272</v>
      </c>
      <c r="G121" s="169">
        <v>2.6172809180559993</v>
      </c>
      <c r="H121" s="169">
        <v>5.1479881444848887</v>
      </c>
    </row>
    <row r="122" spans="2:8" x14ac:dyDescent="0.5">
      <c r="B122" s="160" t="s">
        <v>488</v>
      </c>
      <c r="C122" s="169">
        <v>-2.533156387700249E-15</v>
      </c>
      <c r="D122" s="169">
        <v>0.58803200706481673</v>
      </c>
      <c r="E122" s="169">
        <v>-4.3078546019026954E-15</v>
      </c>
      <c r="F122" s="169">
        <v>1</v>
      </c>
      <c r="G122" s="169">
        <v>-1.1642624499492742</v>
      </c>
      <c r="H122" s="169">
        <v>1.1642624499492693</v>
      </c>
    </row>
    <row r="123" spans="2:8" x14ac:dyDescent="0.5">
      <c r="B123" s="160" t="s">
        <v>489</v>
      </c>
      <c r="C123" s="169">
        <v>1.2106176692684478</v>
      </c>
      <c r="D123" s="169">
        <v>0.58803200706481673</v>
      </c>
      <c r="E123" s="169">
        <v>2.0587615210119092</v>
      </c>
      <c r="F123" s="169">
        <v>4.1681431914568218E-2</v>
      </c>
      <c r="G123" s="169">
        <v>4.6355219319176078E-2</v>
      </c>
      <c r="H123" s="169">
        <v>2.3748801192177194</v>
      </c>
    </row>
    <row r="124" spans="2:8" x14ac:dyDescent="0.5">
      <c r="B124" s="160" t="s">
        <v>490</v>
      </c>
      <c r="C124" s="169">
        <v>0.21987686895338349</v>
      </c>
      <c r="D124" s="169">
        <v>0.58803200706481673</v>
      </c>
      <c r="E124" s="169">
        <v>0.37391989944715243</v>
      </c>
      <c r="F124" s="169">
        <v>0.70912375397228788</v>
      </c>
      <c r="G124" s="169">
        <v>-0.94438558099588832</v>
      </c>
      <c r="H124" s="169">
        <v>1.3841393189026552</v>
      </c>
    </row>
    <row r="125" spans="2:8" x14ac:dyDescent="0.5">
      <c r="B125" s="160" t="s">
        <v>491</v>
      </c>
      <c r="C125" s="169">
        <v>8.4401659204806204E-2</v>
      </c>
      <c r="D125" s="169">
        <v>0.58803200706481673</v>
      </c>
      <c r="E125" s="169">
        <v>0.14353242372996017</v>
      </c>
      <c r="F125" s="169">
        <v>0.88611045669891586</v>
      </c>
      <c r="G125" s="169">
        <v>-1.0798607907444655</v>
      </c>
      <c r="H125" s="169">
        <v>1.248664109154078</v>
      </c>
    </row>
    <row r="126" spans="2:8" x14ac:dyDescent="0.5">
      <c r="B126" s="160" t="s">
        <v>492</v>
      </c>
      <c r="C126" s="169">
        <v>3.6905494047146821</v>
      </c>
      <c r="D126" s="169">
        <v>0.58803200706481673</v>
      </c>
      <c r="E126" s="169">
        <v>6.276102933811706</v>
      </c>
      <c r="F126" s="190" t="s">
        <v>272</v>
      </c>
      <c r="G126" s="169">
        <v>2.5262869547654105</v>
      </c>
      <c r="H126" s="169">
        <v>4.8548118546639536</v>
      </c>
    </row>
    <row r="127" spans="2:8" x14ac:dyDescent="0.5">
      <c r="B127" s="160" t="s">
        <v>493</v>
      </c>
      <c r="C127" s="169">
        <v>-2.9980750269870721E-15</v>
      </c>
      <c r="D127" s="169">
        <v>0.63908994476084613</v>
      </c>
      <c r="E127" s="169">
        <v>-4.6911628817896388E-15</v>
      </c>
      <c r="F127" s="169">
        <v>1</v>
      </c>
      <c r="G127" s="169">
        <v>-1.2653536132144474</v>
      </c>
      <c r="H127" s="169">
        <v>1.2653536132144412</v>
      </c>
    </row>
    <row r="128" spans="2:8" x14ac:dyDescent="0.5">
      <c r="B128" s="160" t="s">
        <v>494</v>
      </c>
      <c r="C128" s="169">
        <v>1.0663025170320264</v>
      </c>
      <c r="D128" s="169">
        <v>0.63908994476084613</v>
      </c>
      <c r="E128" s="169">
        <v>1.6684701829114954</v>
      </c>
      <c r="F128" s="169">
        <v>9.7829665731682336E-2</v>
      </c>
      <c r="G128" s="169">
        <v>-0.1990510961824179</v>
      </c>
      <c r="H128" s="169">
        <v>2.3316561302464707</v>
      </c>
    </row>
    <row r="129" spans="2:8" x14ac:dyDescent="0.5">
      <c r="B129" s="160" t="s">
        <v>495</v>
      </c>
      <c r="C129" s="169">
        <v>1.0216762761668408</v>
      </c>
      <c r="D129" s="169">
        <v>0.63908994476084624</v>
      </c>
      <c r="E129" s="169">
        <v>1.5986423891384522</v>
      </c>
      <c r="F129" s="169">
        <v>0.11252987981004112</v>
      </c>
      <c r="G129" s="169">
        <v>-0.24367733704760375</v>
      </c>
      <c r="H129" s="169">
        <v>2.2870298893812855</v>
      </c>
    </row>
    <row r="130" spans="2:8" x14ac:dyDescent="0.5">
      <c r="B130" s="160" t="s">
        <v>496</v>
      </c>
      <c r="C130" s="169">
        <v>1.1102584176340635</v>
      </c>
      <c r="D130" s="169">
        <v>0.63908994476084624</v>
      </c>
      <c r="E130" s="169">
        <v>1.7372490785307741</v>
      </c>
      <c r="F130" s="169">
        <v>8.4909004645574368E-2</v>
      </c>
      <c r="G130" s="169">
        <v>-0.15509519558038098</v>
      </c>
      <c r="H130" s="169">
        <v>2.375612030848508</v>
      </c>
    </row>
    <row r="131" spans="2:8" ht="14.7" thickBot="1" x14ac:dyDescent="0.55000000000000004">
      <c r="B131" s="167" t="s">
        <v>497</v>
      </c>
      <c r="C131" s="170">
        <v>3.4555617150765459</v>
      </c>
      <c r="D131" s="170">
        <v>0.63908994476084613</v>
      </c>
      <c r="E131" s="170">
        <v>5.4070037299204445</v>
      </c>
      <c r="F131" s="191" t="s">
        <v>272</v>
      </c>
      <c r="G131" s="170">
        <v>2.1902081018621016</v>
      </c>
      <c r="H131" s="170">
        <v>4.7209153282909906</v>
      </c>
    </row>
    <row r="134" spans="2:8" x14ac:dyDescent="0.5">
      <c r="B134" t="s">
        <v>498</v>
      </c>
    </row>
    <row r="135" spans="2:8" ht="14.7" thickBot="1" x14ac:dyDescent="0.55000000000000004"/>
    <row r="136" spans="2:8" x14ac:dyDescent="0.5">
      <c r="B136" s="161" t="s">
        <v>302</v>
      </c>
      <c r="C136" s="162" t="s">
        <v>303</v>
      </c>
      <c r="D136" s="162" t="s">
        <v>304</v>
      </c>
      <c r="E136" s="162" t="s">
        <v>286</v>
      </c>
      <c r="F136" s="162" t="s">
        <v>287</v>
      </c>
      <c r="G136" s="162" t="s">
        <v>305</v>
      </c>
    </row>
    <row r="137" spans="2:8" x14ac:dyDescent="0.5">
      <c r="B137" s="163" t="s">
        <v>710</v>
      </c>
      <c r="C137" s="188">
        <v>4.0120897188086948</v>
      </c>
      <c r="D137" s="188">
        <v>0.58803200706481684</v>
      </c>
      <c r="E137" s="188">
        <v>6.8229104378776704</v>
      </c>
      <c r="F137" s="188" t="s">
        <v>272</v>
      </c>
      <c r="G137" s="192" t="s">
        <v>351</v>
      </c>
    </row>
    <row r="138" spans="2:8" x14ac:dyDescent="0.5">
      <c r="B138" s="160" t="s">
        <v>707</v>
      </c>
      <c r="C138" s="190">
        <v>4.0120897188086939</v>
      </c>
      <c r="D138" s="190">
        <v>0.58803200706481684</v>
      </c>
      <c r="E138" s="190">
        <v>6.8229104378776686</v>
      </c>
      <c r="F138" s="190" t="s">
        <v>272</v>
      </c>
      <c r="G138" s="193" t="s">
        <v>351</v>
      </c>
    </row>
    <row r="139" spans="2:8" x14ac:dyDescent="0.5">
      <c r="B139" s="160" t="s">
        <v>706</v>
      </c>
      <c r="C139" s="190">
        <v>4.0120897188086939</v>
      </c>
      <c r="D139" s="190">
        <v>0.58803200706481684</v>
      </c>
      <c r="E139" s="190">
        <v>6.8229104378776686</v>
      </c>
      <c r="F139" s="190" t="s">
        <v>272</v>
      </c>
      <c r="G139" s="193" t="s">
        <v>351</v>
      </c>
    </row>
    <row r="140" spans="2:8" x14ac:dyDescent="0.5">
      <c r="B140" s="160" t="s">
        <v>709</v>
      </c>
      <c r="C140" s="190">
        <v>4.0120897188086913</v>
      </c>
      <c r="D140" s="190">
        <v>0.58803200706481684</v>
      </c>
      <c r="E140" s="190">
        <v>6.8229104378776642</v>
      </c>
      <c r="F140" s="190" t="s">
        <v>272</v>
      </c>
      <c r="G140" s="193" t="s">
        <v>351</v>
      </c>
    </row>
    <row r="141" spans="2:8" x14ac:dyDescent="0.5">
      <c r="B141" s="160" t="s">
        <v>711</v>
      </c>
      <c r="C141" s="190">
        <v>3.9276880596038852</v>
      </c>
      <c r="D141" s="190">
        <v>0.58803200706481684</v>
      </c>
      <c r="E141" s="190">
        <v>6.6793780141477042</v>
      </c>
      <c r="F141" s="190" t="s">
        <v>272</v>
      </c>
      <c r="G141" s="193" t="s">
        <v>351</v>
      </c>
    </row>
    <row r="142" spans="2:8" x14ac:dyDescent="0.5">
      <c r="B142" s="160" t="s">
        <v>708</v>
      </c>
      <c r="C142" s="190">
        <v>3.7922128498553076</v>
      </c>
      <c r="D142" s="190">
        <v>0.58803200706481684</v>
      </c>
      <c r="E142" s="190">
        <v>6.448990538430512</v>
      </c>
      <c r="F142" s="190" t="s">
        <v>272</v>
      </c>
      <c r="G142" s="193" t="s">
        <v>351</v>
      </c>
    </row>
    <row r="143" spans="2:8" x14ac:dyDescent="0.5">
      <c r="B143" s="160" t="s">
        <v>715</v>
      </c>
      <c r="C143" s="190">
        <v>3.3911973471359405</v>
      </c>
      <c r="D143" s="190">
        <v>0.58803200706481684</v>
      </c>
      <c r="E143" s="190">
        <v>5.7670285059196447</v>
      </c>
      <c r="F143" s="190" t="s">
        <v>272</v>
      </c>
      <c r="G143" s="193" t="s">
        <v>351</v>
      </c>
    </row>
    <row r="144" spans="2:8" x14ac:dyDescent="0.5">
      <c r="B144" s="160" t="s">
        <v>712</v>
      </c>
      <c r="C144" s="190">
        <v>2.9904134426418505</v>
      </c>
      <c r="D144" s="190">
        <v>0.58803200706481684</v>
      </c>
      <c r="E144" s="190">
        <v>5.0854603265026475</v>
      </c>
      <c r="F144" s="190" t="s">
        <v>272</v>
      </c>
      <c r="G144" s="193" t="s">
        <v>351</v>
      </c>
    </row>
    <row r="145" spans="2:7" x14ac:dyDescent="0.5">
      <c r="B145" s="160" t="s">
        <v>719</v>
      </c>
      <c r="C145" s="190">
        <v>2.9457872017766649</v>
      </c>
      <c r="D145" s="190">
        <v>0.58803200706481684</v>
      </c>
      <c r="E145" s="190">
        <v>5.0095694900702243</v>
      </c>
      <c r="F145" s="190" t="s">
        <v>272</v>
      </c>
      <c r="G145" s="193" t="s">
        <v>351</v>
      </c>
    </row>
    <row r="146" spans="2:7" x14ac:dyDescent="0.5">
      <c r="B146" s="160" t="s">
        <v>713</v>
      </c>
      <c r="C146" s="190">
        <v>2.901831301174628</v>
      </c>
      <c r="D146" s="190">
        <v>0.58803200706481684</v>
      </c>
      <c r="E146" s="190">
        <v>4.9348186260459261</v>
      </c>
      <c r="F146" s="190" t="s">
        <v>272</v>
      </c>
      <c r="G146" s="193" t="s">
        <v>351</v>
      </c>
    </row>
    <row r="147" spans="2:7" x14ac:dyDescent="0.5">
      <c r="B147" s="160" t="s">
        <v>714</v>
      </c>
      <c r="C147" s="190">
        <v>2.8228188692700984</v>
      </c>
      <c r="D147" s="190">
        <v>0.58803200706481684</v>
      </c>
      <c r="E147" s="190">
        <v>4.8004510559897948</v>
      </c>
      <c r="F147" s="190" t="s">
        <v>272</v>
      </c>
      <c r="G147" s="193" t="s">
        <v>351</v>
      </c>
    </row>
    <row r="148" spans="2:7" x14ac:dyDescent="0.5">
      <c r="B148" s="160" t="s">
        <v>716</v>
      </c>
      <c r="C148" s="190">
        <v>2.8014720495402434</v>
      </c>
      <c r="D148" s="190">
        <v>0.58803200706481684</v>
      </c>
      <c r="E148" s="190">
        <v>4.7641489168657554</v>
      </c>
      <c r="F148" s="190" t="s">
        <v>272</v>
      </c>
      <c r="G148" s="193" t="s">
        <v>351</v>
      </c>
    </row>
    <row r="149" spans="2:7" x14ac:dyDescent="0.5">
      <c r="B149" s="160" t="s">
        <v>718</v>
      </c>
      <c r="C149" s="190">
        <v>2.5684664954270233</v>
      </c>
      <c r="D149" s="190">
        <v>0.58803200706481684</v>
      </c>
      <c r="E149" s="190">
        <v>4.3679025368833528</v>
      </c>
      <c r="F149" s="190" t="s">
        <v>272</v>
      </c>
      <c r="G149" s="193" t="s">
        <v>351</v>
      </c>
    </row>
    <row r="150" spans="2:7" x14ac:dyDescent="0.5">
      <c r="B150" s="160" t="s">
        <v>720</v>
      </c>
      <c r="C150" s="190">
        <v>2.3024751401330565</v>
      </c>
      <c r="D150" s="190">
        <v>0.58803200706481684</v>
      </c>
      <c r="E150" s="190">
        <v>3.9155609090497387</v>
      </c>
      <c r="F150" s="190">
        <v>1.6490878394912612E-4</v>
      </c>
      <c r="G150" s="193" t="s">
        <v>351</v>
      </c>
    </row>
    <row r="151" spans="2:7" x14ac:dyDescent="0.5">
      <c r="B151" s="160" t="s">
        <v>717</v>
      </c>
      <c r="C151" s="190">
        <v>2.2388806255641489</v>
      </c>
      <c r="D151" s="190">
        <v>0.58803200706481684</v>
      </c>
      <c r="E151" s="190">
        <v>3.8074128596155896</v>
      </c>
      <c r="F151" s="190">
        <v>2.4233596821606691E-4</v>
      </c>
      <c r="G151" s="193" t="s">
        <v>351</v>
      </c>
    </row>
    <row r="152" spans="2:7" x14ac:dyDescent="0.5">
      <c r="B152" s="160" t="s">
        <v>721</v>
      </c>
      <c r="C152" s="190">
        <v>1.4903162861316548</v>
      </c>
      <c r="D152" s="190">
        <v>0.58803200706481684</v>
      </c>
      <c r="E152" s="190">
        <v>2.5344135493076689</v>
      </c>
      <c r="F152" s="190">
        <v>1.281477175042977E-2</v>
      </c>
      <c r="G152" s="213" t="s">
        <v>351</v>
      </c>
    </row>
    <row r="153" spans="2:7" x14ac:dyDescent="0.5">
      <c r="B153" s="160" t="s">
        <v>1555</v>
      </c>
      <c r="C153" s="190">
        <v>0.55652800373214539</v>
      </c>
      <c r="D153" s="190">
        <v>0.58803200706481684</v>
      </c>
      <c r="E153" s="190">
        <v>0.94642467934709062</v>
      </c>
      <c r="F153" s="190">
        <v>0.34621336015833537</v>
      </c>
      <c r="G153" s="193" t="s">
        <v>352</v>
      </c>
    </row>
    <row r="154" spans="2:7" x14ac:dyDescent="0.5">
      <c r="B154" s="160" t="s">
        <v>722</v>
      </c>
      <c r="C154" s="190">
        <v>0.32154031409400918</v>
      </c>
      <c r="D154" s="190">
        <v>0.58803200706481684</v>
      </c>
      <c r="E154" s="190">
        <v>0.54680750406595957</v>
      </c>
      <c r="F154" s="190">
        <v>0.58572910268590261</v>
      </c>
      <c r="G154" s="193" t="s">
        <v>352</v>
      </c>
    </row>
    <row r="155" spans="2:7" x14ac:dyDescent="0.5">
      <c r="B155" s="160" t="s">
        <v>1496</v>
      </c>
      <c r="C155" s="190">
        <v>0.12945518753824725</v>
      </c>
      <c r="D155" s="190">
        <v>0.58803200706481684</v>
      </c>
      <c r="E155" s="190">
        <v>0.22014989997641035</v>
      </c>
      <c r="F155" s="190">
        <v>0.82620322016351389</v>
      </c>
      <c r="G155" s="199" t="s">
        <v>352</v>
      </c>
    </row>
    <row r="156" spans="2:7" x14ac:dyDescent="0.5">
      <c r="B156" s="160" t="s">
        <v>694</v>
      </c>
      <c r="C156" s="190">
        <v>3.8826345312704471</v>
      </c>
      <c r="D156" s="190">
        <v>0.58803200706481684</v>
      </c>
      <c r="E156" s="190">
        <v>6.6027605379012595</v>
      </c>
      <c r="F156" s="190" t="s">
        <v>272</v>
      </c>
      <c r="G156" s="193" t="s">
        <v>351</v>
      </c>
    </row>
    <row r="157" spans="2:7" x14ac:dyDescent="0.5">
      <c r="B157" s="160" t="s">
        <v>691</v>
      </c>
      <c r="C157" s="190">
        <v>3.8826345312704471</v>
      </c>
      <c r="D157" s="190">
        <v>0.58803200706481684</v>
      </c>
      <c r="E157" s="190">
        <v>6.6027605379012595</v>
      </c>
      <c r="F157" s="190" t="s">
        <v>272</v>
      </c>
      <c r="G157" s="193" t="s">
        <v>351</v>
      </c>
    </row>
    <row r="158" spans="2:7" x14ac:dyDescent="0.5">
      <c r="B158" s="160" t="s">
        <v>690</v>
      </c>
      <c r="C158" s="190">
        <v>3.8826345312704467</v>
      </c>
      <c r="D158" s="190">
        <v>0.58803200706481684</v>
      </c>
      <c r="E158" s="190">
        <v>6.6027605379012586</v>
      </c>
      <c r="F158" s="190" t="s">
        <v>272</v>
      </c>
      <c r="G158" s="193" t="s">
        <v>351</v>
      </c>
    </row>
    <row r="159" spans="2:7" x14ac:dyDescent="0.5">
      <c r="B159" s="160" t="s">
        <v>693</v>
      </c>
      <c r="C159" s="190">
        <v>3.882634531270444</v>
      </c>
      <c r="D159" s="190">
        <v>0.58803200706481684</v>
      </c>
      <c r="E159" s="190">
        <v>6.6027605379012542</v>
      </c>
      <c r="F159" s="190" t="s">
        <v>272</v>
      </c>
      <c r="G159" s="193" t="s">
        <v>351</v>
      </c>
    </row>
    <row r="160" spans="2:7" x14ac:dyDescent="0.5">
      <c r="B160" s="160" t="s">
        <v>695</v>
      </c>
      <c r="C160" s="190">
        <v>3.798232872065638</v>
      </c>
      <c r="D160" s="190">
        <v>0.58803200706481684</v>
      </c>
      <c r="E160" s="190">
        <v>6.4592281141712942</v>
      </c>
      <c r="F160" s="190" t="s">
        <v>272</v>
      </c>
      <c r="G160" s="193" t="s">
        <v>351</v>
      </c>
    </row>
    <row r="161" spans="2:7" x14ac:dyDescent="0.5">
      <c r="B161" s="160" t="s">
        <v>692</v>
      </c>
      <c r="C161" s="190">
        <v>3.6627576623170603</v>
      </c>
      <c r="D161" s="190">
        <v>0.58803200706481684</v>
      </c>
      <c r="E161" s="190">
        <v>6.2288406384541011</v>
      </c>
      <c r="F161" s="190" t="s">
        <v>272</v>
      </c>
      <c r="G161" s="193" t="s">
        <v>351</v>
      </c>
    </row>
    <row r="162" spans="2:7" x14ac:dyDescent="0.5">
      <c r="B162" s="160" t="s">
        <v>699</v>
      </c>
      <c r="C162" s="190">
        <v>3.2617421595976932</v>
      </c>
      <c r="D162" s="190">
        <v>0.58803200706481684</v>
      </c>
      <c r="E162" s="190">
        <v>5.5468786059432338</v>
      </c>
      <c r="F162" s="190" t="s">
        <v>272</v>
      </c>
      <c r="G162" s="193" t="s">
        <v>351</v>
      </c>
    </row>
    <row r="163" spans="2:7" x14ac:dyDescent="0.5">
      <c r="B163" s="160" t="s">
        <v>696</v>
      </c>
      <c r="C163" s="190">
        <v>2.8609582551036032</v>
      </c>
      <c r="D163" s="190">
        <v>0.58803200706481684</v>
      </c>
      <c r="E163" s="190">
        <v>4.8653104265262366</v>
      </c>
      <c r="F163" s="190" t="s">
        <v>272</v>
      </c>
      <c r="G163" s="193" t="s">
        <v>351</v>
      </c>
    </row>
    <row r="164" spans="2:7" x14ac:dyDescent="0.5">
      <c r="B164" s="160" t="s">
        <v>703</v>
      </c>
      <c r="C164" s="190">
        <v>2.8163320142384176</v>
      </c>
      <c r="D164" s="190">
        <v>0.58803200706481684</v>
      </c>
      <c r="E164" s="190">
        <v>4.7894195900938135</v>
      </c>
      <c r="F164" s="190" t="s">
        <v>272</v>
      </c>
      <c r="G164" s="193" t="s">
        <v>351</v>
      </c>
    </row>
    <row r="165" spans="2:7" x14ac:dyDescent="0.5">
      <c r="B165" s="160" t="s">
        <v>697</v>
      </c>
      <c r="C165" s="190">
        <v>2.7723761136363807</v>
      </c>
      <c r="D165" s="190">
        <v>0.58803200706481684</v>
      </c>
      <c r="E165" s="190">
        <v>4.7146687260695161</v>
      </c>
      <c r="F165" s="190" t="s">
        <v>272</v>
      </c>
      <c r="G165" s="193" t="s">
        <v>351</v>
      </c>
    </row>
    <row r="166" spans="2:7" x14ac:dyDescent="0.5">
      <c r="B166" s="160" t="s">
        <v>698</v>
      </c>
      <c r="C166" s="190">
        <v>2.6933636817318511</v>
      </c>
      <c r="D166" s="190">
        <v>0.58803200706481684</v>
      </c>
      <c r="E166" s="190">
        <v>4.5803011560133839</v>
      </c>
      <c r="F166" s="190" t="s">
        <v>272</v>
      </c>
      <c r="G166" s="193" t="s">
        <v>351</v>
      </c>
    </row>
    <row r="167" spans="2:7" x14ac:dyDescent="0.5">
      <c r="B167" s="160" t="s">
        <v>700</v>
      </c>
      <c r="C167" s="190">
        <v>2.6720168620019962</v>
      </c>
      <c r="D167" s="190">
        <v>0.58803200706481684</v>
      </c>
      <c r="E167" s="190">
        <v>4.5439990168893454</v>
      </c>
      <c r="F167" s="190" t="s">
        <v>272</v>
      </c>
      <c r="G167" s="193" t="s">
        <v>351</v>
      </c>
    </row>
    <row r="168" spans="2:7" x14ac:dyDescent="0.5">
      <c r="B168" s="160" t="s">
        <v>702</v>
      </c>
      <c r="C168" s="190">
        <v>2.4390113078887761</v>
      </c>
      <c r="D168" s="190">
        <v>0.58803200706481684</v>
      </c>
      <c r="E168" s="190">
        <v>4.1477526369069428</v>
      </c>
      <c r="F168" s="190" t="s">
        <v>272</v>
      </c>
      <c r="G168" s="193" t="s">
        <v>351</v>
      </c>
    </row>
    <row r="169" spans="2:7" x14ac:dyDescent="0.5">
      <c r="B169" s="160" t="s">
        <v>704</v>
      </c>
      <c r="C169" s="190">
        <v>2.1730199525948093</v>
      </c>
      <c r="D169" s="190">
        <v>0.58803200706481684</v>
      </c>
      <c r="E169" s="190">
        <v>3.6954110090733283</v>
      </c>
      <c r="F169" s="190">
        <v>3.583943889462064E-4</v>
      </c>
      <c r="G169" s="213" t="s">
        <v>351</v>
      </c>
    </row>
    <row r="170" spans="2:7" x14ac:dyDescent="0.5">
      <c r="B170" s="160" t="s">
        <v>701</v>
      </c>
      <c r="C170" s="190">
        <v>2.1094254380259017</v>
      </c>
      <c r="D170" s="190">
        <v>0.58803200706481684</v>
      </c>
      <c r="E170" s="190">
        <v>3.5872629596391792</v>
      </c>
      <c r="F170" s="190">
        <v>5.1916988001483042E-4</v>
      </c>
      <c r="G170" s="193" t="s">
        <v>351</v>
      </c>
    </row>
    <row r="171" spans="2:7" x14ac:dyDescent="0.5">
      <c r="B171" s="160" t="s">
        <v>705</v>
      </c>
      <c r="C171" s="190">
        <v>1.3608610985934075</v>
      </c>
      <c r="D171" s="190">
        <v>0.58803200706481684</v>
      </c>
      <c r="E171" s="190">
        <v>2.3142636493312589</v>
      </c>
      <c r="F171" s="190">
        <v>2.2698812328570465E-2</v>
      </c>
      <c r="G171" s="193" t="s">
        <v>351</v>
      </c>
    </row>
    <row r="172" spans="2:7" x14ac:dyDescent="0.5">
      <c r="B172" s="160" t="s">
        <v>1556</v>
      </c>
      <c r="C172" s="190">
        <v>0.42707281619389814</v>
      </c>
      <c r="D172" s="190">
        <v>0.58803200706481684</v>
      </c>
      <c r="E172" s="190">
        <v>0.7262747793706803</v>
      </c>
      <c r="F172" s="190">
        <v>0.46936687741034094</v>
      </c>
      <c r="G172" s="193" t="s">
        <v>352</v>
      </c>
    </row>
    <row r="173" spans="2:7" x14ac:dyDescent="0.5">
      <c r="B173" s="160" t="s">
        <v>1557</v>
      </c>
      <c r="C173" s="190">
        <v>0.19208512655576193</v>
      </c>
      <c r="D173" s="190">
        <v>0.58803200706481684</v>
      </c>
      <c r="E173" s="190">
        <v>0.32665760408954919</v>
      </c>
      <c r="F173" s="190">
        <v>0.74460958113255682</v>
      </c>
      <c r="G173" s="193" t="s">
        <v>352</v>
      </c>
    </row>
    <row r="174" spans="2:7" x14ac:dyDescent="0.5">
      <c r="B174" s="160" t="s">
        <v>530</v>
      </c>
      <c r="C174" s="190">
        <v>3.6905494047146852</v>
      </c>
      <c r="D174" s="190">
        <v>0.58803200706481684</v>
      </c>
      <c r="E174" s="190">
        <v>6.2761029338117096</v>
      </c>
      <c r="F174" s="190" t="s">
        <v>272</v>
      </c>
      <c r="G174" s="193" t="s">
        <v>351</v>
      </c>
    </row>
    <row r="175" spans="2:7" x14ac:dyDescent="0.5">
      <c r="B175" s="160" t="s">
        <v>531</v>
      </c>
      <c r="C175" s="190">
        <v>3.6905494047146852</v>
      </c>
      <c r="D175" s="190">
        <v>0.58803200706481684</v>
      </c>
      <c r="E175" s="190">
        <v>6.2761029338117096</v>
      </c>
      <c r="F175" s="190" t="s">
        <v>272</v>
      </c>
      <c r="G175" s="193" t="s">
        <v>351</v>
      </c>
    </row>
    <row r="176" spans="2:7" x14ac:dyDescent="0.5">
      <c r="B176" s="160" t="s">
        <v>526</v>
      </c>
      <c r="C176" s="190">
        <v>3.6905494047146847</v>
      </c>
      <c r="D176" s="190">
        <v>0.58803200706481684</v>
      </c>
      <c r="E176" s="190">
        <v>6.2761029338117096</v>
      </c>
      <c r="F176" s="190" t="s">
        <v>272</v>
      </c>
      <c r="G176" s="193" t="s">
        <v>351</v>
      </c>
    </row>
    <row r="177" spans="2:7" x14ac:dyDescent="0.5">
      <c r="B177" s="160" t="s">
        <v>525</v>
      </c>
      <c r="C177" s="190">
        <v>3.6905494047146821</v>
      </c>
      <c r="D177" s="190">
        <v>0.58803200706481684</v>
      </c>
      <c r="E177" s="190">
        <v>6.2761029338117051</v>
      </c>
      <c r="F177" s="190" t="s">
        <v>272</v>
      </c>
      <c r="G177" s="193" t="s">
        <v>351</v>
      </c>
    </row>
    <row r="178" spans="2:7" x14ac:dyDescent="0.5">
      <c r="B178" s="160" t="s">
        <v>528</v>
      </c>
      <c r="C178" s="190">
        <v>3.606147745509876</v>
      </c>
      <c r="D178" s="190">
        <v>0.58803200706481684</v>
      </c>
      <c r="E178" s="190">
        <v>6.1325705100817451</v>
      </c>
      <c r="F178" s="190" t="s">
        <v>272</v>
      </c>
      <c r="G178" s="193" t="s">
        <v>351</v>
      </c>
    </row>
    <row r="179" spans="2:7" x14ac:dyDescent="0.5">
      <c r="B179" s="160" t="s">
        <v>527</v>
      </c>
      <c r="C179" s="190">
        <v>3.4706725357612984</v>
      </c>
      <c r="D179" s="190">
        <v>0.58803200706481684</v>
      </c>
      <c r="E179" s="190">
        <v>5.9021830343645521</v>
      </c>
      <c r="F179" s="190" t="s">
        <v>272</v>
      </c>
      <c r="G179" s="193" t="s">
        <v>351</v>
      </c>
    </row>
    <row r="180" spans="2:7" x14ac:dyDescent="0.5">
      <c r="B180" s="160" t="s">
        <v>535</v>
      </c>
      <c r="C180" s="190">
        <v>3.0696570330419313</v>
      </c>
      <c r="D180" s="190">
        <v>0.58803200706481684</v>
      </c>
      <c r="E180" s="190">
        <v>5.2202210018536848</v>
      </c>
      <c r="F180" s="190" t="s">
        <v>272</v>
      </c>
      <c r="G180" s="193" t="s">
        <v>351</v>
      </c>
    </row>
    <row r="181" spans="2:7" x14ac:dyDescent="0.5">
      <c r="B181" s="160" t="s">
        <v>533</v>
      </c>
      <c r="C181" s="190">
        <v>2.6688731285478413</v>
      </c>
      <c r="D181" s="190">
        <v>0.58803200706481684</v>
      </c>
      <c r="E181" s="190">
        <v>4.5386528224366876</v>
      </c>
      <c r="F181" s="190" t="s">
        <v>272</v>
      </c>
      <c r="G181" s="193" t="s">
        <v>351</v>
      </c>
    </row>
    <row r="182" spans="2:7" x14ac:dyDescent="0.5">
      <c r="B182" s="160" t="s">
        <v>532</v>
      </c>
      <c r="C182" s="190">
        <v>2.6242468876826557</v>
      </c>
      <c r="D182" s="190">
        <v>0.58803200706481684</v>
      </c>
      <c r="E182" s="190">
        <v>4.4627619860042644</v>
      </c>
      <c r="F182" s="190" t="s">
        <v>272</v>
      </c>
      <c r="G182" s="193" t="s">
        <v>351</v>
      </c>
    </row>
    <row r="183" spans="2:7" x14ac:dyDescent="0.5">
      <c r="B183" s="160" t="s">
        <v>534</v>
      </c>
      <c r="C183" s="190">
        <v>2.5802909870806188</v>
      </c>
      <c r="D183" s="190">
        <v>0.58803200706481684</v>
      </c>
      <c r="E183" s="190">
        <v>4.3880111219799671</v>
      </c>
      <c r="F183" s="190" t="s">
        <v>272</v>
      </c>
      <c r="G183" s="193" t="s">
        <v>351</v>
      </c>
    </row>
    <row r="184" spans="2:7" x14ac:dyDescent="0.5">
      <c r="B184" s="160" t="s">
        <v>523</v>
      </c>
      <c r="C184" s="190">
        <v>2.5012785551760892</v>
      </c>
      <c r="D184" s="190">
        <v>0.58803200706481684</v>
      </c>
      <c r="E184" s="190">
        <v>4.2536435519238349</v>
      </c>
      <c r="F184" s="190" t="s">
        <v>272</v>
      </c>
      <c r="G184" s="193" t="s">
        <v>351</v>
      </c>
    </row>
    <row r="185" spans="2:7" x14ac:dyDescent="0.5">
      <c r="B185" s="160" t="s">
        <v>529</v>
      </c>
      <c r="C185" s="190">
        <v>2.4799317354462342</v>
      </c>
      <c r="D185" s="190">
        <v>0.58803200706481684</v>
      </c>
      <c r="E185" s="190">
        <v>4.2173414127997964</v>
      </c>
      <c r="F185" s="190" t="s">
        <v>272</v>
      </c>
      <c r="G185" s="213" t="s">
        <v>351</v>
      </c>
    </row>
    <row r="186" spans="2:7" x14ac:dyDescent="0.5">
      <c r="B186" s="160" t="s">
        <v>524</v>
      </c>
      <c r="C186" s="190">
        <v>2.2469261813330141</v>
      </c>
      <c r="D186" s="190">
        <v>0.58803200706481684</v>
      </c>
      <c r="E186" s="190">
        <v>3.8210950328173938</v>
      </c>
      <c r="F186" s="190">
        <v>2.3090523382669081E-4</v>
      </c>
      <c r="G186" s="193" t="s">
        <v>351</v>
      </c>
    </row>
    <row r="187" spans="2:7" x14ac:dyDescent="0.5">
      <c r="B187" s="160" t="s">
        <v>520</v>
      </c>
      <c r="C187" s="190">
        <v>1.9809348260390476</v>
      </c>
      <c r="D187" s="190">
        <v>0.58803200706481684</v>
      </c>
      <c r="E187" s="190">
        <v>3.3687534049837793</v>
      </c>
      <c r="F187" s="190">
        <v>1.0734756165711225E-3</v>
      </c>
      <c r="G187" s="193" t="s">
        <v>351</v>
      </c>
    </row>
    <row r="188" spans="2:7" x14ac:dyDescent="0.5">
      <c r="B188" s="160" t="s">
        <v>522</v>
      </c>
      <c r="C188" s="190">
        <v>1.9173403114701397</v>
      </c>
      <c r="D188" s="190">
        <v>0.58803200706481684</v>
      </c>
      <c r="E188" s="190">
        <v>3.2606053555496302</v>
      </c>
      <c r="F188" s="190">
        <v>1.5205509137857912E-3</v>
      </c>
      <c r="G188" s="193" t="s">
        <v>351</v>
      </c>
    </row>
    <row r="189" spans="2:7" x14ac:dyDescent="0.5">
      <c r="B189" s="160" t="s">
        <v>521</v>
      </c>
      <c r="C189" s="190">
        <v>1.1687759720376456</v>
      </c>
      <c r="D189" s="190">
        <v>0.58803200706481684</v>
      </c>
      <c r="E189" s="190">
        <v>1.9876060452417095</v>
      </c>
      <c r="F189" s="190">
        <v>4.9589732086223262E-2</v>
      </c>
      <c r="G189" s="193" t="s">
        <v>351</v>
      </c>
    </row>
    <row r="190" spans="2:7" x14ac:dyDescent="0.5">
      <c r="B190" s="160" t="s">
        <v>1558</v>
      </c>
      <c r="C190" s="190">
        <v>0.23498768963813621</v>
      </c>
      <c r="D190" s="190">
        <v>0.58803200706481684</v>
      </c>
      <c r="E190" s="190">
        <v>0.39961717528113105</v>
      </c>
      <c r="F190" s="190">
        <v>0.69029075113296956</v>
      </c>
      <c r="G190" s="199" t="s">
        <v>352</v>
      </c>
    </row>
    <row r="191" spans="2:7" x14ac:dyDescent="0.5">
      <c r="B191" s="160" t="s">
        <v>511</v>
      </c>
      <c r="C191" s="190">
        <v>3.455561715076549</v>
      </c>
      <c r="D191" s="190">
        <v>0.58803200706481684</v>
      </c>
      <c r="E191" s="190">
        <v>5.8764857585305785</v>
      </c>
      <c r="F191" s="190" t="s">
        <v>272</v>
      </c>
      <c r="G191" s="193" t="s">
        <v>351</v>
      </c>
    </row>
    <row r="192" spans="2:7" x14ac:dyDescent="0.5">
      <c r="B192" s="160" t="s">
        <v>512</v>
      </c>
      <c r="C192" s="190">
        <v>3.455561715076549</v>
      </c>
      <c r="D192" s="190">
        <v>0.58803200706481684</v>
      </c>
      <c r="E192" s="190">
        <v>5.8764857585305785</v>
      </c>
      <c r="F192" s="190" t="s">
        <v>272</v>
      </c>
      <c r="G192" s="193" t="s">
        <v>351</v>
      </c>
    </row>
    <row r="193" spans="2:7" x14ac:dyDescent="0.5">
      <c r="B193" s="160" t="s">
        <v>507</v>
      </c>
      <c r="C193" s="190">
        <v>3.4555617150765485</v>
      </c>
      <c r="D193" s="190">
        <v>0.58803200706481684</v>
      </c>
      <c r="E193" s="190">
        <v>5.8764857585305785</v>
      </c>
      <c r="F193" s="190" t="s">
        <v>272</v>
      </c>
      <c r="G193" s="193" t="s">
        <v>351</v>
      </c>
    </row>
    <row r="194" spans="2:7" x14ac:dyDescent="0.5">
      <c r="B194" s="160" t="s">
        <v>506</v>
      </c>
      <c r="C194" s="190">
        <v>3.4555617150765459</v>
      </c>
      <c r="D194" s="190">
        <v>0.58803200706481684</v>
      </c>
      <c r="E194" s="190">
        <v>5.8764857585305741</v>
      </c>
      <c r="F194" s="190" t="s">
        <v>272</v>
      </c>
      <c r="G194" s="193" t="s">
        <v>351</v>
      </c>
    </row>
    <row r="195" spans="2:7" x14ac:dyDescent="0.5">
      <c r="B195" s="160" t="s">
        <v>509</v>
      </c>
      <c r="C195" s="190">
        <v>3.3711600558717398</v>
      </c>
      <c r="D195" s="190">
        <v>0.58803200706481684</v>
      </c>
      <c r="E195" s="190">
        <v>5.7329533348006141</v>
      </c>
      <c r="F195" s="190" t="s">
        <v>272</v>
      </c>
      <c r="G195" s="193" t="s">
        <v>351</v>
      </c>
    </row>
    <row r="196" spans="2:7" x14ac:dyDescent="0.5">
      <c r="B196" s="160" t="s">
        <v>508</v>
      </c>
      <c r="C196" s="190">
        <v>3.2356848461231622</v>
      </c>
      <c r="D196" s="190">
        <v>0.58803200706481684</v>
      </c>
      <c r="E196" s="190">
        <v>5.502565859083421</v>
      </c>
      <c r="F196" s="190" t="s">
        <v>272</v>
      </c>
      <c r="G196" s="193" t="s">
        <v>351</v>
      </c>
    </row>
    <row r="197" spans="2:7" x14ac:dyDescent="0.5">
      <c r="B197" s="160" t="s">
        <v>516</v>
      </c>
      <c r="C197" s="190">
        <v>2.8346693434037951</v>
      </c>
      <c r="D197" s="190">
        <v>0.58803200706481684</v>
      </c>
      <c r="E197" s="190">
        <v>4.8206038265725537</v>
      </c>
      <c r="F197" s="190" t="s">
        <v>272</v>
      </c>
      <c r="G197" s="193" t="s">
        <v>351</v>
      </c>
    </row>
    <row r="198" spans="2:7" x14ac:dyDescent="0.5">
      <c r="B198" s="160" t="s">
        <v>514</v>
      </c>
      <c r="C198" s="190">
        <v>2.4338854389097051</v>
      </c>
      <c r="D198" s="190">
        <v>0.58803200706481684</v>
      </c>
      <c r="E198" s="190">
        <v>4.1390356471555565</v>
      </c>
      <c r="F198" s="190" t="s">
        <v>272</v>
      </c>
      <c r="G198" s="193" t="s">
        <v>351</v>
      </c>
    </row>
    <row r="199" spans="2:7" x14ac:dyDescent="0.5">
      <c r="B199" s="160" t="s">
        <v>513</v>
      </c>
      <c r="C199" s="190">
        <v>2.3892591980445195</v>
      </c>
      <c r="D199" s="190">
        <v>0.58803200706481684</v>
      </c>
      <c r="E199" s="190">
        <v>4.0631448107231334</v>
      </c>
      <c r="F199" s="190" t="s">
        <v>272</v>
      </c>
      <c r="G199" s="213" t="s">
        <v>351</v>
      </c>
    </row>
    <row r="200" spans="2:7" x14ac:dyDescent="0.5">
      <c r="B200" s="160" t="s">
        <v>515</v>
      </c>
      <c r="C200" s="190">
        <v>2.3453032974424826</v>
      </c>
      <c r="D200" s="190">
        <v>0.58803200706481684</v>
      </c>
      <c r="E200" s="190">
        <v>3.9883939466988356</v>
      </c>
      <c r="F200" s="190">
        <v>1.2676219469670203E-4</v>
      </c>
      <c r="G200" s="193" t="s">
        <v>351</v>
      </c>
    </row>
    <row r="201" spans="2:7" x14ac:dyDescent="0.5">
      <c r="B201" s="160" t="s">
        <v>504</v>
      </c>
      <c r="C201" s="190">
        <v>2.266290865537953</v>
      </c>
      <c r="D201" s="190">
        <v>0.58803200706481684</v>
      </c>
      <c r="E201" s="190">
        <v>3.8540263766427039</v>
      </c>
      <c r="F201" s="190">
        <v>2.0546127631025719E-4</v>
      </c>
      <c r="G201" s="193" t="s">
        <v>351</v>
      </c>
    </row>
    <row r="202" spans="2:7" x14ac:dyDescent="0.5">
      <c r="B202" s="160" t="s">
        <v>510</v>
      </c>
      <c r="C202" s="190">
        <v>2.244944045808098</v>
      </c>
      <c r="D202" s="190">
        <v>0.58803200706481684</v>
      </c>
      <c r="E202" s="190">
        <v>3.8177242375186649</v>
      </c>
      <c r="F202" s="190">
        <v>2.3367270712994738E-4</v>
      </c>
      <c r="G202" s="193" t="s">
        <v>351</v>
      </c>
    </row>
    <row r="203" spans="2:7" x14ac:dyDescent="0.5">
      <c r="B203" s="160" t="s">
        <v>505</v>
      </c>
      <c r="C203" s="190">
        <v>2.0119384916948779</v>
      </c>
      <c r="D203" s="190">
        <v>0.58803200706481684</v>
      </c>
      <c r="E203" s="190">
        <v>3.4214778575362623</v>
      </c>
      <c r="F203" s="190">
        <v>9.0339610201580628E-4</v>
      </c>
      <c r="G203" s="193" t="s">
        <v>351</v>
      </c>
    </row>
    <row r="204" spans="2:7" x14ac:dyDescent="0.5">
      <c r="B204" s="160" t="s">
        <v>501</v>
      </c>
      <c r="C204" s="190">
        <v>1.7459471364009114</v>
      </c>
      <c r="D204" s="190">
        <v>0.58803200706481684</v>
      </c>
      <c r="E204" s="190">
        <v>2.9691362297026482</v>
      </c>
      <c r="F204" s="190">
        <v>3.7382651762843722E-3</v>
      </c>
      <c r="G204" s="193" t="s">
        <v>351</v>
      </c>
    </row>
    <row r="205" spans="2:7" x14ac:dyDescent="0.5">
      <c r="B205" s="160" t="s">
        <v>503</v>
      </c>
      <c r="C205" s="190">
        <v>1.6823526218320035</v>
      </c>
      <c r="D205" s="190">
        <v>0.58803200706481684</v>
      </c>
      <c r="E205" s="190">
        <v>2.8609881802684991</v>
      </c>
      <c r="F205" s="190">
        <v>5.142855332766952E-3</v>
      </c>
      <c r="G205" s="193" t="s">
        <v>351</v>
      </c>
    </row>
    <row r="206" spans="2:7" x14ac:dyDescent="0.5">
      <c r="B206" s="160" t="s">
        <v>502</v>
      </c>
      <c r="C206" s="190">
        <v>0.9337882823995094</v>
      </c>
      <c r="D206" s="190">
        <v>0.58803200706481684</v>
      </c>
      <c r="E206" s="190">
        <v>1.5879888699605784</v>
      </c>
      <c r="F206" s="190">
        <v>0.11544580857865454</v>
      </c>
      <c r="G206" s="193" t="s">
        <v>352</v>
      </c>
    </row>
    <row r="207" spans="2:7" x14ac:dyDescent="0.5">
      <c r="B207" s="160" t="s">
        <v>1559</v>
      </c>
      <c r="C207" s="190">
        <v>2.5217734326770396</v>
      </c>
      <c r="D207" s="190">
        <v>0.58803200706481684</v>
      </c>
      <c r="E207" s="190">
        <v>4.2884968885700001</v>
      </c>
      <c r="F207" s="190" t="s">
        <v>272</v>
      </c>
      <c r="G207" s="193" t="s">
        <v>351</v>
      </c>
    </row>
    <row r="208" spans="2:7" x14ac:dyDescent="0.5">
      <c r="B208" s="160" t="s">
        <v>724</v>
      </c>
      <c r="C208" s="190">
        <v>2.5217734326770396</v>
      </c>
      <c r="D208" s="190">
        <v>0.58803200706481684</v>
      </c>
      <c r="E208" s="190">
        <v>4.2884968885700001</v>
      </c>
      <c r="F208" s="190" t="s">
        <v>272</v>
      </c>
      <c r="G208" s="193" t="s">
        <v>351</v>
      </c>
    </row>
    <row r="209" spans="2:7" x14ac:dyDescent="0.5">
      <c r="B209" s="160" t="s">
        <v>723</v>
      </c>
      <c r="C209" s="190">
        <v>2.5217734326770391</v>
      </c>
      <c r="D209" s="190">
        <v>0.58803200706481684</v>
      </c>
      <c r="E209" s="190">
        <v>4.2884968885700001</v>
      </c>
      <c r="F209" s="190" t="s">
        <v>272</v>
      </c>
      <c r="G209" s="193" t="s">
        <v>351</v>
      </c>
    </row>
    <row r="210" spans="2:7" x14ac:dyDescent="0.5">
      <c r="B210" s="160" t="s">
        <v>1560</v>
      </c>
      <c r="C210" s="190">
        <v>2.5217734326770365</v>
      </c>
      <c r="D210" s="190">
        <v>0.58803200706481684</v>
      </c>
      <c r="E210" s="190">
        <v>4.2884968885699948</v>
      </c>
      <c r="F210" s="190" t="s">
        <v>272</v>
      </c>
      <c r="G210" s="193" t="s">
        <v>351</v>
      </c>
    </row>
    <row r="211" spans="2:7" x14ac:dyDescent="0.5">
      <c r="B211" s="160" t="s">
        <v>726</v>
      </c>
      <c r="C211" s="190">
        <v>2.4373717734722304</v>
      </c>
      <c r="D211" s="190">
        <v>0.58803200706481684</v>
      </c>
      <c r="E211" s="190">
        <v>4.1449644648400357</v>
      </c>
      <c r="F211" s="190" t="s">
        <v>272</v>
      </c>
      <c r="G211" s="193" t="s">
        <v>351</v>
      </c>
    </row>
    <row r="212" spans="2:7" x14ac:dyDescent="0.5">
      <c r="B212" s="160" t="s">
        <v>725</v>
      </c>
      <c r="C212" s="190">
        <v>2.3018965637236528</v>
      </c>
      <c r="D212" s="190">
        <v>0.58803200706481684</v>
      </c>
      <c r="E212" s="190">
        <v>3.9145769891228426</v>
      </c>
      <c r="F212" s="190">
        <v>1.6549243543577215E-4</v>
      </c>
      <c r="G212" s="193" t="s">
        <v>351</v>
      </c>
    </row>
    <row r="213" spans="2:7" x14ac:dyDescent="0.5">
      <c r="B213" s="160" t="s">
        <v>730</v>
      </c>
      <c r="C213" s="190">
        <v>1.9008810610042857</v>
      </c>
      <c r="D213" s="190">
        <v>0.58803200706481684</v>
      </c>
      <c r="E213" s="190">
        <v>3.2326149566119753</v>
      </c>
      <c r="F213" s="190">
        <v>1.6618535321416686E-3</v>
      </c>
      <c r="G213" s="193" t="s">
        <v>351</v>
      </c>
    </row>
    <row r="214" spans="2:7" x14ac:dyDescent="0.5">
      <c r="B214" s="160" t="s">
        <v>727</v>
      </c>
      <c r="C214" s="190">
        <v>1.5000971565101957</v>
      </c>
      <c r="D214" s="190">
        <v>0.58803200706481684</v>
      </c>
      <c r="E214" s="190">
        <v>2.5510467771949781</v>
      </c>
      <c r="F214" s="190">
        <v>1.2255257321088826E-2</v>
      </c>
      <c r="G214" s="193" t="s">
        <v>351</v>
      </c>
    </row>
    <row r="215" spans="2:7" x14ac:dyDescent="0.5">
      <c r="B215" s="160" t="s">
        <v>734</v>
      </c>
      <c r="C215" s="190">
        <v>1.4554709156450101</v>
      </c>
      <c r="D215" s="190">
        <v>0.58803200706481684</v>
      </c>
      <c r="E215" s="190">
        <v>2.475155940762555</v>
      </c>
      <c r="F215" s="190">
        <v>1.4999268139012581E-2</v>
      </c>
      <c r="G215" s="193" t="s">
        <v>351</v>
      </c>
    </row>
    <row r="216" spans="2:7" x14ac:dyDescent="0.5">
      <c r="B216" s="160" t="s">
        <v>728</v>
      </c>
      <c r="C216" s="190">
        <v>1.4115150150429729</v>
      </c>
      <c r="D216" s="190">
        <v>0.58803200706481684</v>
      </c>
      <c r="E216" s="190">
        <v>2.4004050767382568</v>
      </c>
      <c r="F216" s="190">
        <v>1.8226485657438445E-2</v>
      </c>
      <c r="G216" s="193" t="s">
        <v>351</v>
      </c>
    </row>
    <row r="217" spans="2:7" x14ac:dyDescent="0.5">
      <c r="B217" s="160" t="s">
        <v>729</v>
      </c>
      <c r="C217" s="190">
        <v>1.3325025831384438</v>
      </c>
      <c r="D217" s="190">
        <v>0.58803200706481684</v>
      </c>
      <c r="E217" s="190">
        <v>2.2660375066821259</v>
      </c>
      <c r="F217" s="190">
        <v>2.5603993573643579E-2</v>
      </c>
      <c r="G217" s="193" t="s">
        <v>351</v>
      </c>
    </row>
    <row r="218" spans="2:7" x14ac:dyDescent="0.5">
      <c r="B218" s="160" t="s">
        <v>731</v>
      </c>
      <c r="C218" s="190">
        <v>1.3111557634085886</v>
      </c>
      <c r="D218" s="190">
        <v>0.58803200706481684</v>
      </c>
      <c r="E218" s="190">
        <v>2.2297353675580864</v>
      </c>
      <c r="F218" s="190">
        <v>2.8001453725457464E-2</v>
      </c>
      <c r="G218" s="218" t="s">
        <v>351</v>
      </c>
    </row>
    <row r="219" spans="2:7" x14ac:dyDescent="0.5">
      <c r="B219" s="160" t="s">
        <v>733</v>
      </c>
      <c r="C219" s="190">
        <v>1.0781502092953685</v>
      </c>
      <c r="D219" s="190">
        <v>0.58803200706481684</v>
      </c>
      <c r="E219" s="190">
        <v>1.8334889875756841</v>
      </c>
      <c r="F219" s="190">
        <v>6.970439741865174E-2</v>
      </c>
      <c r="G219" s="193" t="s">
        <v>352</v>
      </c>
    </row>
    <row r="220" spans="2:7" x14ac:dyDescent="0.5">
      <c r="B220" s="160" t="s">
        <v>685</v>
      </c>
      <c r="C220" s="190">
        <v>0.81215885400140198</v>
      </c>
      <c r="D220" s="190">
        <v>0.58803200706481684</v>
      </c>
      <c r="E220" s="190">
        <v>1.3811473597420698</v>
      </c>
      <c r="F220" s="190">
        <v>0.17031225117373705</v>
      </c>
      <c r="G220" s="199" t="s">
        <v>352</v>
      </c>
    </row>
    <row r="221" spans="2:7" x14ac:dyDescent="0.5">
      <c r="B221" s="160" t="s">
        <v>732</v>
      </c>
      <c r="C221" s="190">
        <v>0.74856433943249412</v>
      </c>
      <c r="D221" s="190">
        <v>0.58803200706481684</v>
      </c>
      <c r="E221" s="190">
        <v>1.2729993103079207</v>
      </c>
      <c r="F221" s="190">
        <v>0.20596981061000486</v>
      </c>
      <c r="G221" s="193" t="s">
        <v>352</v>
      </c>
    </row>
    <row r="222" spans="2:7" x14ac:dyDescent="0.5">
      <c r="B222" s="160" t="s">
        <v>1561</v>
      </c>
      <c r="C222" s="190">
        <v>1.7732090932445457</v>
      </c>
      <c r="D222" s="190">
        <v>0.58803200706481684</v>
      </c>
      <c r="E222" s="190">
        <v>3.0154975782620803</v>
      </c>
      <c r="F222" s="190">
        <v>3.252409923766816E-3</v>
      </c>
      <c r="G222" s="193" t="s">
        <v>351</v>
      </c>
    </row>
    <row r="223" spans="2:7" x14ac:dyDescent="0.5">
      <c r="B223" s="160" t="s">
        <v>1562</v>
      </c>
      <c r="C223" s="190">
        <v>1.7732090932445455</v>
      </c>
      <c r="D223" s="190">
        <v>0.58803200706481684</v>
      </c>
      <c r="E223" s="190">
        <v>3.0154975782620799</v>
      </c>
      <c r="F223" s="190">
        <v>3.252409923766816E-3</v>
      </c>
      <c r="G223" s="193" t="s">
        <v>351</v>
      </c>
    </row>
    <row r="224" spans="2:7" x14ac:dyDescent="0.5">
      <c r="B224" s="160" t="s">
        <v>759</v>
      </c>
      <c r="C224" s="190">
        <v>1.7732090932445448</v>
      </c>
      <c r="D224" s="190">
        <v>0.58803200706481684</v>
      </c>
      <c r="E224" s="190">
        <v>3.015497578262079</v>
      </c>
      <c r="F224" s="190">
        <v>3.2524099237668377E-3</v>
      </c>
      <c r="G224" s="193" t="s">
        <v>351</v>
      </c>
    </row>
    <row r="225" spans="2:7" x14ac:dyDescent="0.5">
      <c r="B225" s="160" t="s">
        <v>1563</v>
      </c>
      <c r="C225" s="190">
        <v>1.7732090932445423</v>
      </c>
      <c r="D225" s="190">
        <v>0.58803200706481684</v>
      </c>
      <c r="E225" s="190">
        <v>3.0154975782620745</v>
      </c>
      <c r="F225" s="190">
        <v>3.2524099237668798E-3</v>
      </c>
      <c r="G225" s="193" t="s">
        <v>351</v>
      </c>
    </row>
    <row r="226" spans="2:7" x14ac:dyDescent="0.5">
      <c r="B226" s="160" t="s">
        <v>761</v>
      </c>
      <c r="C226" s="190">
        <v>1.6888074340397361</v>
      </c>
      <c r="D226" s="190">
        <v>0.58803200706481684</v>
      </c>
      <c r="E226" s="190">
        <v>2.8719651545321145</v>
      </c>
      <c r="F226" s="190">
        <v>4.980864011900934E-3</v>
      </c>
      <c r="G226" s="193" t="s">
        <v>351</v>
      </c>
    </row>
    <row r="227" spans="2:7" x14ac:dyDescent="0.5">
      <c r="B227" s="160" t="s">
        <v>760</v>
      </c>
      <c r="C227" s="190">
        <v>1.5533322242911589</v>
      </c>
      <c r="D227" s="190">
        <v>0.58803200706481684</v>
      </c>
      <c r="E227" s="190">
        <v>2.6415776788149223</v>
      </c>
      <c r="F227" s="190">
        <v>9.5777692283890246E-3</v>
      </c>
      <c r="G227" s="193" t="s">
        <v>351</v>
      </c>
    </row>
    <row r="228" spans="2:7" x14ac:dyDescent="0.5">
      <c r="B228" s="160" t="s">
        <v>1564</v>
      </c>
      <c r="C228" s="190">
        <v>1.1523167215717915</v>
      </c>
      <c r="D228" s="190">
        <v>0.58803200706481684</v>
      </c>
      <c r="E228" s="190">
        <v>1.9596156463040548</v>
      </c>
      <c r="F228" s="190">
        <v>5.2824504036081694E-2</v>
      </c>
      <c r="G228" s="193" t="s">
        <v>352</v>
      </c>
    </row>
    <row r="229" spans="2:7" x14ac:dyDescent="0.5">
      <c r="B229" s="160" t="s">
        <v>1565</v>
      </c>
      <c r="C229" s="190">
        <v>0.75153281707770159</v>
      </c>
      <c r="D229" s="190">
        <v>0.58803200706481684</v>
      </c>
      <c r="E229" s="190">
        <v>1.2780474668870576</v>
      </c>
      <c r="F229" s="190">
        <v>0.2041913826412465</v>
      </c>
      <c r="G229" s="193" t="s">
        <v>352</v>
      </c>
    </row>
    <row r="230" spans="2:7" x14ac:dyDescent="0.5">
      <c r="B230" s="160" t="s">
        <v>1566</v>
      </c>
      <c r="C230" s="190">
        <v>0.70690657621251596</v>
      </c>
      <c r="D230" s="190">
        <v>0.58803200706481684</v>
      </c>
      <c r="E230" s="190">
        <v>1.2021566304546343</v>
      </c>
      <c r="F230" s="190">
        <v>0.23214183820811243</v>
      </c>
      <c r="G230" s="193" t="s">
        <v>352</v>
      </c>
    </row>
    <row r="231" spans="2:7" x14ac:dyDescent="0.5">
      <c r="B231" s="160" t="s">
        <v>762</v>
      </c>
      <c r="C231" s="190">
        <v>0.66295067561047882</v>
      </c>
      <c r="D231" s="190">
        <v>0.58803200706481684</v>
      </c>
      <c r="E231" s="190">
        <v>1.1274057664303363</v>
      </c>
      <c r="F231" s="190">
        <v>0.26226884961603186</v>
      </c>
      <c r="G231" s="193" t="s">
        <v>352</v>
      </c>
    </row>
    <row r="232" spans="2:7" x14ac:dyDescent="0.5">
      <c r="B232" s="160" t="s">
        <v>1567</v>
      </c>
      <c r="C232" s="190">
        <v>0.58393824370594971</v>
      </c>
      <c r="D232" s="190">
        <v>0.58803200706481684</v>
      </c>
      <c r="E232" s="190">
        <v>0.99303819637420543</v>
      </c>
      <c r="F232" s="190">
        <v>0.32308815514525968</v>
      </c>
      <c r="G232" s="193" t="s">
        <v>352</v>
      </c>
    </row>
    <row r="233" spans="2:7" x14ac:dyDescent="0.5">
      <c r="B233" s="160" t="s">
        <v>763</v>
      </c>
      <c r="C233" s="190">
        <v>0.56259142397609452</v>
      </c>
      <c r="D233" s="190">
        <v>0.58803200706481684</v>
      </c>
      <c r="E233" s="190">
        <v>0.95673605725016586</v>
      </c>
      <c r="F233" s="190">
        <v>0.34100776468894306</v>
      </c>
      <c r="G233" s="193" t="s">
        <v>352</v>
      </c>
    </row>
    <row r="234" spans="2:7" x14ac:dyDescent="0.5">
      <c r="B234" s="160" t="s">
        <v>1568</v>
      </c>
      <c r="C234" s="190">
        <v>0.32958586986287441</v>
      </c>
      <c r="D234" s="190">
        <v>0.58803200706481684</v>
      </c>
      <c r="E234" s="190">
        <v>0.56048967726776344</v>
      </c>
      <c r="F234" s="190">
        <v>0.57639907657354295</v>
      </c>
      <c r="G234" s="199" t="s">
        <v>352</v>
      </c>
    </row>
    <row r="235" spans="2:7" x14ac:dyDescent="0.5">
      <c r="B235" s="160" t="s">
        <v>681</v>
      </c>
      <c r="C235" s="190">
        <v>6.3594514568907856E-2</v>
      </c>
      <c r="D235" s="190">
        <v>0.58803200706481684</v>
      </c>
      <c r="E235" s="190">
        <v>0.10814804943414932</v>
      </c>
      <c r="F235" s="190">
        <v>0.91409495162860666</v>
      </c>
      <c r="G235" s="193" t="s">
        <v>352</v>
      </c>
    </row>
    <row r="236" spans="2:7" x14ac:dyDescent="0.5">
      <c r="B236" s="160" t="s">
        <v>738</v>
      </c>
      <c r="C236" s="190">
        <v>1.7096145786756378</v>
      </c>
      <c r="D236" s="190">
        <v>0.58803200706481684</v>
      </c>
      <c r="E236" s="190">
        <v>2.9073495288279312</v>
      </c>
      <c r="F236" s="190">
        <v>4.4900375936479369E-3</v>
      </c>
      <c r="G236" s="193" t="s">
        <v>351</v>
      </c>
    </row>
    <row r="237" spans="2:7" x14ac:dyDescent="0.5">
      <c r="B237" s="160" t="s">
        <v>736</v>
      </c>
      <c r="C237" s="190">
        <v>1.7096145786756376</v>
      </c>
      <c r="D237" s="190">
        <v>0.58803200706481684</v>
      </c>
      <c r="E237" s="190">
        <v>2.9073495288279307</v>
      </c>
      <c r="F237" s="190">
        <v>4.4900375936479664E-3</v>
      </c>
      <c r="G237" s="193" t="s">
        <v>351</v>
      </c>
    </row>
    <row r="238" spans="2:7" x14ac:dyDescent="0.5">
      <c r="B238" s="160" t="s">
        <v>735</v>
      </c>
      <c r="C238" s="190">
        <v>1.7096145786756369</v>
      </c>
      <c r="D238" s="190">
        <v>0.58803200706481684</v>
      </c>
      <c r="E238" s="190">
        <v>2.9073495288279294</v>
      </c>
      <c r="F238" s="190">
        <v>4.4900375936479664E-3</v>
      </c>
      <c r="G238" s="193" t="s">
        <v>351</v>
      </c>
    </row>
    <row r="239" spans="2:7" x14ac:dyDescent="0.5">
      <c r="B239" s="160" t="s">
        <v>1569</v>
      </c>
      <c r="C239" s="190">
        <v>1.7096145786756345</v>
      </c>
      <c r="D239" s="190">
        <v>0.58803200706481684</v>
      </c>
      <c r="E239" s="190">
        <v>2.9073495288279254</v>
      </c>
      <c r="F239" s="190">
        <v>4.4900375936480245E-3</v>
      </c>
      <c r="G239" s="193" t="s">
        <v>351</v>
      </c>
    </row>
    <row r="240" spans="2:7" x14ac:dyDescent="0.5">
      <c r="B240" s="160" t="s">
        <v>739</v>
      </c>
      <c r="C240" s="190">
        <v>1.6252129194708282</v>
      </c>
      <c r="D240" s="190">
        <v>0.58803200706481684</v>
      </c>
      <c r="E240" s="190">
        <v>2.763817105097965</v>
      </c>
      <c r="F240" s="190">
        <v>6.8020674787676594E-3</v>
      </c>
      <c r="G240" s="193" t="s">
        <v>351</v>
      </c>
    </row>
    <row r="241" spans="2:7" x14ac:dyDescent="0.5">
      <c r="B241" s="160" t="s">
        <v>737</v>
      </c>
      <c r="C241" s="190">
        <v>1.4897377097222511</v>
      </c>
      <c r="D241" s="190">
        <v>0.58803200706481684</v>
      </c>
      <c r="E241" s="190">
        <v>2.5334296293807732</v>
      </c>
      <c r="F241" s="190">
        <v>1.2848576948707861E-2</v>
      </c>
      <c r="G241" s="193" t="s">
        <v>351</v>
      </c>
    </row>
    <row r="242" spans="2:7" x14ac:dyDescent="0.5">
      <c r="B242" s="160" t="s">
        <v>743</v>
      </c>
      <c r="C242" s="190">
        <v>1.0887222070028837</v>
      </c>
      <c r="D242" s="190">
        <v>0.58803200706481684</v>
      </c>
      <c r="E242" s="190">
        <v>1.8514675968699055</v>
      </c>
      <c r="F242" s="190">
        <v>6.7053118214353932E-2</v>
      </c>
      <c r="G242" s="193" t="s">
        <v>352</v>
      </c>
    </row>
    <row r="243" spans="2:7" x14ac:dyDescent="0.5">
      <c r="B243" s="160" t="s">
        <v>740</v>
      </c>
      <c r="C243" s="190">
        <v>0.68793830250879373</v>
      </c>
      <c r="D243" s="190">
        <v>0.58803200706481684</v>
      </c>
      <c r="E243" s="190">
        <v>1.1698994174529085</v>
      </c>
      <c r="F243" s="190">
        <v>0.24482219619256132</v>
      </c>
      <c r="G243" s="193" t="s">
        <v>352</v>
      </c>
    </row>
    <row r="244" spans="2:7" x14ac:dyDescent="0.5">
      <c r="B244" s="160" t="s">
        <v>747</v>
      </c>
      <c r="C244" s="190">
        <v>0.6433120616436081</v>
      </c>
      <c r="D244" s="190">
        <v>0.58803200706481684</v>
      </c>
      <c r="E244" s="190">
        <v>1.0940085810204849</v>
      </c>
      <c r="F244" s="190">
        <v>0.27657944459927719</v>
      </c>
      <c r="G244" s="218" t="s">
        <v>352</v>
      </c>
    </row>
    <row r="245" spans="2:7" x14ac:dyDescent="0.5">
      <c r="B245" s="160" t="s">
        <v>741</v>
      </c>
      <c r="C245" s="190">
        <v>0.59935616104157097</v>
      </c>
      <c r="D245" s="190">
        <v>0.58803200706481684</v>
      </c>
      <c r="E245" s="190">
        <v>1.0192577169961872</v>
      </c>
      <c r="F245" s="190">
        <v>0.31054022628939509</v>
      </c>
      <c r="G245" s="193" t="s">
        <v>352</v>
      </c>
    </row>
    <row r="246" spans="2:7" x14ac:dyDescent="0.5">
      <c r="B246" s="160" t="s">
        <v>742</v>
      </c>
      <c r="C246" s="190">
        <v>0.52034372913704185</v>
      </c>
      <c r="D246" s="190">
        <v>0.58803200706481684</v>
      </c>
      <c r="E246" s="190">
        <v>0.88489014694005608</v>
      </c>
      <c r="F246" s="190">
        <v>0.37833863936225454</v>
      </c>
      <c r="G246" s="193" t="s">
        <v>352</v>
      </c>
    </row>
    <row r="247" spans="2:7" x14ac:dyDescent="0.5">
      <c r="B247" s="160" t="s">
        <v>744</v>
      </c>
      <c r="C247" s="190">
        <v>0.49899690940718666</v>
      </c>
      <c r="D247" s="190">
        <v>0.58803200706481684</v>
      </c>
      <c r="E247" s="190">
        <v>0.84858800781601651</v>
      </c>
      <c r="F247" s="190">
        <v>0.39813733368365328</v>
      </c>
      <c r="G247" s="193" t="s">
        <v>352</v>
      </c>
    </row>
    <row r="248" spans="2:7" x14ac:dyDescent="0.5">
      <c r="B248" s="160" t="s">
        <v>746</v>
      </c>
      <c r="C248" s="190">
        <v>0.26599135529396656</v>
      </c>
      <c r="D248" s="190">
        <v>0.58803200706481684</v>
      </c>
      <c r="E248" s="190">
        <v>0.45234162783361415</v>
      </c>
      <c r="F248" s="190">
        <v>0.65200263476660814</v>
      </c>
      <c r="G248" s="193" t="s">
        <v>352</v>
      </c>
    </row>
    <row r="249" spans="2:7" x14ac:dyDescent="0.5">
      <c r="B249" s="160" t="s">
        <v>1570</v>
      </c>
      <c r="C249" s="190">
        <v>1.4436232233816713</v>
      </c>
      <c r="D249" s="190">
        <v>0.58803200706481684</v>
      </c>
      <c r="E249" s="190">
        <v>2.4550079009943166</v>
      </c>
      <c r="F249" s="190">
        <v>1.5814584378870095E-2</v>
      </c>
      <c r="G249" s="193" t="s">
        <v>351</v>
      </c>
    </row>
    <row r="250" spans="2:7" x14ac:dyDescent="0.5">
      <c r="B250" s="160" t="s">
        <v>752</v>
      </c>
      <c r="C250" s="190">
        <v>1.443623223381671</v>
      </c>
      <c r="D250" s="190">
        <v>0.58803200706481684</v>
      </c>
      <c r="E250" s="190">
        <v>2.4550079009943162</v>
      </c>
      <c r="F250" s="190">
        <v>1.5814584378870095E-2</v>
      </c>
      <c r="G250" s="193" t="s">
        <v>351</v>
      </c>
    </row>
    <row r="251" spans="2:7" x14ac:dyDescent="0.5">
      <c r="B251" s="160" t="s">
        <v>751</v>
      </c>
      <c r="C251" s="190">
        <v>1.4436232233816704</v>
      </c>
      <c r="D251" s="190">
        <v>0.58803200706481684</v>
      </c>
      <c r="E251" s="190">
        <v>2.4550079009943153</v>
      </c>
      <c r="F251" s="190">
        <v>1.5814584378870095E-2</v>
      </c>
      <c r="G251" s="193" t="s">
        <v>351</v>
      </c>
    </row>
    <row r="252" spans="2:7" x14ac:dyDescent="0.5">
      <c r="B252" s="160" t="s">
        <v>1571</v>
      </c>
      <c r="C252" s="190">
        <v>1.4436232233816679</v>
      </c>
      <c r="D252" s="190">
        <v>0.58803200706481684</v>
      </c>
      <c r="E252" s="190">
        <v>2.4550079009943113</v>
      </c>
      <c r="F252" s="190">
        <v>1.5814584378870306E-2</v>
      </c>
      <c r="G252" s="193" t="s">
        <v>351</v>
      </c>
    </row>
    <row r="253" spans="2:7" x14ac:dyDescent="0.5">
      <c r="B253" s="160" t="s">
        <v>754</v>
      </c>
      <c r="C253" s="190">
        <v>1.3592215641768617</v>
      </c>
      <c r="D253" s="190">
        <v>0.58803200706481684</v>
      </c>
      <c r="E253" s="190">
        <v>2.3114754772643509</v>
      </c>
      <c r="F253" s="190">
        <v>2.2858496653103563E-2</v>
      </c>
      <c r="G253" s="193" t="s">
        <v>351</v>
      </c>
    </row>
    <row r="254" spans="2:7" x14ac:dyDescent="0.5">
      <c r="B254" s="160" t="s">
        <v>753</v>
      </c>
      <c r="C254" s="190">
        <v>1.2237463544282845</v>
      </c>
      <c r="D254" s="190">
        <v>0.58803200706481684</v>
      </c>
      <c r="E254" s="190">
        <v>2.0810880015471587</v>
      </c>
      <c r="F254" s="190">
        <v>3.9980904669260291E-2</v>
      </c>
      <c r="G254" s="193" t="s">
        <v>351</v>
      </c>
    </row>
    <row r="255" spans="2:7" x14ac:dyDescent="0.5">
      <c r="B255" s="160" t="s">
        <v>757</v>
      </c>
      <c r="C255" s="190">
        <v>0.82273085170891713</v>
      </c>
      <c r="D255" s="190">
        <v>0.58803200706481684</v>
      </c>
      <c r="E255" s="190">
        <v>1.3991259690362912</v>
      </c>
      <c r="F255" s="190">
        <v>0.16486935383339985</v>
      </c>
      <c r="G255" s="193" t="s">
        <v>352</v>
      </c>
    </row>
    <row r="256" spans="2:7" x14ac:dyDescent="0.5">
      <c r="B256" s="160" t="s">
        <v>755</v>
      </c>
      <c r="C256" s="190">
        <v>0.42194694721482717</v>
      </c>
      <c r="D256" s="190">
        <v>0.58803200706481684</v>
      </c>
      <c r="E256" s="190">
        <v>0.71755778961929417</v>
      </c>
      <c r="F256" s="190">
        <v>0.47470288238384101</v>
      </c>
      <c r="G256" s="193" t="s">
        <v>352</v>
      </c>
    </row>
    <row r="257" spans="2:7" x14ac:dyDescent="0.5">
      <c r="B257" s="160" t="s">
        <v>1509</v>
      </c>
      <c r="C257" s="190">
        <v>0.37732070634964154</v>
      </c>
      <c r="D257" s="190">
        <v>0.58803200706481684</v>
      </c>
      <c r="E257" s="190">
        <v>0.64166695318687084</v>
      </c>
      <c r="F257" s="190">
        <v>0.52255755490509215</v>
      </c>
      <c r="G257" s="193" t="s">
        <v>352</v>
      </c>
    </row>
    <row r="258" spans="2:7" x14ac:dyDescent="0.5">
      <c r="B258" s="160" t="s">
        <v>756</v>
      </c>
      <c r="C258" s="190">
        <v>0.33336480574760441</v>
      </c>
      <c r="D258" s="190">
        <v>0.58803200706481684</v>
      </c>
      <c r="E258" s="190">
        <v>0.56691608916257297</v>
      </c>
      <c r="F258" s="190">
        <v>0.57204153072930097</v>
      </c>
      <c r="G258" s="193" t="s">
        <v>352</v>
      </c>
    </row>
    <row r="259" spans="2:7" x14ac:dyDescent="0.5">
      <c r="B259" s="160" t="s">
        <v>673</v>
      </c>
      <c r="C259" s="190">
        <v>0.2543523738430753</v>
      </c>
      <c r="D259" s="190">
        <v>0.58803200706481684</v>
      </c>
      <c r="E259" s="190">
        <v>0.43254851910644188</v>
      </c>
      <c r="F259" s="190">
        <v>0.6662741898829978</v>
      </c>
      <c r="G259" s="193" t="s">
        <v>352</v>
      </c>
    </row>
    <row r="260" spans="2:7" x14ac:dyDescent="0.5">
      <c r="B260" s="160" t="s">
        <v>758</v>
      </c>
      <c r="C260" s="190">
        <v>0.2330055541132201</v>
      </c>
      <c r="D260" s="190">
        <v>0.58803200706481684</v>
      </c>
      <c r="E260" s="190">
        <v>0.39624637998240231</v>
      </c>
      <c r="F260" s="190">
        <v>0.69276751706110673</v>
      </c>
      <c r="G260" s="193" t="s">
        <v>352</v>
      </c>
    </row>
    <row r="261" spans="2:7" x14ac:dyDescent="0.5">
      <c r="B261" s="160" t="s">
        <v>1572</v>
      </c>
      <c r="C261" s="190">
        <v>1.2106176692684512</v>
      </c>
      <c r="D261" s="190">
        <v>0.58803200706481684</v>
      </c>
      <c r="E261" s="190">
        <v>2.0587615210119146</v>
      </c>
      <c r="F261" s="190">
        <v>4.2116830582541363E-2</v>
      </c>
      <c r="G261" s="193" t="s">
        <v>351</v>
      </c>
    </row>
    <row r="262" spans="2:7" x14ac:dyDescent="0.5">
      <c r="B262" s="160" t="s">
        <v>1573</v>
      </c>
      <c r="C262" s="190">
        <v>1.2106176692684509</v>
      </c>
      <c r="D262" s="190">
        <v>0.58803200706481684</v>
      </c>
      <c r="E262" s="190">
        <v>2.0587615210119141</v>
      </c>
      <c r="F262" s="190">
        <v>4.2116830582541363E-2</v>
      </c>
      <c r="G262" s="193" t="s">
        <v>351</v>
      </c>
    </row>
    <row r="263" spans="2:7" x14ac:dyDescent="0.5">
      <c r="B263" s="160" t="s">
        <v>631</v>
      </c>
      <c r="C263" s="190">
        <v>1.2106176692684503</v>
      </c>
      <c r="D263" s="190">
        <v>0.58803200706481684</v>
      </c>
      <c r="E263" s="190">
        <v>2.0587615210119128</v>
      </c>
      <c r="F263" s="190">
        <v>4.2116830582541363E-2</v>
      </c>
      <c r="G263" s="193" t="s">
        <v>351</v>
      </c>
    </row>
    <row r="264" spans="2:7" x14ac:dyDescent="0.5">
      <c r="B264" s="160" t="s">
        <v>630</v>
      </c>
      <c r="C264" s="190">
        <v>1.2106176692684478</v>
      </c>
      <c r="D264" s="190">
        <v>0.58803200706481684</v>
      </c>
      <c r="E264" s="190">
        <v>2.0587615210119088</v>
      </c>
      <c r="F264" s="190">
        <v>4.2116830582541946E-2</v>
      </c>
      <c r="G264" s="193" t="s">
        <v>351</v>
      </c>
    </row>
    <row r="265" spans="2:7" x14ac:dyDescent="0.5">
      <c r="B265" s="160" t="s">
        <v>633</v>
      </c>
      <c r="C265" s="190">
        <v>1.1262160100636416</v>
      </c>
      <c r="D265" s="190">
        <v>0.58803200706481684</v>
      </c>
      <c r="E265" s="190">
        <v>1.9152290972819486</v>
      </c>
      <c r="F265" s="190">
        <v>5.8320404491904634E-2</v>
      </c>
      <c r="G265" s="193" t="s">
        <v>352</v>
      </c>
    </row>
    <row r="266" spans="2:7" x14ac:dyDescent="0.5">
      <c r="B266" s="160" t="s">
        <v>632</v>
      </c>
      <c r="C266" s="190">
        <v>0.9907408003150644</v>
      </c>
      <c r="D266" s="190">
        <v>0.58803200706481684</v>
      </c>
      <c r="E266" s="190">
        <v>1.6848416215647566</v>
      </c>
      <c r="F266" s="190">
        <v>9.513767909222727E-2</v>
      </c>
      <c r="G266" s="193" t="s">
        <v>352</v>
      </c>
    </row>
    <row r="267" spans="2:7" x14ac:dyDescent="0.5">
      <c r="B267" s="160" t="s">
        <v>1574</v>
      </c>
      <c r="C267" s="190">
        <v>0.58972529759569703</v>
      </c>
      <c r="D267" s="190">
        <v>0.58803200706481684</v>
      </c>
      <c r="E267" s="190">
        <v>1.0028795890538889</v>
      </c>
      <c r="F267" s="190">
        <v>0.31833953849947966</v>
      </c>
      <c r="G267" s="193" t="s">
        <v>352</v>
      </c>
    </row>
    <row r="268" spans="2:7" x14ac:dyDescent="0.5">
      <c r="B268" s="160" t="s">
        <v>1575</v>
      </c>
      <c r="C268" s="190">
        <v>0.18894139310160707</v>
      </c>
      <c r="D268" s="190">
        <v>0.58803200706481684</v>
      </c>
      <c r="E268" s="190">
        <v>0.32131140963689186</v>
      </c>
      <c r="F268" s="190">
        <v>0.74864501006184736</v>
      </c>
      <c r="G268" s="193" t="s">
        <v>352</v>
      </c>
    </row>
    <row r="269" spans="2:7" x14ac:dyDescent="0.5">
      <c r="B269" s="160" t="s">
        <v>1576</v>
      </c>
      <c r="C269" s="190">
        <v>0.14431515223642144</v>
      </c>
      <c r="D269" s="190">
        <v>0.58803200706481684</v>
      </c>
      <c r="E269" s="190">
        <v>0.24542057320446853</v>
      </c>
      <c r="F269" s="190">
        <v>0.80663376630831962</v>
      </c>
      <c r="G269" s="199" t="s">
        <v>352</v>
      </c>
    </row>
    <row r="270" spans="2:7" x14ac:dyDescent="0.5">
      <c r="B270" s="160" t="s">
        <v>1577</v>
      </c>
      <c r="C270" s="190">
        <v>0.10035925163438431</v>
      </c>
      <c r="D270" s="190">
        <v>0.58803200706481684</v>
      </c>
      <c r="E270" s="190">
        <v>0.17066970918017058</v>
      </c>
      <c r="F270" s="190">
        <v>0.86482832359017581</v>
      </c>
      <c r="G270" s="193" t="s">
        <v>352</v>
      </c>
    </row>
    <row r="271" spans="2:7" x14ac:dyDescent="0.5">
      <c r="B271" s="160" t="s">
        <v>628</v>
      </c>
      <c r="C271" s="190">
        <v>2.1346819729855193E-2</v>
      </c>
      <c r="D271" s="190">
        <v>0.58803200706481684</v>
      </c>
      <c r="E271" s="190">
        <v>3.6302139124039561E-2</v>
      </c>
      <c r="F271" s="190">
        <v>0.97111381246631379</v>
      </c>
      <c r="G271" s="193" t="s">
        <v>352</v>
      </c>
    </row>
    <row r="272" spans="2:7" x14ac:dyDescent="0.5">
      <c r="B272" s="160" t="s">
        <v>1578</v>
      </c>
      <c r="C272" s="190">
        <v>1.189270849538596</v>
      </c>
      <c r="D272" s="190">
        <v>0.58803200706481684</v>
      </c>
      <c r="E272" s="190">
        <v>2.0224593818878751</v>
      </c>
      <c r="F272" s="190">
        <v>4.5798952868701927E-2</v>
      </c>
      <c r="G272" s="193" t="s">
        <v>351</v>
      </c>
    </row>
    <row r="273" spans="2:7" x14ac:dyDescent="0.5">
      <c r="B273" s="160" t="s">
        <v>1579</v>
      </c>
      <c r="C273" s="190">
        <v>1.1892708495385957</v>
      </c>
      <c r="D273" s="190">
        <v>0.58803200706481684</v>
      </c>
      <c r="E273" s="190">
        <v>2.0224593818878747</v>
      </c>
      <c r="F273" s="190">
        <v>4.5798952868702239E-2</v>
      </c>
      <c r="G273" s="193" t="s">
        <v>351</v>
      </c>
    </row>
    <row r="274" spans="2:7" x14ac:dyDescent="0.5">
      <c r="B274" s="160" t="s">
        <v>764</v>
      </c>
      <c r="C274" s="190">
        <v>1.1892708495385951</v>
      </c>
      <c r="D274" s="190">
        <v>0.58803200706481684</v>
      </c>
      <c r="E274" s="190">
        <v>2.0224593818878733</v>
      </c>
      <c r="F274" s="190">
        <v>4.5798952868702239E-2</v>
      </c>
      <c r="G274" s="193" t="s">
        <v>351</v>
      </c>
    </row>
    <row r="275" spans="2:7" x14ac:dyDescent="0.5">
      <c r="B275" s="160" t="s">
        <v>1580</v>
      </c>
      <c r="C275" s="190">
        <v>1.1892708495385926</v>
      </c>
      <c r="D275" s="190">
        <v>0.58803200706481684</v>
      </c>
      <c r="E275" s="190">
        <v>2.0224593818878693</v>
      </c>
      <c r="F275" s="190">
        <v>4.5798952868702544E-2</v>
      </c>
      <c r="G275" s="193" t="s">
        <v>351</v>
      </c>
    </row>
    <row r="276" spans="2:7" x14ac:dyDescent="0.5">
      <c r="B276" s="160" t="s">
        <v>766</v>
      </c>
      <c r="C276" s="190">
        <v>1.1048691903337864</v>
      </c>
      <c r="D276" s="190">
        <v>0.58803200706481684</v>
      </c>
      <c r="E276" s="190">
        <v>1.8789269581579091</v>
      </c>
      <c r="F276" s="190">
        <v>6.3166708400526114E-2</v>
      </c>
      <c r="G276" s="193" t="s">
        <v>352</v>
      </c>
    </row>
    <row r="277" spans="2:7" x14ac:dyDescent="0.5">
      <c r="B277" s="160" t="s">
        <v>765</v>
      </c>
      <c r="C277" s="190">
        <v>0.9693939805852092</v>
      </c>
      <c r="D277" s="190">
        <v>0.58803200706481684</v>
      </c>
      <c r="E277" s="190">
        <v>1.6485394824407169</v>
      </c>
      <c r="F277" s="190">
        <v>0.10238038071087653</v>
      </c>
      <c r="G277" s="193" t="s">
        <v>352</v>
      </c>
    </row>
    <row r="278" spans="2:7" x14ac:dyDescent="0.5">
      <c r="B278" s="160" t="s">
        <v>1581</v>
      </c>
      <c r="C278" s="190">
        <v>0.56837847786584184</v>
      </c>
      <c r="D278" s="190">
        <v>0.58803200706481684</v>
      </c>
      <c r="E278" s="190">
        <v>0.9665774499298494</v>
      </c>
      <c r="F278" s="190">
        <v>0.3360871367989835</v>
      </c>
      <c r="G278" s="199" t="s">
        <v>352</v>
      </c>
    </row>
    <row r="279" spans="2:7" x14ac:dyDescent="0.5">
      <c r="B279" s="160" t="s">
        <v>767</v>
      </c>
      <c r="C279" s="190">
        <v>0.16759457337175188</v>
      </c>
      <c r="D279" s="190">
        <v>0.58803200706481684</v>
      </c>
      <c r="E279" s="190">
        <v>0.28500927051285235</v>
      </c>
      <c r="F279" s="190">
        <v>0.77622647201442729</v>
      </c>
      <c r="G279" s="193" t="s">
        <v>352</v>
      </c>
    </row>
    <row r="280" spans="2:7" x14ac:dyDescent="0.5">
      <c r="B280" s="160" t="s">
        <v>1582</v>
      </c>
      <c r="C280" s="190">
        <v>0.12296833250656625</v>
      </c>
      <c r="D280" s="190">
        <v>0.58803200706481684</v>
      </c>
      <c r="E280" s="190">
        <v>0.20911843408042899</v>
      </c>
      <c r="F280" s="190">
        <v>0.83478118462602979</v>
      </c>
      <c r="G280" s="193" t="s">
        <v>352</v>
      </c>
    </row>
    <row r="281" spans="2:7" x14ac:dyDescent="0.5">
      <c r="B281" s="160" t="s">
        <v>768</v>
      </c>
      <c r="C281" s="190">
        <v>7.9012431904529112E-2</v>
      </c>
      <c r="D281" s="190">
        <v>0.58803200706481684</v>
      </c>
      <c r="E281" s="190">
        <v>0.13436757005613104</v>
      </c>
      <c r="F281" s="190">
        <v>0.89338198945062253</v>
      </c>
      <c r="G281" s="193" t="s">
        <v>352</v>
      </c>
    </row>
    <row r="282" spans="2:7" x14ac:dyDescent="0.5">
      <c r="B282" s="160" t="s">
        <v>565</v>
      </c>
      <c r="C282" s="190">
        <v>1.1102584176340669</v>
      </c>
      <c r="D282" s="190">
        <v>0.58803200706481684</v>
      </c>
      <c r="E282" s="190">
        <v>1.8880918118317438</v>
      </c>
      <c r="F282" s="190">
        <v>6.1912383251772014E-2</v>
      </c>
      <c r="G282" s="193" t="s">
        <v>352</v>
      </c>
    </row>
    <row r="283" spans="2:7" x14ac:dyDescent="0.5">
      <c r="B283" s="160" t="s">
        <v>566</v>
      </c>
      <c r="C283" s="190">
        <v>1.1102584176340666</v>
      </c>
      <c r="D283" s="190">
        <v>0.58803200706481684</v>
      </c>
      <c r="E283" s="190">
        <v>1.8880918118317436</v>
      </c>
      <c r="F283" s="190">
        <v>6.1912383251772431E-2</v>
      </c>
      <c r="G283" s="193" t="s">
        <v>352</v>
      </c>
    </row>
    <row r="284" spans="2:7" x14ac:dyDescent="0.5">
      <c r="B284" s="160" t="s">
        <v>561</v>
      </c>
      <c r="C284" s="190">
        <v>1.110258417634066</v>
      </c>
      <c r="D284" s="190">
        <v>0.58803200706481684</v>
      </c>
      <c r="E284" s="190">
        <v>1.8880918118317425</v>
      </c>
      <c r="F284" s="190">
        <v>6.1912383251772431E-2</v>
      </c>
      <c r="G284" s="193" t="s">
        <v>352</v>
      </c>
    </row>
    <row r="285" spans="2:7" x14ac:dyDescent="0.5">
      <c r="B285" s="160" t="s">
        <v>560</v>
      </c>
      <c r="C285" s="190">
        <v>1.1102584176340635</v>
      </c>
      <c r="D285" s="190">
        <v>0.58803200706481684</v>
      </c>
      <c r="E285" s="190">
        <v>1.8880918118317382</v>
      </c>
      <c r="F285" s="190">
        <v>6.1912383251772868E-2</v>
      </c>
      <c r="G285" s="193" t="s">
        <v>352</v>
      </c>
    </row>
    <row r="286" spans="2:7" x14ac:dyDescent="0.5">
      <c r="B286" s="160" t="s">
        <v>563</v>
      </c>
      <c r="C286" s="190">
        <v>1.0258567584292573</v>
      </c>
      <c r="D286" s="190">
        <v>0.58803200706481684</v>
      </c>
      <c r="E286" s="190">
        <v>1.744559388101778</v>
      </c>
      <c r="F286" s="190">
        <v>8.4133987837780699E-2</v>
      </c>
      <c r="G286" s="199" t="s">
        <v>352</v>
      </c>
    </row>
    <row r="287" spans="2:7" x14ac:dyDescent="0.5">
      <c r="B287" s="160" t="s">
        <v>562</v>
      </c>
      <c r="C287" s="190">
        <v>0.89038154868068009</v>
      </c>
      <c r="D287" s="190">
        <v>0.58803200706481684</v>
      </c>
      <c r="E287" s="190">
        <v>1.514171912384586</v>
      </c>
      <c r="F287" s="190">
        <v>0.13313661783231873</v>
      </c>
      <c r="G287" s="193" t="s">
        <v>352</v>
      </c>
    </row>
    <row r="288" spans="2:7" x14ac:dyDescent="0.5">
      <c r="B288" s="160" t="s">
        <v>1583</v>
      </c>
      <c r="C288" s="190">
        <v>0.48936604596131272</v>
      </c>
      <c r="D288" s="190">
        <v>0.58803200706481684</v>
      </c>
      <c r="E288" s="190">
        <v>0.83220987987371831</v>
      </c>
      <c r="F288" s="190">
        <v>0.40727348696978033</v>
      </c>
      <c r="G288" s="193" t="s">
        <v>352</v>
      </c>
    </row>
    <row r="289" spans="2:7" x14ac:dyDescent="0.5">
      <c r="B289" s="160" t="s">
        <v>568</v>
      </c>
      <c r="C289" s="190">
        <v>8.8582141467222764E-2</v>
      </c>
      <c r="D289" s="190">
        <v>0.58803200706481684</v>
      </c>
      <c r="E289" s="190">
        <v>0.15064170045672129</v>
      </c>
      <c r="F289" s="190">
        <v>0.88056181253280374</v>
      </c>
      <c r="G289" s="193" t="s">
        <v>352</v>
      </c>
    </row>
    <row r="290" spans="2:7" x14ac:dyDescent="0.5">
      <c r="B290" s="160" t="s">
        <v>567</v>
      </c>
      <c r="C290" s="190">
        <v>4.3955900602037135E-2</v>
      </c>
      <c r="D290" s="190">
        <v>0.58803200706481684</v>
      </c>
      <c r="E290" s="190">
        <v>7.4750864024297953E-2</v>
      </c>
      <c r="F290" s="190">
        <v>0.94056226851557756</v>
      </c>
      <c r="G290" s="193" t="s">
        <v>352</v>
      </c>
    </row>
    <row r="291" spans="2:7" x14ac:dyDescent="0.5">
      <c r="B291" s="160" t="s">
        <v>596</v>
      </c>
      <c r="C291" s="190">
        <v>1.0663025170320297</v>
      </c>
      <c r="D291" s="190">
        <v>0.58803200706481684</v>
      </c>
      <c r="E291" s="190">
        <v>1.813340947807446</v>
      </c>
      <c r="F291" s="190">
        <v>7.2778822133482357E-2</v>
      </c>
      <c r="G291" s="193" t="s">
        <v>352</v>
      </c>
    </row>
    <row r="292" spans="2:7" x14ac:dyDescent="0.5">
      <c r="B292" s="160" t="s">
        <v>597</v>
      </c>
      <c r="C292" s="190">
        <v>1.0663025170320295</v>
      </c>
      <c r="D292" s="190">
        <v>0.58803200706481684</v>
      </c>
      <c r="E292" s="190">
        <v>1.8133409478074456</v>
      </c>
      <c r="F292" s="190">
        <v>7.2778822133482898E-2</v>
      </c>
      <c r="G292" s="193" t="s">
        <v>352</v>
      </c>
    </row>
    <row r="293" spans="2:7" x14ac:dyDescent="0.5">
      <c r="B293" s="160" t="s">
        <v>592</v>
      </c>
      <c r="C293" s="190">
        <v>1.0663025170320288</v>
      </c>
      <c r="D293" s="190">
        <v>0.58803200706481684</v>
      </c>
      <c r="E293" s="190">
        <v>1.8133409478074445</v>
      </c>
      <c r="F293" s="190">
        <v>7.2778822133482898E-2</v>
      </c>
      <c r="G293" s="193" t="s">
        <v>352</v>
      </c>
    </row>
    <row r="294" spans="2:7" x14ac:dyDescent="0.5">
      <c r="B294" s="160" t="s">
        <v>591</v>
      </c>
      <c r="C294" s="190">
        <v>1.0663025170320264</v>
      </c>
      <c r="D294" s="190">
        <v>0.58803200706481684</v>
      </c>
      <c r="E294" s="190">
        <v>1.8133409478074403</v>
      </c>
      <c r="F294" s="190">
        <v>7.2778822133483384E-2</v>
      </c>
      <c r="G294" s="193" t="s">
        <v>352</v>
      </c>
    </row>
    <row r="295" spans="2:7" x14ac:dyDescent="0.5">
      <c r="B295" s="160" t="s">
        <v>594</v>
      </c>
      <c r="C295" s="190">
        <v>0.98190085782722014</v>
      </c>
      <c r="D295" s="190">
        <v>0.58803200706481684</v>
      </c>
      <c r="E295" s="190">
        <v>1.66980852407748</v>
      </c>
      <c r="F295" s="190">
        <v>9.8084780342763703E-2</v>
      </c>
      <c r="G295" s="193" t="s">
        <v>352</v>
      </c>
    </row>
    <row r="296" spans="2:7" x14ac:dyDescent="0.5">
      <c r="B296" s="160" t="s">
        <v>593</v>
      </c>
      <c r="C296" s="190">
        <v>0.84642564807864296</v>
      </c>
      <c r="D296" s="190">
        <v>0.58803200706481684</v>
      </c>
      <c r="E296" s="190">
        <v>1.4394210483602881</v>
      </c>
      <c r="F296" s="190">
        <v>0.15315427571513457</v>
      </c>
      <c r="G296" s="193" t="s">
        <v>352</v>
      </c>
    </row>
    <row r="297" spans="2:7" x14ac:dyDescent="0.5">
      <c r="B297" s="160" t="s">
        <v>750</v>
      </c>
      <c r="C297" s="190">
        <v>0.44541014535927559</v>
      </c>
      <c r="D297" s="190">
        <v>0.58803200706481684</v>
      </c>
      <c r="E297" s="190">
        <v>0.75745901584942044</v>
      </c>
      <c r="F297" s="190">
        <v>0.45055608786653289</v>
      </c>
      <c r="G297" s="193" t="s">
        <v>352</v>
      </c>
    </row>
    <row r="298" spans="2:7" x14ac:dyDescent="0.5">
      <c r="B298" s="160" t="s">
        <v>748</v>
      </c>
      <c r="C298" s="190">
        <v>4.4626240865185629E-2</v>
      </c>
      <c r="D298" s="190">
        <v>0.58803200706481684</v>
      </c>
      <c r="E298" s="190">
        <v>7.589083643242335E-2</v>
      </c>
      <c r="F298" s="190">
        <v>0.93965756880940998</v>
      </c>
      <c r="G298" s="193" t="s">
        <v>352</v>
      </c>
    </row>
    <row r="299" spans="2:7" x14ac:dyDescent="0.5">
      <c r="B299" s="160" t="s">
        <v>581</v>
      </c>
      <c r="C299" s="190">
        <v>1.0216762761668441</v>
      </c>
      <c r="D299" s="190">
        <v>0.58803200706481684</v>
      </c>
      <c r="E299" s="190">
        <v>1.7374501113750225</v>
      </c>
      <c r="F299" s="190">
        <v>8.5386497576129997E-2</v>
      </c>
      <c r="G299" s="193" t="s">
        <v>352</v>
      </c>
    </row>
    <row r="300" spans="2:7" x14ac:dyDescent="0.5">
      <c r="B300" s="160" t="s">
        <v>582</v>
      </c>
      <c r="C300" s="190">
        <v>1.0216762761668439</v>
      </c>
      <c r="D300" s="190">
        <v>0.58803200706481684</v>
      </c>
      <c r="E300" s="190">
        <v>1.7374501113750223</v>
      </c>
      <c r="F300" s="190">
        <v>8.5386497576129997E-2</v>
      </c>
      <c r="G300" s="193" t="s">
        <v>352</v>
      </c>
    </row>
    <row r="301" spans="2:7" x14ac:dyDescent="0.5">
      <c r="B301" s="160" t="s">
        <v>577</v>
      </c>
      <c r="C301" s="190">
        <v>1.0216762761668432</v>
      </c>
      <c r="D301" s="190">
        <v>0.58803200706481684</v>
      </c>
      <c r="E301" s="190">
        <v>1.7374501113750211</v>
      </c>
      <c r="F301" s="190">
        <v>8.5386497576129997E-2</v>
      </c>
      <c r="G301" s="193" t="s">
        <v>352</v>
      </c>
    </row>
    <row r="302" spans="2:7" x14ac:dyDescent="0.5">
      <c r="B302" s="160" t="s">
        <v>576</v>
      </c>
      <c r="C302" s="190">
        <v>1.0216762761668408</v>
      </c>
      <c r="D302" s="190">
        <v>0.58803200706481684</v>
      </c>
      <c r="E302" s="190">
        <v>1.7374501113750169</v>
      </c>
      <c r="F302" s="190">
        <v>8.5386497576130621E-2</v>
      </c>
      <c r="G302" s="193" t="s">
        <v>352</v>
      </c>
    </row>
    <row r="303" spans="2:7" x14ac:dyDescent="0.5">
      <c r="B303" s="160" t="s">
        <v>579</v>
      </c>
      <c r="C303" s="190">
        <v>0.93727461696203451</v>
      </c>
      <c r="D303" s="190">
        <v>0.58803200706481684</v>
      </c>
      <c r="E303" s="190">
        <v>1.5939176876450567</v>
      </c>
      <c r="F303" s="190">
        <v>0.11411041942238875</v>
      </c>
      <c r="G303" s="193" t="s">
        <v>352</v>
      </c>
    </row>
    <row r="304" spans="2:7" x14ac:dyDescent="0.5">
      <c r="B304" s="160" t="s">
        <v>578</v>
      </c>
      <c r="C304" s="190">
        <v>0.80179940721345733</v>
      </c>
      <c r="D304" s="190">
        <v>0.58803200706481684</v>
      </c>
      <c r="E304" s="190">
        <v>1.3635302119278647</v>
      </c>
      <c r="F304" s="190">
        <v>0.17577725346480094</v>
      </c>
      <c r="G304" s="199" t="s">
        <v>352</v>
      </c>
    </row>
    <row r="305" spans="2:7" x14ac:dyDescent="0.5">
      <c r="B305" s="160" t="s">
        <v>1584</v>
      </c>
      <c r="C305" s="190">
        <v>0.40078390449408996</v>
      </c>
      <c r="D305" s="190">
        <v>0.58803200706481684</v>
      </c>
      <c r="E305" s="190">
        <v>0.6815681794169971</v>
      </c>
      <c r="F305" s="190">
        <v>0.49708749069870423</v>
      </c>
      <c r="G305" s="193" t="s">
        <v>352</v>
      </c>
    </row>
    <row r="306" spans="2:7" x14ac:dyDescent="0.5">
      <c r="B306" s="160" t="s">
        <v>548</v>
      </c>
      <c r="C306" s="190">
        <v>0.62089237167275402</v>
      </c>
      <c r="D306" s="190">
        <v>0.58803200706481684</v>
      </c>
      <c r="E306" s="190">
        <v>1.0558819319580253</v>
      </c>
      <c r="F306" s="190">
        <v>0.29356642664323263</v>
      </c>
      <c r="G306" s="193" t="s">
        <v>352</v>
      </c>
    </row>
    <row r="307" spans="2:7" x14ac:dyDescent="0.5">
      <c r="B307" s="160" t="s">
        <v>549</v>
      </c>
      <c r="C307" s="190">
        <v>0.6208923716727538</v>
      </c>
      <c r="D307" s="190">
        <v>0.58803200706481684</v>
      </c>
      <c r="E307" s="190">
        <v>1.055881931958025</v>
      </c>
      <c r="F307" s="190">
        <v>0.29356642664323263</v>
      </c>
      <c r="G307" s="193" t="s">
        <v>352</v>
      </c>
    </row>
    <row r="308" spans="2:7" x14ac:dyDescent="0.5">
      <c r="B308" s="160" t="s">
        <v>544</v>
      </c>
      <c r="C308" s="190">
        <v>0.62089237167275335</v>
      </c>
      <c r="D308" s="190">
        <v>0.58803200706481684</v>
      </c>
      <c r="E308" s="190">
        <v>1.0558819319580242</v>
      </c>
      <c r="F308" s="190">
        <v>0.29356642664323263</v>
      </c>
      <c r="G308" s="193" t="s">
        <v>352</v>
      </c>
    </row>
    <row r="309" spans="2:7" x14ac:dyDescent="0.5">
      <c r="B309" s="160" t="s">
        <v>543</v>
      </c>
      <c r="C309" s="190">
        <v>0.6208923716727508</v>
      </c>
      <c r="D309" s="190">
        <v>0.58803200706481684</v>
      </c>
      <c r="E309" s="190">
        <v>1.0558819319580199</v>
      </c>
      <c r="F309" s="190">
        <v>0.29356642664323507</v>
      </c>
      <c r="G309" s="193" t="s">
        <v>352</v>
      </c>
    </row>
    <row r="310" spans="2:7" x14ac:dyDescent="0.5">
      <c r="B310" s="160" t="s">
        <v>546</v>
      </c>
      <c r="C310" s="190">
        <v>0.53649071246794455</v>
      </c>
      <c r="D310" s="190">
        <v>0.58803200706481684</v>
      </c>
      <c r="E310" s="190">
        <v>0.91234950822805971</v>
      </c>
      <c r="F310" s="190">
        <v>0.36377902376837606</v>
      </c>
      <c r="G310" s="193" t="s">
        <v>352</v>
      </c>
    </row>
    <row r="311" spans="2:7" x14ac:dyDescent="0.5">
      <c r="B311" s="160" t="s">
        <v>545</v>
      </c>
      <c r="C311" s="190">
        <v>0.40101550271936731</v>
      </c>
      <c r="D311" s="190">
        <v>0.58803200706481684</v>
      </c>
      <c r="E311" s="190">
        <v>0.68196203251086751</v>
      </c>
      <c r="F311" s="190">
        <v>0.49683947187589317</v>
      </c>
      <c r="G311" s="193" t="s">
        <v>352</v>
      </c>
    </row>
    <row r="312" spans="2:7" x14ac:dyDescent="0.5">
      <c r="B312" s="160" t="s">
        <v>1585</v>
      </c>
      <c r="C312" s="190">
        <v>0.21987686895338673</v>
      </c>
      <c r="D312" s="190">
        <v>0.58803200706481684</v>
      </c>
      <c r="E312" s="190">
        <v>0.37391989944715787</v>
      </c>
      <c r="F312" s="190">
        <v>0.70925553433021149</v>
      </c>
      <c r="G312" s="193" t="s">
        <v>352</v>
      </c>
    </row>
    <row r="313" spans="2:7" x14ac:dyDescent="0.5">
      <c r="B313" s="160" t="s">
        <v>1586</v>
      </c>
      <c r="C313" s="190">
        <v>0.21987686895338648</v>
      </c>
      <c r="D313" s="190">
        <v>0.58803200706481684</v>
      </c>
      <c r="E313" s="190">
        <v>0.37391989944715742</v>
      </c>
      <c r="F313" s="190">
        <v>0.70925553433021149</v>
      </c>
      <c r="G313" s="193" t="s">
        <v>352</v>
      </c>
    </row>
    <row r="314" spans="2:7" x14ac:dyDescent="0.5">
      <c r="B314" s="160" t="s">
        <v>652</v>
      </c>
      <c r="C314" s="190">
        <v>0.21987686895338601</v>
      </c>
      <c r="D314" s="190">
        <v>0.58803200706481684</v>
      </c>
      <c r="E314" s="190">
        <v>0.37391989944715665</v>
      </c>
      <c r="F314" s="190">
        <v>0.70925553433021149</v>
      </c>
      <c r="G314" s="193" t="s">
        <v>352</v>
      </c>
    </row>
    <row r="315" spans="2:7" x14ac:dyDescent="0.5">
      <c r="B315" s="160" t="s">
        <v>651</v>
      </c>
      <c r="C315" s="190">
        <v>0.21987686895338349</v>
      </c>
      <c r="D315" s="190">
        <v>0.58803200706481684</v>
      </c>
      <c r="E315" s="190">
        <v>0.37391989944715232</v>
      </c>
      <c r="F315" s="190">
        <v>0.70925553433021149</v>
      </c>
      <c r="G315" s="193" t="s">
        <v>352</v>
      </c>
    </row>
    <row r="316" spans="2:7" x14ac:dyDescent="0.5">
      <c r="B316" s="160" t="s">
        <v>1587</v>
      </c>
      <c r="C316" s="190">
        <v>0.1354752097485773</v>
      </c>
      <c r="D316" s="190">
        <v>0.58803200706481684</v>
      </c>
      <c r="E316" s="190">
        <v>0.23038747571719223</v>
      </c>
      <c r="F316" s="190">
        <v>0.8182613471947614</v>
      </c>
      <c r="G316" s="193" t="s">
        <v>352</v>
      </c>
    </row>
    <row r="317" spans="2:7" x14ac:dyDescent="0.5">
      <c r="B317" s="160" t="s">
        <v>1588</v>
      </c>
      <c r="C317" s="190">
        <v>8.4401659204809437E-2</v>
      </c>
      <c r="D317" s="190">
        <v>0.58803200706481684</v>
      </c>
      <c r="E317" s="190">
        <v>0.14353242372996564</v>
      </c>
      <c r="F317" s="190">
        <v>0.88615854438222541</v>
      </c>
      <c r="G317" s="193" t="s">
        <v>352</v>
      </c>
    </row>
    <row r="318" spans="2:7" x14ac:dyDescent="0.5">
      <c r="B318" s="160" t="s">
        <v>1589</v>
      </c>
      <c r="C318" s="190">
        <v>8.4401659204809201E-2</v>
      </c>
      <c r="D318" s="190">
        <v>0.58803200706481684</v>
      </c>
      <c r="E318" s="190">
        <v>0.14353242372996525</v>
      </c>
      <c r="F318" s="190">
        <v>0.88615854438225594</v>
      </c>
      <c r="G318" s="193" t="s">
        <v>352</v>
      </c>
    </row>
    <row r="319" spans="2:7" x14ac:dyDescent="0.5">
      <c r="B319" s="160" t="s">
        <v>642</v>
      </c>
      <c r="C319" s="190">
        <v>8.4401659204808743E-2</v>
      </c>
      <c r="D319" s="190">
        <v>0.58803200706481684</v>
      </c>
      <c r="E319" s="190">
        <v>0.14353242372996444</v>
      </c>
      <c r="F319" s="190">
        <v>0.88615854438225594</v>
      </c>
      <c r="G319" s="193" t="s">
        <v>352</v>
      </c>
    </row>
    <row r="320" spans="2:7" x14ac:dyDescent="0.5">
      <c r="B320" s="160" t="s">
        <v>641</v>
      </c>
      <c r="C320" s="190">
        <v>8.4401659204806204E-2</v>
      </c>
      <c r="D320" s="190">
        <v>0.58803200706481684</v>
      </c>
      <c r="E320" s="190">
        <v>0.14353242372996014</v>
      </c>
      <c r="F320" s="190">
        <v>0.88615854438225594</v>
      </c>
      <c r="G320" s="193" t="s">
        <v>352</v>
      </c>
    </row>
    <row r="321" spans="2:9" x14ac:dyDescent="0.5">
      <c r="B321" s="160" t="s">
        <v>1503</v>
      </c>
      <c r="C321" s="190">
        <v>3.2351900421096523E-15</v>
      </c>
      <c r="D321" s="190">
        <v>0.58803200706481684</v>
      </c>
      <c r="E321" s="190">
        <v>5.5017244014628067E-15</v>
      </c>
      <c r="F321" s="190">
        <v>1</v>
      </c>
      <c r="G321" s="199" t="s">
        <v>352</v>
      </c>
    </row>
    <row r="322" spans="2:9" x14ac:dyDescent="0.5">
      <c r="B322" s="160" t="s">
        <v>771</v>
      </c>
      <c r="C322" s="190">
        <v>2.9980750269870721E-15</v>
      </c>
      <c r="D322" s="190">
        <v>0.58803200706481684</v>
      </c>
      <c r="E322" s="190">
        <v>5.0984895226232203E-15</v>
      </c>
      <c r="F322" s="190">
        <v>1</v>
      </c>
      <c r="G322" s="193" t="s">
        <v>352</v>
      </c>
    </row>
    <row r="323" spans="2:9" x14ac:dyDescent="0.5">
      <c r="B323" s="160" t="s">
        <v>770</v>
      </c>
      <c r="C323" s="190">
        <v>2.533156387700249E-15</v>
      </c>
      <c r="D323" s="190">
        <v>0.58803200706481684</v>
      </c>
      <c r="E323" s="190">
        <v>4.3078546019026946E-15</v>
      </c>
      <c r="F323" s="190">
        <v>1</v>
      </c>
      <c r="G323" s="193" t="s">
        <v>352</v>
      </c>
    </row>
    <row r="324" spans="2:9" x14ac:dyDescent="0.5">
      <c r="B324" s="160" t="s">
        <v>1590</v>
      </c>
      <c r="C324" s="190">
        <v>7.0203365440940333E-16</v>
      </c>
      <c r="D324" s="190">
        <v>0.58803200706481684</v>
      </c>
      <c r="E324" s="190">
        <v>1.1938697995601121E-15</v>
      </c>
      <c r="F324" s="190">
        <v>1</v>
      </c>
      <c r="G324" s="193" t="s">
        <v>352</v>
      </c>
    </row>
    <row r="325" spans="2:9" x14ac:dyDescent="0.5">
      <c r="B325" s="160" t="s">
        <v>1591</v>
      </c>
      <c r="C325" s="190">
        <v>4.6491863928682312E-16</v>
      </c>
      <c r="D325" s="190">
        <v>0.58803200706481684</v>
      </c>
      <c r="E325" s="190">
        <v>7.9063492072052582E-16</v>
      </c>
      <c r="F325" s="190">
        <v>1</v>
      </c>
      <c r="G325" s="199" t="s">
        <v>352</v>
      </c>
    </row>
    <row r="326" spans="2:9" ht="14.7" thickBot="1" x14ac:dyDescent="0.55000000000000004">
      <c r="B326" s="167" t="s">
        <v>610</v>
      </c>
      <c r="C326" s="191">
        <v>2.3711501512258021E-16</v>
      </c>
      <c r="D326" s="191">
        <v>0.58803200706481684</v>
      </c>
      <c r="E326" s="191">
        <v>4.0323487883958635E-16</v>
      </c>
      <c r="F326" s="191">
        <v>1</v>
      </c>
      <c r="G326" s="206" t="s">
        <v>352</v>
      </c>
    </row>
    <row r="327" spans="2:9" x14ac:dyDescent="0.5">
      <c r="B327" s="194" t="s">
        <v>353</v>
      </c>
      <c r="E327" s="195">
        <v>5.1489889870125749</v>
      </c>
    </row>
    <row r="329" spans="2:9" ht="14.7" thickBot="1" x14ac:dyDescent="0.55000000000000004"/>
    <row r="330" spans="2:9" x14ac:dyDescent="0.5">
      <c r="B330" s="161" t="s">
        <v>354</v>
      </c>
      <c r="C330" s="162" t="s">
        <v>355</v>
      </c>
      <c r="D330" s="315" t="s">
        <v>360</v>
      </c>
      <c r="E330" s="316"/>
      <c r="F330" s="316"/>
      <c r="G330" s="316"/>
      <c r="H330" s="316"/>
      <c r="I330" s="316"/>
    </row>
    <row r="331" spans="2:9" x14ac:dyDescent="0.5">
      <c r="B331" s="163" t="s">
        <v>482</v>
      </c>
      <c r="C331" s="168">
        <v>4.0120897188086939</v>
      </c>
      <c r="D331" s="196" t="s">
        <v>356</v>
      </c>
      <c r="E331" s="196"/>
      <c r="F331" s="196"/>
      <c r="G331" s="196"/>
      <c r="H331" s="196"/>
      <c r="I331" s="196"/>
    </row>
    <row r="332" spans="2:9" x14ac:dyDescent="0.5">
      <c r="B332" s="160" t="s">
        <v>487</v>
      </c>
      <c r="C332" s="169">
        <v>3.8826345312704471</v>
      </c>
      <c r="D332" s="197" t="s">
        <v>356</v>
      </c>
      <c r="E332" s="197"/>
      <c r="F332" s="197"/>
      <c r="G332" s="197"/>
      <c r="H332" s="197"/>
      <c r="I332" s="197"/>
    </row>
    <row r="333" spans="2:9" x14ac:dyDescent="0.5">
      <c r="B333" s="160" t="s">
        <v>492</v>
      </c>
      <c r="C333" s="169">
        <v>3.6905494047146852</v>
      </c>
      <c r="D333" s="197" t="s">
        <v>356</v>
      </c>
      <c r="E333" s="197"/>
      <c r="F333" s="197"/>
      <c r="G333" s="197"/>
      <c r="H333" s="197"/>
      <c r="I333" s="197"/>
    </row>
    <row r="334" spans="2:9" x14ac:dyDescent="0.5">
      <c r="B334" s="160" t="s">
        <v>497</v>
      </c>
      <c r="C334" s="169">
        <v>3.455561715076549</v>
      </c>
      <c r="D334" s="197" t="s">
        <v>356</v>
      </c>
      <c r="E334" s="197" t="s">
        <v>357</v>
      </c>
      <c r="F334" s="197"/>
      <c r="G334" s="197"/>
      <c r="H334" s="197"/>
      <c r="I334" s="197"/>
    </row>
    <row r="335" spans="2:9" x14ac:dyDescent="0.5">
      <c r="B335" s="160" t="s">
        <v>479</v>
      </c>
      <c r="C335" s="169">
        <v>2.5217734326770396</v>
      </c>
      <c r="D335" s="197"/>
      <c r="E335" s="197" t="s">
        <v>357</v>
      </c>
      <c r="F335" s="197" t="s">
        <v>358</v>
      </c>
      <c r="G335" s="197"/>
      <c r="H335" s="197"/>
      <c r="I335" s="197"/>
    </row>
    <row r="336" spans="2:9" x14ac:dyDescent="0.5">
      <c r="B336" s="160" t="s">
        <v>486</v>
      </c>
      <c r="C336" s="169">
        <v>1.7732090932445452</v>
      </c>
      <c r="D336" s="197"/>
      <c r="E336" s="197"/>
      <c r="F336" s="197" t="s">
        <v>358</v>
      </c>
      <c r="G336" s="197" t="s">
        <v>2</v>
      </c>
      <c r="H336" s="197"/>
      <c r="I336" s="197"/>
    </row>
    <row r="337" spans="2:9" x14ac:dyDescent="0.5">
      <c r="B337" s="160" t="s">
        <v>484</v>
      </c>
      <c r="C337" s="169">
        <v>1.7096145786756374</v>
      </c>
      <c r="D337" s="197"/>
      <c r="E337" s="197"/>
      <c r="F337" s="197" t="s">
        <v>358</v>
      </c>
      <c r="G337" s="197" t="s">
        <v>2</v>
      </c>
      <c r="H337" s="197"/>
      <c r="I337" s="197"/>
    </row>
    <row r="338" spans="2:9" x14ac:dyDescent="0.5">
      <c r="B338" s="160" t="s">
        <v>481</v>
      </c>
      <c r="C338" s="169">
        <v>1.4436232233816708</v>
      </c>
      <c r="D338" s="197"/>
      <c r="E338" s="197"/>
      <c r="F338" s="197" t="s">
        <v>358</v>
      </c>
      <c r="G338" s="197" t="s">
        <v>2</v>
      </c>
      <c r="H338" s="197"/>
      <c r="I338" s="197"/>
    </row>
    <row r="339" spans="2:9" x14ac:dyDescent="0.5">
      <c r="B339" s="160" t="s">
        <v>489</v>
      </c>
      <c r="C339" s="169">
        <v>1.2106176692684507</v>
      </c>
      <c r="D339" s="197"/>
      <c r="E339" s="197"/>
      <c r="F339" s="197"/>
      <c r="G339" s="197" t="s">
        <v>2</v>
      </c>
      <c r="H339" s="197" t="s">
        <v>359</v>
      </c>
      <c r="I339" s="197"/>
    </row>
    <row r="340" spans="2:9" x14ac:dyDescent="0.5">
      <c r="B340" s="160" t="s">
        <v>480</v>
      </c>
      <c r="C340" s="169">
        <v>1.1892708495385955</v>
      </c>
      <c r="D340" s="197"/>
      <c r="E340" s="197"/>
      <c r="F340" s="197"/>
      <c r="G340" s="197" t="s">
        <v>2</v>
      </c>
      <c r="H340" s="197" t="s">
        <v>359</v>
      </c>
      <c r="I340" s="197"/>
    </row>
    <row r="341" spans="2:9" x14ac:dyDescent="0.5">
      <c r="B341" s="160" t="s">
        <v>496</v>
      </c>
      <c r="C341" s="169">
        <v>1.1102584176340664</v>
      </c>
      <c r="D341" s="197"/>
      <c r="E341" s="197"/>
      <c r="F341" s="197"/>
      <c r="G341" s="197" t="s">
        <v>2</v>
      </c>
      <c r="H341" s="197" t="s">
        <v>359</v>
      </c>
      <c r="I341" s="197" t="s">
        <v>62</v>
      </c>
    </row>
    <row r="342" spans="2:9" x14ac:dyDescent="0.5">
      <c r="B342" s="160" t="s">
        <v>494</v>
      </c>
      <c r="C342" s="169">
        <v>1.0663025170320293</v>
      </c>
      <c r="D342" s="197"/>
      <c r="E342" s="197"/>
      <c r="F342" s="197"/>
      <c r="G342" s="197" t="s">
        <v>2</v>
      </c>
      <c r="H342" s="197" t="s">
        <v>359</v>
      </c>
      <c r="I342" s="197" t="s">
        <v>62</v>
      </c>
    </row>
    <row r="343" spans="2:9" x14ac:dyDescent="0.5">
      <c r="B343" s="160" t="s">
        <v>495</v>
      </c>
      <c r="C343" s="169">
        <v>1.0216762761668436</v>
      </c>
      <c r="D343" s="197"/>
      <c r="E343" s="197"/>
      <c r="F343" s="197"/>
      <c r="G343" s="197" t="s">
        <v>2</v>
      </c>
      <c r="H343" s="197" t="s">
        <v>359</v>
      </c>
      <c r="I343" s="197" t="s">
        <v>62</v>
      </c>
    </row>
    <row r="344" spans="2:9" x14ac:dyDescent="0.5">
      <c r="B344" s="160" t="s">
        <v>485</v>
      </c>
      <c r="C344" s="169">
        <v>0.6208923716727538</v>
      </c>
      <c r="D344" s="197"/>
      <c r="E344" s="197"/>
      <c r="F344" s="197"/>
      <c r="G344" s="197" t="s">
        <v>2</v>
      </c>
      <c r="H344" s="197" t="s">
        <v>359</v>
      </c>
      <c r="I344" s="197" t="s">
        <v>62</v>
      </c>
    </row>
    <row r="345" spans="2:9" x14ac:dyDescent="0.5">
      <c r="B345" s="160" t="s">
        <v>490</v>
      </c>
      <c r="C345" s="169">
        <v>0.21987686895338646</v>
      </c>
      <c r="D345" s="197"/>
      <c r="E345" s="197"/>
      <c r="F345" s="197"/>
      <c r="G345" s="197"/>
      <c r="H345" s="197" t="s">
        <v>359</v>
      </c>
      <c r="I345" s="197" t="s">
        <v>62</v>
      </c>
    </row>
    <row r="346" spans="2:9" x14ac:dyDescent="0.5">
      <c r="B346" s="160" t="s">
        <v>491</v>
      </c>
      <c r="C346" s="169">
        <v>8.4401659204809173E-2</v>
      </c>
      <c r="D346" s="197"/>
      <c r="E346" s="197"/>
      <c r="F346" s="197"/>
      <c r="G346" s="197"/>
      <c r="H346" s="197" t="s">
        <v>359</v>
      </c>
      <c r="I346" s="197" t="s">
        <v>62</v>
      </c>
    </row>
    <row r="347" spans="2:9" x14ac:dyDescent="0.5">
      <c r="B347" s="160" t="s">
        <v>478</v>
      </c>
      <c r="C347" s="169">
        <v>2.9750899409303798E-15</v>
      </c>
      <c r="D347" s="197"/>
      <c r="E347" s="197"/>
      <c r="F347" s="197"/>
      <c r="G347" s="197"/>
      <c r="H347" s="197"/>
      <c r="I347" s="197" t="s">
        <v>62</v>
      </c>
    </row>
    <row r="348" spans="2:9" x14ac:dyDescent="0.5">
      <c r="B348" s="160" t="s">
        <v>488</v>
      </c>
      <c r="C348" s="169">
        <v>4.4193355323013082E-16</v>
      </c>
      <c r="D348" s="197"/>
      <c r="E348" s="197"/>
      <c r="F348" s="197"/>
      <c r="G348" s="197"/>
      <c r="H348" s="197"/>
      <c r="I348" s="197" t="s">
        <v>62</v>
      </c>
    </row>
    <row r="349" spans="2:9" x14ac:dyDescent="0.5">
      <c r="B349" s="160" t="s">
        <v>493</v>
      </c>
      <c r="C349" s="169">
        <v>-2.29850860566923E-17</v>
      </c>
      <c r="D349" s="197"/>
      <c r="E349" s="197"/>
      <c r="F349" s="197"/>
      <c r="G349" s="197"/>
      <c r="H349" s="197"/>
      <c r="I349" s="197" t="s">
        <v>62</v>
      </c>
    </row>
    <row r="350" spans="2:9" ht="14.7" thickBot="1" x14ac:dyDescent="0.55000000000000004">
      <c r="B350" s="167" t="s">
        <v>483</v>
      </c>
      <c r="C350" s="170">
        <v>-2.6010010117927251E-16</v>
      </c>
      <c r="D350" s="198"/>
      <c r="E350" s="198"/>
      <c r="F350" s="198"/>
      <c r="G350" s="198"/>
      <c r="H350" s="198"/>
      <c r="I350" s="198" t="s">
        <v>62</v>
      </c>
    </row>
  </sheetData>
  <mergeCells count="1">
    <mergeCell ref="D330:I330"/>
  </mergeCells>
  <pageMargins left="0.7" right="0.7" top="0.75" bottom="0.75" header="0.3" footer="0.3"/>
  <pageSetup paperSize="9" orientation="portrait" r:id="rId1"/>
  <ignoredErrors>
    <ignoredError sqref="A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F31937-FD03-47B9-A6A7-AE756038D6A9}">
  <dimension ref="B1:X350"/>
  <sheetViews>
    <sheetView topLeftCell="A136" zoomScaleNormal="100" workbookViewId="0">
      <selection activeCell="G176" sqref="G176"/>
    </sheetView>
  </sheetViews>
  <sheetFormatPr defaultRowHeight="14.35" x14ac:dyDescent="0.5"/>
  <cols>
    <col min="1" max="1" width="4.76171875" customWidth="1"/>
    <col min="2" max="2" width="62.46875" customWidth="1"/>
  </cols>
  <sheetData>
    <row r="1" spans="2:9" x14ac:dyDescent="0.5">
      <c r="B1" t="s">
        <v>1493</v>
      </c>
    </row>
    <row r="2" spans="2:9" x14ac:dyDescent="0.5">
      <c r="B2" t="s">
        <v>1494</v>
      </c>
    </row>
    <row r="3" spans="2:9" x14ac:dyDescent="0.5">
      <c r="B3" t="s">
        <v>1495</v>
      </c>
    </row>
    <row r="4" spans="2:9" x14ac:dyDescent="0.5">
      <c r="B4" t="s">
        <v>213</v>
      </c>
    </row>
    <row r="5" spans="2:9" x14ac:dyDescent="0.5">
      <c r="B5" t="s">
        <v>214</v>
      </c>
    </row>
    <row r="6" spans="2:9" x14ac:dyDescent="0.5">
      <c r="B6" t="s">
        <v>215</v>
      </c>
    </row>
    <row r="7" spans="2:9" x14ac:dyDescent="0.5">
      <c r="B7" t="s">
        <v>216</v>
      </c>
    </row>
    <row r="8" spans="2:9" x14ac:dyDescent="0.5">
      <c r="B8" t="s">
        <v>217</v>
      </c>
    </row>
    <row r="9" spans="2:9" x14ac:dyDescent="0.5">
      <c r="B9" t="s">
        <v>218</v>
      </c>
    </row>
    <row r="13" spans="2:9" x14ac:dyDescent="0.5">
      <c r="B13" t="s">
        <v>219</v>
      </c>
    </row>
    <row r="14" spans="2:9" ht="14.7" thickBot="1" x14ac:dyDescent="0.55000000000000004"/>
    <row r="15" spans="2:9" x14ac:dyDescent="0.5">
      <c r="B15" s="161" t="s">
        <v>220</v>
      </c>
      <c r="C15" s="162" t="s">
        <v>221</v>
      </c>
      <c r="D15" s="162" t="s">
        <v>222</v>
      </c>
      <c r="E15" s="162" t="s">
        <v>223</v>
      </c>
      <c r="F15" s="162" t="s">
        <v>224</v>
      </c>
      <c r="G15" s="162" t="s">
        <v>225</v>
      </c>
      <c r="H15" s="162" t="s">
        <v>77</v>
      </c>
      <c r="I15" s="162" t="s">
        <v>226</v>
      </c>
    </row>
    <row r="16" spans="2:9" ht="14.7" thickBot="1" x14ac:dyDescent="0.55000000000000004">
      <c r="B16" s="164" t="s">
        <v>433</v>
      </c>
      <c r="C16" s="165">
        <v>120</v>
      </c>
      <c r="D16" s="165">
        <v>0</v>
      </c>
      <c r="E16" s="165">
        <v>120</v>
      </c>
      <c r="F16" s="166">
        <v>-0.14911076853291821</v>
      </c>
      <c r="G16" s="166">
        <v>0.94787498587730457</v>
      </c>
      <c r="H16" s="166">
        <v>0.38329572104086085</v>
      </c>
      <c r="I16" s="166">
        <v>0.24151405167118084</v>
      </c>
    </row>
    <row r="18" spans="2:5" ht="14.7" thickBot="1" x14ac:dyDescent="0.55000000000000004"/>
    <row r="19" spans="2:5" x14ac:dyDescent="0.5">
      <c r="B19" s="162" t="s">
        <v>220</v>
      </c>
      <c r="C19" s="162" t="s">
        <v>227</v>
      </c>
      <c r="D19" s="162" t="s">
        <v>228</v>
      </c>
      <c r="E19" s="162" t="s">
        <v>229</v>
      </c>
    </row>
    <row r="20" spans="2:5" x14ac:dyDescent="0.5">
      <c r="B20" s="163" t="s">
        <v>468</v>
      </c>
      <c r="C20" s="163" t="s">
        <v>470</v>
      </c>
      <c r="D20" s="163">
        <v>60</v>
      </c>
      <c r="E20" s="168">
        <v>50</v>
      </c>
    </row>
    <row r="21" spans="2:5" x14ac:dyDescent="0.5">
      <c r="B21" s="160"/>
      <c r="C21" s="160" t="s">
        <v>469</v>
      </c>
      <c r="D21" s="160">
        <v>60</v>
      </c>
      <c r="E21" s="169">
        <v>50</v>
      </c>
    </row>
    <row r="22" spans="2:5" x14ac:dyDescent="0.5">
      <c r="B22" s="163" t="s">
        <v>5</v>
      </c>
      <c r="C22" s="163" t="s">
        <v>93</v>
      </c>
      <c r="D22" s="163">
        <v>10</v>
      </c>
      <c r="E22" s="168">
        <v>8.3333333333333339</v>
      </c>
    </row>
    <row r="23" spans="2:5" x14ac:dyDescent="0.5">
      <c r="B23" s="160"/>
      <c r="C23" s="160" t="s">
        <v>92</v>
      </c>
      <c r="D23" s="160">
        <v>10</v>
      </c>
      <c r="E23" s="169">
        <v>8.3333333333333339</v>
      </c>
    </row>
    <row r="24" spans="2:5" x14ac:dyDescent="0.5">
      <c r="B24" s="160"/>
      <c r="C24" s="160">
        <v>3729060</v>
      </c>
      <c r="D24" s="160">
        <v>10</v>
      </c>
      <c r="E24" s="169">
        <v>8.3333333333333339</v>
      </c>
    </row>
    <row r="25" spans="2:5" x14ac:dyDescent="0.5">
      <c r="B25" s="160"/>
      <c r="C25" s="160">
        <v>3729172</v>
      </c>
      <c r="D25" s="160">
        <v>10</v>
      </c>
      <c r="E25" s="169">
        <v>8.3333333333333339</v>
      </c>
    </row>
    <row r="26" spans="2:5" x14ac:dyDescent="0.5">
      <c r="B26" s="160"/>
      <c r="C26" s="160" t="s">
        <v>95</v>
      </c>
      <c r="D26" s="160">
        <v>10</v>
      </c>
      <c r="E26" s="169">
        <v>8.3333333333333339</v>
      </c>
    </row>
    <row r="27" spans="2:5" x14ac:dyDescent="0.5">
      <c r="B27" s="160"/>
      <c r="C27" s="160" t="s">
        <v>96</v>
      </c>
      <c r="D27" s="160">
        <v>10</v>
      </c>
      <c r="E27" s="169">
        <v>8.3333333333333339</v>
      </c>
    </row>
    <row r="28" spans="2:5" x14ac:dyDescent="0.5">
      <c r="B28" s="160"/>
      <c r="C28" s="160" t="s">
        <v>100</v>
      </c>
      <c r="D28" s="160">
        <v>10</v>
      </c>
      <c r="E28" s="169">
        <v>8.3333333333333339</v>
      </c>
    </row>
    <row r="29" spans="2:5" x14ac:dyDescent="0.5">
      <c r="B29" s="160"/>
      <c r="C29" s="160" t="s">
        <v>188</v>
      </c>
      <c r="D29" s="160">
        <v>10</v>
      </c>
      <c r="E29" s="169">
        <v>8.3333333333333339</v>
      </c>
    </row>
    <row r="30" spans="2:5" x14ac:dyDescent="0.5">
      <c r="B30" s="160"/>
      <c r="C30" s="160" t="s">
        <v>97</v>
      </c>
      <c r="D30" s="160">
        <v>10</v>
      </c>
      <c r="E30" s="169">
        <v>8.3333333333333339</v>
      </c>
    </row>
    <row r="31" spans="2:5" x14ac:dyDescent="0.5">
      <c r="B31" s="160"/>
      <c r="C31" s="160" t="s">
        <v>98</v>
      </c>
      <c r="D31" s="160">
        <v>10</v>
      </c>
      <c r="E31" s="169">
        <v>8.3333333333333339</v>
      </c>
    </row>
    <row r="32" spans="2:5" x14ac:dyDescent="0.5">
      <c r="B32" s="160"/>
      <c r="C32" s="160" t="s">
        <v>82</v>
      </c>
      <c r="D32" s="160">
        <v>10</v>
      </c>
      <c r="E32" s="169">
        <v>8.3333333333333339</v>
      </c>
    </row>
    <row r="33" spans="2:24" x14ac:dyDescent="0.5">
      <c r="B33" s="160"/>
      <c r="C33" s="160" t="s">
        <v>83</v>
      </c>
      <c r="D33" s="160">
        <v>10</v>
      </c>
      <c r="E33" s="169">
        <v>8.3333333333333339</v>
      </c>
    </row>
    <row r="34" spans="2:24" x14ac:dyDescent="0.5">
      <c r="B34" s="163" t="s">
        <v>367</v>
      </c>
      <c r="C34" s="163" t="s">
        <v>8</v>
      </c>
      <c r="D34" s="163">
        <v>60</v>
      </c>
      <c r="E34" s="168">
        <v>50</v>
      </c>
    </row>
    <row r="35" spans="2:24" x14ac:dyDescent="0.5">
      <c r="B35" s="160"/>
      <c r="C35" s="160" t="s">
        <v>7</v>
      </c>
      <c r="D35" s="160">
        <v>60</v>
      </c>
      <c r="E35" s="169">
        <v>50</v>
      </c>
    </row>
    <row r="36" spans="2:24" x14ac:dyDescent="0.5">
      <c r="B36" s="163" t="s">
        <v>366</v>
      </c>
      <c r="C36" s="163" t="s">
        <v>368</v>
      </c>
      <c r="D36" s="163">
        <v>24</v>
      </c>
      <c r="E36" s="168">
        <v>20</v>
      </c>
    </row>
    <row r="37" spans="2:24" x14ac:dyDescent="0.5">
      <c r="B37" s="160"/>
      <c r="C37" s="160" t="s">
        <v>371</v>
      </c>
      <c r="D37" s="160">
        <v>24</v>
      </c>
      <c r="E37" s="169">
        <v>20</v>
      </c>
    </row>
    <row r="38" spans="2:24" x14ac:dyDescent="0.5">
      <c r="B38" s="160"/>
      <c r="C38" s="160" t="s">
        <v>369</v>
      </c>
      <c r="D38" s="160">
        <v>24</v>
      </c>
      <c r="E38" s="169">
        <v>20</v>
      </c>
    </row>
    <row r="39" spans="2:24" x14ac:dyDescent="0.5">
      <c r="B39" s="160"/>
      <c r="C39" s="160" t="s">
        <v>370</v>
      </c>
      <c r="D39" s="160">
        <v>24</v>
      </c>
      <c r="E39" s="169">
        <v>20</v>
      </c>
    </row>
    <row r="40" spans="2:24" ht="14.7" thickBot="1" x14ac:dyDescent="0.55000000000000004">
      <c r="B40" s="167"/>
      <c r="C40" s="167" t="s">
        <v>432</v>
      </c>
      <c r="D40" s="167">
        <v>24</v>
      </c>
      <c r="E40" s="170">
        <v>20</v>
      </c>
    </row>
    <row r="43" spans="2:24" x14ac:dyDescent="0.5">
      <c r="B43" t="s">
        <v>230</v>
      </c>
    </row>
    <row r="44" spans="2:24" ht="14.7" thickBot="1" x14ac:dyDescent="0.55000000000000004"/>
    <row r="45" spans="2:24" x14ac:dyDescent="0.5">
      <c r="B45" s="161" t="s">
        <v>231</v>
      </c>
      <c r="C45" s="172" t="s">
        <v>474</v>
      </c>
      <c r="D45" s="172" t="s">
        <v>475</v>
      </c>
      <c r="E45" s="172" t="s">
        <v>375</v>
      </c>
      <c r="F45" s="172" t="s">
        <v>376</v>
      </c>
      <c r="G45" s="172" t="s">
        <v>377</v>
      </c>
      <c r="H45" s="172" t="s">
        <v>378</v>
      </c>
      <c r="I45" s="172" t="s">
        <v>379</v>
      </c>
      <c r="J45" s="172" t="s">
        <v>380</v>
      </c>
      <c r="K45" s="172" t="s">
        <v>381</v>
      </c>
      <c r="L45" s="172" t="s">
        <v>382</v>
      </c>
      <c r="M45" s="172" t="s">
        <v>383</v>
      </c>
      <c r="N45" s="172" t="s">
        <v>384</v>
      </c>
      <c r="O45" s="172" t="s">
        <v>385</v>
      </c>
      <c r="P45" s="172" t="s">
        <v>386</v>
      </c>
      <c r="Q45" s="172" t="s">
        <v>387</v>
      </c>
      <c r="R45" s="172" t="s">
        <v>388</v>
      </c>
      <c r="S45" s="172" t="s">
        <v>389</v>
      </c>
      <c r="T45" s="172" t="s">
        <v>392</v>
      </c>
      <c r="U45" s="172" t="s">
        <v>390</v>
      </c>
      <c r="V45" s="172" t="s">
        <v>391</v>
      </c>
      <c r="W45" s="172" t="s">
        <v>437</v>
      </c>
      <c r="X45" s="173" t="s">
        <v>433</v>
      </c>
    </row>
    <row r="46" spans="2:24" x14ac:dyDescent="0.5">
      <c r="B46" s="174" t="s">
        <v>474</v>
      </c>
      <c r="C46" s="181">
        <v>1</v>
      </c>
      <c r="D46" s="176">
        <v>-1</v>
      </c>
      <c r="E46" s="176">
        <v>-1.0517983523841123E-18</v>
      </c>
      <c r="F46" s="176">
        <v>-4.3996553458118644E-18</v>
      </c>
      <c r="G46" s="176">
        <v>-1.7789857447317289E-17</v>
      </c>
      <c r="H46" s="176">
        <v>-1.1095165020633105E-17</v>
      </c>
      <c r="I46" s="176">
        <v>-6.0731752184572144E-18</v>
      </c>
      <c r="J46" s="176">
        <v>-4.3996553458118636E-18</v>
      </c>
      <c r="K46" s="176">
        <v>2.2952413929065882E-18</v>
      </c>
      <c r="L46" s="176">
        <v>-7.7475123392396145E-18</v>
      </c>
      <c r="M46" s="176">
        <v>-2.3079087390308728E-18</v>
      </c>
      <c r="N46" s="176">
        <v>-8.0940255493490668E-18</v>
      </c>
      <c r="O46" s="176">
        <v>-4.4000639698803886E-18</v>
      </c>
      <c r="P46" s="176">
        <v>-7.7477166512738758E-18</v>
      </c>
      <c r="Q46" s="176">
        <v>-1.085196024476949E-17</v>
      </c>
      <c r="R46" s="176">
        <v>1.085196024476949E-17</v>
      </c>
      <c r="S46" s="176">
        <v>-8.5685852944245038E-18</v>
      </c>
      <c r="T46" s="176">
        <v>-2.7364811082628936E-18</v>
      </c>
      <c r="U46" s="176">
        <v>2.8438848859747387E-17</v>
      </c>
      <c r="V46" s="176">
        <v>4.6942848281149091E-17</v>
      </c>
      <c r="W46" s="176">
        <v>-8.5677382614772495E-18</v>
      </c>
      <c r="X46" s="177">
        <v>-0.21022144084368583</v>
      </c>
    </row>
    <row r="47" spans="2:24" x14ac:dyDescent="0.5">
      <c r="B47" s="171" t="s">
        <v>475</v>
      </c>
      <c r="C47" s="178">
        <v>-1</v>
      </c>
      <c r="D47" s="182">
        <v>1</v>
      </c>
      <c r="E47" s="178">
        <v>1.0497552320414858E-18</v>
      </c>
      <c r="F47" s="178">
        <v>4.3976122254692387E-18</v>
      </c>
      <c r="G47" s="178">
        <v>1.7787814326974663E-17</v>
      </c>
      <c r="H47" s="178">
        <v>1.1093121900290478E-17</v>
      </c>
      <c r="I47" s="178">
        <v>6.071132098114588E-18</v>
      </c>
      <c r="J47" s="178">
        <v>4.3976122254692371E-18</v>
      </c>
      <c r="K47" s="178">
        <v>-2.2972845132492151E-18</v>
      </c>
      <c r="L47" s="178">
        <v>7.7454692188969888E-18</v>
      </c>
      <c r="M47" s="178">
        <v>2.3058656186882463E-18</v>
      </c>
      <c r="N47" s="178">
        <v>8.1152740009123814E-18</v>
      </c>
      <c r="O47" s="178">
        <v>4.3980208495377613E-18</v>
      </c>
      <c r="P47" s="178">
        <v>7.7456735309312501E-18</v>
      </c>
      <c r="Q47" s="178">
        <v>1.0858284757442323E-17</v>
      </c>
      <c r="R47" s="178">
        <v>-1.0858284757442323E-17</v>
      </c>
      <c r="S47" s="178">
        <v>8.5657618512669889E-18</v>
      </c>
      <c r="T47" s="178">
        <v>2.7477748808929507E-18</v>
      </c>
      <c r="U47" s="178">
        <v>-2.8441672302904903E-17</v>
      </c>
      <c r="V47" s="178">
        <v>-4.6945671724306601E-17</v>
      </c>
      <c r="W47" s="178">
        <v>8.5649148183197346E-18</v>
      </c>
      <c r="X47" s="179">
        <v>0.21022144084368583</v>
      </c>
    </row>
    <row r="48" spans="2:24" x14ac:dyDescent="0.5">
      <c r="B48" s="171" t="s">
        <v>375</v>
      </c>
      <c r="C48" s="178">
        <v>-1.0517983523841123E-18</v>
      </c>
      <c r="D48" s="178">
        <v>1.0497552320414858E-18</v>
      </c>
      <c r="E48" s="182">
        <v>1</v>
      </c>
      <c r="F48" s="178">
        <v>-9.0909090909090967E-2</v>
      </c>
      <c r="G48" s="178">
        <v>-9.0909090909090939E-2</v>
      </c>
      <c r="H48" s="178">
        <v>-9.0909090909090967E-2</v>
      </c>
      <c r="I48" s="178">
        <v>-9.0909090909090953E-2</v>
      </c>
      <c r="J48" s="178">
        <v>-9.0909090909090953E-2</v>
      </c>
      <c r="K48" s="178">
        <v>-9.0909090909090953E-2</v>
      </c>
      <c r="L48" s="178">
        <v>-9.0909090909090939E-2</v>
      </c>
      <c r="M48" s="178">
        <v>-9.0909090909090912E-2</v>
      </c>
      <c r="N48" s="178">
        <v>-9.0909090909090898E-2</v>
      </c>
      <c r="O48" s="178">
        <v>-9.0909090909090953E-2</v>
      </c>
      <c r="P48" s="178">
        <v>-9.0909090909090939E-2</v>
      </c>
      <c r="Q48" s="178">
        <v>-0.30151134457776368</v>
      </c>
      <c r="R48" s="178">
        <v>0.30151134457776368</v>
      </c>
      <c r="S48" s="178">
        <v>-3.0831962920447734E-18</v>
      </c>
      <c r="T48" s="178">
        <v>-4.403435118445723E-18</v>
      </c>
      <c r="U48" s="178">
        <v>-5.1753515228942904E-18</v>
      </c>
      <c r="V48" s="178">
        <v>2.1470640900576029E-18</v>
      </c>
      <c r="W48" s="178">
        <v>-3.0834516820876016E-18</v>
      </c>
      <c r="X48" s="179">
        <v>-0.10178868462954467</v>
      </c>
    </row>
    <row r="49" spans="2:24" x14ac:dyDescent="0.5">
      <c r="B49" s="171" t="s">
        <v>376</v>
      </c>
      <c r="C49" s="178">
        <v>-4.3996553458118644E-18</v>
      </c>
      <c r="D49" s="178">
        <v>4.3976122254692387E-18</v>
      </c>
      <c r="E49" s="178">
        <v>-9.0909090909090967E-2</v>
      </c>
      <c r="F49" s="182">
        <v>1</v>
      </c>
      <c r="G49" s="178">
        <v>-9.0909090909090967E-2</v>
      </c>
      <c r="H49" s="178">
        <v>-9.0909090909090967E-2</v>
      </c>
      <c r="I49" s="178">
        <v>-9.0909090909090967E-2</v>
      </c>
      <c r="J49" s="178">
        <v>-9.0909090909090953E-2</v>
      </c>
      <c r="K49" s="178">
        <v>-9.0909090909090953E-2</v>
      </c>
      <c r="L49" s="178">
        <v>-9.0909090909090953E-2</v>
      </c>
      <c r="M49" s="178">
        <v>-9.0909090909090939E-2</v>
      </c>
      <c r="N49" s="178">
        <v>-9.0909090909090912E-2</v>
      </c>
      <c r="O49" s="178">
        <v>-9.0909090909090981E-2</v>
      </c>
      <c r="P49" s="178">
        <v>-9.0909090909090953E-2</v>
      </c>
      <c r="Q49" s="178">
        <v>-0.3015113445777638</v>
      </c>
      <c r="R49" s="178">
        <v>0.3015113445777638</v>
      </c>
      <c r="S49" s="178">
        <v>-3.0830685970233595E-18</v>
      </c>
      <c r="T49" s="178">
        <v>-2.1963543683234673E-19</v>
      </c>
      <c r="U49" s="178">
        <v>-2.036990981598602E-18</v>
      </c>
      <c r="V49" s="178">
        <v>1.1012418646756733E-18</v>
      </c>
      <c r="W49" s="178">
        <v>-9.9116875621667172E-19</v>
      </c>
      <c r="X49" s="179">
        <v>7.7221070097791791E-2</v>
      </c>
    </row>
    <row r="50" spans="2:24" x14ac:dyDescent="0.5">
      <c r="B50" s="171" t="s">
        <v>377</v>
      </c>
      <c r="C50" s="178">
        <v>-1.7789857447317289E-17</v>
      </c>
      <c r="D50" s="178">
        <v>1.7787814326974663E-17</v>
      </c>
      <c r="E50" s="178">
        <v>-9.0909090909090939E-2</v>
      </c>
      <c r="F50" s="178">
        <v>-9.0909090909090967E-2</v>
      </c>
      <c r="G50" s="182">
        <v>1</v>
      </c>
      <c r="H50" s="178">
        <v>-9.0909090909090953E-2</v>
      </c>
      <c r="I50" s="178">
        <v>-9.0909090909090939E-2</v>
      </c>
      <c r="J50" s="178">
        <v>-9.0909090909090939E-2</v>
      </c>
      <c r="K50" s="178">
        <v>-9.0909090909090939E-2</v>
      </c>
      <c r="L50" s="178">
        <v>-9.0909090909090925E-2</v>
      </c>
      <c r="M50" s="178">
        <v>-9.0909090909090884E-2</v>
      </c>
      <c r="N50" s="178">
        <v>-9.0909090909090884E-2</v>
      </c>
      <c r="O50" s="178">
        <v>-9.0909090909090939E-2</v>
      </c>
      <c r="P50" s="178">
        <v>-9.0909090909090953E-2</v>
      </c>
      <c r="Q50" s="178">
        <v>-0.30151134457776357</v>
      </c>
      <c r="R50" s="178">
        <v>0.30151134457776357</v>
      </c>
      <c r="S50" s="178">
        <v>-1.2497511745803352E-17</v>
      </c>
      <c r="T50" s="178">
        <v>-2.2065699700365992E-19</v>
      </c>
      <c r="U50" s="178">
        <v>1.0516195793541322E-17</v>
      </c>
      <c r="V50" s="178">
        <v>-8.3133289791257343E-18</v>
      </c>
      <c r="W50" s="178">
        <v>-1.2497767135846181E-17</v>
      </c>
      <c r="X50" s="179">
        <v>-3.1847536655559443E-2</v>
      </c>
    </row>
    <row r="51" spans="2:24" x14ac:dyDescent="0.5">
      <c r="B51" s="171" t="s">
        <v>378</v>
      </c>
      <c r="C51" s="178">
        <v>-1.1095165020633105E-17</v>
      </c>
      <c r="D51" s="178">
        <v>1.1093121900290478E-17</v>
      </c>
      <c r="E51" s="178">
        <v>-9.0909090909090967E-2</v>
      </c>
      <c r="F51" s="178">
        <v>-9.0909090909090967E-2</v>
      </c>
      <c r="G51" s="178">
        <v>-9.0909090909090953E-2</v>
      </c>
      <c r="H51" s="182">
        <v>1</v>
      </c>
      <c r="I51" s="178">
        <v>-9.0909090909090953E-2</v>
      </c>
      <c r="J51" s="178">
        <v>-9.0909090909090953E-2</v>
      </c>
      <c r="K51" s="178">
        <v>-9.0909090909090953E-2</v>
      </c>
      <c r="L51" s="178">
        <v>-9.0909090909090953E-2</v>
      </c>
      <c r="M51" s="178">
        <v>-9.0909090909090912E-2</v>
      </c>
      <c r="N51" s="178">
        <v>-9.0909090909090912E-2</v>
      </c>
      <c r="O51" s="178">
        <v>-9.0909090909090939E-2</v>
      </c>
      <c r="P51" s="178">
        <v>-9.0909090909090953E-2</v>
      </c>
      <c r="Q51" s="178">
        <v>-0.30151134457776368</v>
      </c>
      <c r="R51" s="178">
        <v>0.30151134457776368</v>
      </c>
      <c r="S51" s="178">
        <v>-8.3130735890829073E-18</v>
      </c>
      <c r="T51" s="178">
        <v>-2.2116777708931658E-19</v>
      </c>
      <c r="U51" s="178">
        <v>8.4241682577132238E-18</v>
      </c>
      <c r="V51" s="178">
        <v>5.5419639293743287E-20</v>
      </c>
      <c r="W51" s="178">
        <v>-4.1290185174267027E-18</v>
      </c>
      <c r="X51" s="179">
        <v>1.9054736642664355E-3</v>
      </c>
    </row>
    <row r="52" spans="2:24" x14ac:dyDescent="0.5">
      <c r="B52" s="171" t="s">
        <v>379</v>
      </c>
      <c r="C52" s="178">
        <v>-6.0731752184572144E-18</v>
      </c>
      <c r="D52" s="178">
        <v>6.071132098114588E-18</v>
      </c>
      <c r="E52" s="178">
        <v>-9.0909090909090953E-2</v>
      </c>
      <c r="F52" s="178">
        <v>-9.0909090909090967E-2</v>
      </c>
      <c r="G52" s="178">
        <v>-9.0909090909090939E-2</v>
      </c>
      <c r="H52" s="178">
        <v>-9.0909090909090953E-2</v>
      </c>
      <c r="I52" s="182">
        <v>1</v>
      </c>
      <c r="J52" s="178">
        <v>-9.0909090909090953E-2</v>
      </c>
      <c r="K52" s="178">
        <v>-9.0909090909090953E-2</v>
      </c>
      <c r="L52" s="178">
        <v>-9.0909090909090967E-2</v>
      </c>
      <c r="M52" s="178">
        <v>-9.0909090909090939E-2</v>
      </c>
      <c r="N52" s="178">
        <v>-9.0909090909090925E-2</v>
      </c>
      <c r="O52" s="178">
        <v>-9.0909090909090953E-2</v>
      </c>
      <c r="P52" s="178">
        <v>-9.0909090909090912E-2</v>
      </c>
      <c r="Q52" s="178">
        <v>0.30151134457776335</v>
      </c>
      <c r="R52" s="178">
        <v>-0.30151134457776335</v>
      </c>
      <c r="S52" s="178">
        <v>-3.0831962920447734E-18</v>
      </c>
      <c r="T52" s="178">
        <v>-2.1912465674669011E-19</v>
      </c>
      <c r="U52" s="178">
        <v>2.1471917850790172E-18</v>
      </c>
      <c r="V52" s="178">
        <v>1.1011141696542591E-18</v>
      </c>
      <c r="W52" s="178">
        <v>-9.9129645123808564E-19</v>
      </c>
      <c r="X52" s="179">
        <v>-7.5568869739221417E-2</v>
      </c>
    </row>
    <row r="53" spans="2:24" x14ac:dyDescent="0.5">
      <c r="B53" s="171" t="s">
        <v>380</v>
      </c>
      <c r="C53" s="178">
        <v>-4.3996553458118636E-18</v>
      </c>
      <c r="D53" s="178">
        <v>4.3976122254692371E-18</v>
      </c>
      <c r="E53" s="178">
        <v>-9.0909090909090953E-2</v>
      </c>
      <c r="F53" s="178">
        <v>-9.0909090909090953E-2</v>
      </c>
      <c r="G53" s="178">
        <v>-9.0909090909090939E-2</v>
      </c>
      <c r="H53" s="178">
        <v>-9.0909090909090953E-2</v>
      </c>
      <c r="I53" s="178">
        <v>-9.0909090909090953E-2</v>
      </c>
      <c r="J53" s="182">
        <v>1</v>
      </c>
      <c r="K53" s="178">
        <v>-9.0909090909090967E-2</v>
      </c>
      <c r="L53" s="178">
        <v>-9.0909090909090981E-2</v>
      </c>
      <c r="M53" s="178">
        <v>-9.0909090909090953E-2</v>
      </c>
      <c r="N53" s="178">
        <v>-9.0909090909090939E-2</v>
      </c>
      <c r="O53" s="178">
        <v>-9.0909090909090953E-2</v>
      </c>
      <c r="P53" s="178">
        <v>-9.0909090909090912E-2</v>
      </c>
      <c r="Q53" s="178">
        <v>0.30151134457776346</v>
      </c>
      <c r="R53" s="178">
        <v>-0.30151134457776346</v>
      </c>
      <c r="S53" s="178">
        <v>-5.1752238278728753E-18</v>
      </c>
      <c r="T53" s="178">
        <v>-4.4039458985313794E-18</v>
      </c>
      <c r="U53" s="178">
        <v>-5.1752238278728769E-18</v>
      </c>
      <c r="V53" s="178">
        <v>1.1012418646756733E-18</v>
      </c>
      <c r="W53" s="178">
        <v>1.1009864746328448E-18</v>
      </c>
      <c r="X53" s="179">
        <v>0.18412167614268379</v>
      </c>
    </row>
    <row r="54" spans="2:24" x14ac:dyDescent="0.5">
      <c r="B54" s="171" t="s">
        <v>381</v>
      </c>
      <c r="C54" s="178">
        <v>2.2952413929065882E-18</v>
      </c>
      <c r="D54" s="178">
        <v>-2.2972845132492151E-18</v>
      </c>
      <c r="E54" s="178">
        <v>-9.0909090909090953E-2</v>
      </c>
      <c r="F54" s="178">
        <v>-9.0909090909090953E-2</v>
      </c>
      <c r="G54" s="178">
        <v>-9.0909090909090939E-2</v>
      </c>
      <c r="H54" s="178">
        <v>-9.0909090909090953E-2</v>
      </c>
      <c r="I54" s="178">
        <v>-9.0909090909090953E-2</v>
      </c>
      <c r="J54" s="178">
        <v>-9.0909090909090967E-2</v>
      </c>
      <c r="K54" s="182">
        <v>1</v>
      </c>
      <c r="L54" s="178">
        <v>-9.0909090909090967E-2</v>
      </c>
      <c r="M54" s="178">
        <v>-9.0909090909090939E-2</v>
      </c>
      <c r="N54" s="178">
        <v>-9.0909090909090925E-2</v>
      </c>
      <c r="O54" s="178">
        <v>-9.0909090909090953E-2</v>
      </c>
      <c r="P54" s="178">
        <v>-9.0909090909090912E-2</v>
      </c>
      <c r="Q54" s="178">
        <v>0.30151134457776346</v>
      </c>
      <c r="R54" s="178">
        <v>-0.30151134457776346</v>
      </c>
      <c r="S54" s="178">
        <v>-2.56002978931098E-18</v>
      </c>
      <c r="T54" s="178">
        <v>1.8725197940171699E-18</v>
      </c>
      <c r="U54" s="178">
        <v>1.6242806723880524E-18</v>
      </c>
      <c r="V54" s="178">
        <v>1.6242806723880524E-18</v>
      </c>
      <c r="W54" s="178">
        <v>1.6240252823452242E-18</v>
      </c>
      <c r="X54" s="179">
        <v>-2.2423862762557655E-2</v>
      </c>
    </row>
    <row r="55" spans="2:24" x14ac:dyDescent="0.5">
      <c r="B55" s="171" t="s">
        <v>382</v>
      </c>
      <c r="C55" s="178">
        <v>-7.7475123392396145E-18</v>
      </c>
      <c r="D55" s="178">
        <v>7.7454692188969888E-18</v>
      </c>
      <c r="E55" s="178">
        <v>-9.0909090909090939E-2</v>
      </c>
      <c r="F55" s="178">
        <v>-9.0909090909090953E-2</v>
      </c>
      <c r="G55" s="178">
        <v>-9.0909090909090925E-2</v>
      </c>
      <c r="H55" s="178">
        <v>-9.0909090909090953E-2</v>
      </c>
      <c r="I55" s="178">
        <v>-9.0909090909090967E-2</v>
      </c>
      <c r="J55" s="178">
        <v>-9.0909090909090981E-2</v>
      </c>
      <c r="K55" s="178">
        <v>-9.0909090909090967E-2</v>
      </c>
      <c r="L55" s="182">
        <v>1</v>
      </c>
      <c r="M55" s="178">
        <v>-9.0909090909090939E-2</v>
      </c>
      <c r="N55" s="178">
        <v>-9.0909090909090912E-2</v>
      </c>
      <c r="O55" s="178">
        <v>-9.0909090909090939E-2</v>
      </c>
      <c r="P55" s="178">
        <v>-9.0909090909090925E-2</v>
      </c>
      <c r="Q55" s="178">
        <v>0.30151134457776346</v>
      </c>
      <c r="R55" s="178">
        <v>-0.30151134457776346</v>
      </c>
      <c r="S55" s="178">
        <v>-1.5136967838433937E-18</v>
      </c>
      <c r="T55" s="178">
        <v>-1.0681433151251244E-17</v>
      </c>
      <c r="U55" s="178">
        <v>6.8549241395546728E-18</v>
      </c>
      <c r="V55" s="178">
        <v>2.6704859828342242E-18</v>
      </c>
      <c r="W55" s="178">
        <v>5.7820305696329401E-19</v>
      </c>
      <c r="X55" s="179">
        <v>8.3529690896207001E-2</v>
      </c>
    </row>
    <row r="56" spans="2:24" x14ac:dyDescent="0.5">
      <c r="B56" s="171" t="s">
        <v>383</v>
      </c>
      <c r="C56" s="178">
        <v>-2.3079087390308728E-18</v>
      </c>
      <c r="D56" s="178">
        <v>2.3058656186882463E-18</v>
      </c>
      <c r="E56" s="178">
        <v>-9.0909090909090912E-2</v>
      </c>
      <c r="F56" s="178">
        <v>-9.0909090909090939E-2</v>
      </c>
      <c r="G56" s="178">
        <v>-9.0909090909090884E-2</v>
      </c>
      <c r="H56" s="178">
        <v>-9.0909090909090912E-2</v>
      </c>
      <c r="I56" s="178">
        <v>-9.0909090909090939E-2</v>
      </c>
      <c r="J56" s="178">
        <v>-9.0909090909090953E-2</v>
      </c>
      <c r="K56" s="178">
        <v>-9.0909090909090939E-2</v>
      </c>
      <c r="L56" s="178">
        <v>-9.0909090909090939E-2</v>
      </c>
      <c r="M56" s="182">
        <v>1</v>
      </c>
      <c r="N56" s="178">
        <v>-9.0909090909090925E-2</v>
      </c>
      <c r="O56" s="178">
        <v>-9.0909090909090898E-2</v>
      </c>
      <c r="P56" s="178">
        <v>-9.0909090909090884E-2</v>
      </c>
      <c r="Q56" s="178">
        <v>0.30151134457776357</v>
      </c>
      <c r="R56" s="178">
        <v>-0.30151134457776357</v>
      </c>
      <c r="S56" s="178">
        <v>-6.7440848609671841E-18</v>
      </c>
      <c r="T56" s="178">
        <v>-6.4971226895522096E-18</v>
      </c>
      <c r="U56" s="178">
        <v>7.9010017549794303E-18</v>
      </c>
      <c r="V56" s="178">
        <v>3.7165635982589821E-18</v>
      </c>
      <c r="W56" s="178">
        <v>-2.56002978931098E-18</v>
      </c>
      <c r="X56" s="179">
        <v>-8.9060468033466372E-2</v>
      </c>
    </row>
    <row r="57" spans="2:24" x14ac:dyDescent="0.5">
      <c r="B57" s="171" t="s">
        <v>384</v>
      </c>
      <c r="C57" s="178">
        <v>-8.0940255493490668E-18</v>
      </c>
      <c r="D57" s="178">
        <v>8.1152740009123814E-18</v>
      </c>
      <c r="E57" s="178">
        <v>-9.0909090909090898E-2</v>
      </c>
      <c r="F57" s="178">
        <v>-9.0909090909090912E-2</v>
      </c>
      <c r="G57" s="178">
        <v>-9.0909090909090884E-2</v>
      </c>
      <c r="H57" s="178">
        <v>-9.0909090909090912E-2</v>
      </c>
      <c r="I57" s="178">
        <v>-9.0909090909090925E-2</v>
      </c>
      <c r="J57" s="178">
        <v>-9.0909090909090939E-2</v>
      </c>
      <c r="K57" s="178">
        <v>-9.0909090909090925E-2</v>
      </c>
      <c r="L57" s="178">
        <v>-9.0909090909090912E-2</v>
      </c>
      <c r="M57" s="178">
        <v>-9.0909090909090925E-2</v>
      </c>
      <c r="N57" s="182">
        <v>1</v>
      </c>
      <c r="O57" s="178">
        <v>-9.0909090909090884E-2</v>
      </c>
      <c r="P57" s="178">
        <v>-9.0909090909090884E-2</v>
      </c>
      <c r="Q57" s="178">
        <v>0.30151134457776352</v>
      </c>
      <c r="R57" s="178">
        <v>-0.30151134457776352</v>
      </c>
      <c r="S57" s="178">
        <v>7.0079027752088284E-19</v>
      </c>
      <c r="T57" s="178">
        <v>-2.8154198321392905E-18</v>
      </c>
      <c r="U57" s="178">
        <v>6.9772559700694329E-18</v>
      </c>
      <c r="V57" s="178">
        <v>2.7939670685417123E-18</v>
      </c>
      <c r="W57" s="178">
        <v>7.0385495803482244E-19</v>
      </c>
      <c r="X57" s="179">
        <v>0.1280596530990597</v>
      </c>
    </row>
    <row r="58" spans="2:24" x14ac:dyDescent="0.5">
      <c r="B58" s="171" t="s">
        <v>385</v>
      </c>
      <c r="C58" s="178">
        <v>-4.4000639698803886E-18</v>
      </c>
      <c r="D58" s="178">
        <v>4.3980208495377613E-18</v>
      </c>
      <c r="E58" s="178">
        <v>-9.0909090909090953E-2</v>
      </c>
      <c r="F58" s="178">
        <v>-9.0909090909090981E-2</v>
      </c>
      <c r="G58" s="178">
        <v>-9.0909090909090939E-2</v>
      </c>
      <c r="H58" s="178">
        <v>-9.0909090909090939E-2</v>
      </c>
      <c r="I58" s="178">
        <v>-9.0909090909090953E-2</v>
      </c>
      <c r="J58" s="178">
        <v>-9.0909090909090953E-2</v>
      </c>
      <c r="K58" s="178">
        <v>-9.0909090909090953E-2</v>
      </c>
      <c r="L58" s="178">
        <v>-9.0909090909090939E-2</v>
      </c>
      <c r="M58" s="178">
        <v>-9.0909090909090898E-2</v>
      </c>
      <c r="N58" s="178">
        <v>-9.0909090909090884E-2</v>
      </c>
      <c r="O58" s="182">
        <v>1</v>
      </c>
      <c r="P58" s="178">
        <v>-9.0909090909090925E-2</v>
      </c>
      <c r="Q58" s="178">
        <v>-0.30151134457776363</v>
      </c>
      <c r="R58" s="178">
        <v>0.30151134457776363</v>
      </c>
      <c r="S58" s="178">
        <v>-4.1288908224052884E-18</v>
      </c>
      <c r="T58" s="178">
        <v>-2.2065699700365992E-19</v>
      </c>
      <c r="U58" s="178">
        <v>-6.221046053254805E-18</v>
      </c>
      <c r="V58" s="178">
        <v>5.5291944272329133E-20</v>
      </c>
      <c r="W58" s="178">
        <v>2.1473194801004308E-18</v>
      </c>
      <c r="X58" s="179">
        <v>-4.0897231771713414E-4</v>
      </c>
    </row>
    <row r="59" spans="2:24" x14ac:dyDescent="0.5">
      <c r="B59" s="171" t="s">
        <v>386</v>
      </c>
      <c r="C59" s="178">
        <v>-7.7477166512738758E-18</v>
      </c>
      <c r="D59" s="178">
        <v>7.7456735309312501E-18</v>
      </c>
      <c r="E59" s="178">
        <v>-9.0909090909090939E-2</v>
      </c>
      <c r="F59" s="178">
        <v>-9.0909090909090953E-2</v>
      </c>
      <c r="G59" s="178">
        <v>-9.0909090909090953E-2</v>
      </c>
      <c r="H59" s="178">
        <v>-9.0909090909090953E-2</v>
      </c>
      <c r="I59" s="178">
        <v>-9.0909090909090912E-2</v>
      </c>
      <c r="J59" s="178">
        <v>-9.0909090909090912E-2</v>
      </c>
      <c r="K59" s="178">
        <v>-9.0909090909090912E-2</v>
      </c>
      <c r="L59" s="178">
        <v>-9.0909090909090925E-2</v>
      </c>
      <c r="M59" s="178">
        <v>-9.0909090909090884E-2</v>
      </c>
      <c r="N59" s="178">
        <v>-9.0909090909090884E-2</v>
      </c>
      <c r="O59" s="178">
        <v>-9.0909090909090925E-2</v>
      </c>
      <c r="P59" s="182">
        <v>1</v>
      </c>
      <c r="Q59" s="178">
        <v>-0.30151134457776363</v>
      </c>
      <c r="R59" s="178">
        <v>0.30151134457776363</v>
      </c>
      <c r="S59" s="178">
        <v>-6.2209183582333899E-18</v>
      </c>
      <c r="T59" s="178">
        <v>-2.2116777708931653E-19</v>
      </c>
      <c r="U59" s="178">
        <v>2.1477025651646733E-18</v>
      </c>
      <c r="V59" s="178">
        <v>5.5419639293743287E-20</v>
      </c>
      <c r="W59" s="178">
        <v>-2.0368632865771869E-18</v>
      </c>
      <c r="X59" s="179">
        <v>-0.15373916976194174</v>
      </c>
    </row>
    <row r="60" spans="2:24" x14ac:dyDescent="0.5">
      <c r="B60" s="171" t="s">
        <v>387</v>
      </c>
      <c r="C60" s="178">
        <v>-1.085196024476949E-17</v>
      </c>
      <c r="D60" s="178">
        <v>1.0858284757442323E-17</v>
      </c>
      <c r="E60" s="178">
        <v>-0.30151134457776368</v>
      </c>
      <c r="F60" s="178">
        <v>-0.3015113445777638</v>
      </c>
      <c r="G60" s="178">
        <v>-0.30151134457776357</v>
      </c>
      <c r="H60" s="178">
        <v>-0.30151134457776368</v>
      </c>
      <c r="I60" s="178">
        <v>0.30151134457776335</v>
      </c>
      <c r="J60" s="178">
        <v>0.30151134457776346</v>
      </c>
      <c r="K60" s="178">
        <v>0.30151134457776346</v>
      </c>
      <c r="L60" s="178">
        <v>0.30151134457776346</v>
      </c>
      <c r="M60" s="178">
        <v>0.30151134457776357</v>
      </c>
      <c r="N60" s="178">
        <v>0.30151134457776352</v>
      </c>
      <c r="O60" s="178">
        <v>-0.30151134457776363</v>
      </c>
      <c r="P60" s="178">
        <v>-0.30151134457776363</v>
      </c>
      <c r="Q60" s="182">
        <v>1</v>
      </c>
      <c r="R60" s="178">
        <v>-1</v>
      </c>
      <c r="S60" s="178">
        <v>-8.566891228529989E-18</v>
      </c>
      <c r="T60" s="178">
        <v>-2.7432573718409265E-18</v>
      </c>
      <c r="U60" s="178">
        <v>2.8440542925641883E-17</v>
      </c>
      <c r="V60" s="178">
        <v>5.311178923600212E-18</v>
      </c>
      <c r="W60" s="178">
        <v>-1.7817902734125702E-17</v>
      </c>
      <c r="X60" s="179">
        <v>0.11533994953263925</v>
      </c>
    </row>
    <row r="61" spans="2:24" x14ac:dyDescent="0.5">
      <c r="B61" s="171" t="s">
        <v>388</v>
      </c>
      <c r="C61" s="178">
        <v>1.085196024476949E-17</v>
      </c>
      <c r="D61" s="178">
        <v>-1.0858284757442323E-17</v>
      </c>
      <c r="E61" s="178">
        <v>0.30151134457776368</v>
      </c>
      <c r="F61" s="178">
        <v>0.3015113445777638</v>
      </c>
      <c r="G61" s="178">
        <v>0.30151134457776357</v>
      </c>
      <c r="H61" s="178">
        <v>0.30151134457776368</v>
      </c>
      <c r="I61" s="178">
        <v>-0.30151134457776335</v>
      </c>
      <c r="J61" s="178">
        <v>-0.30151134457776346</v>
      </c>
      <c r="K61" s="178">
        <v>-0.30151134457776346</v>
      </c>
      <c r="L61" s="178">
        <v>-0.30151134457776346</v>
      </c>
      <c r="M61" s="178">
        <v>-0.30151134457776357</v>
      </c>
      <c r="N61" s="178">
        <v>-0.30151134457776352</v>
      </c>
      <c r="O61" s="178">
        <v>0.30151134457776363</v>
      </c>
      <c r="P61" s="178">
        <v>0.30151134457776363</v>
      </c>
      <c r="Q61" s="178">
        <v>-1</v>
      </c>
      <c r="R61" s="182">
        <v>1</v>
      </c>
      <c r="S61" s="178">
        <v>8.566891228529989E-18</v>
      </c>
      <c r="T61" s="178">
        <v>2.7432573718409265E-18</v>
      </c>
      <c r="U61" s="178">
        <v>-2.8440542925641883E-17</v>
      </c>
      <c r="V61" s="178">
        <v>-5.311178923600212E-18</v>
      </c>
      <c r="W61" s="178">
        <v>1.7817902734125702E-17</v>
      </c>
      <c r="X61" s="179">
        <v>-0.11533994953263925</v>
      </c>
    </row>
    <row r="62" spans="2:24" x14ac:dyDescent="0.5">
      <c r="B62" s="171" t="s">
        <v>389</v>
      </c>
      <c r="C62" s="178">
        <v>-8.5685852944245038E-18</v>
      </c>
      <c r="D62" s="178">
        <v>8.5657618512669889E-18</v>
      </c>
      <c r="E62" s="178">
        <v>-3.0831962920447734E-18</v>
      </c>
      <c r="F62" s="178">
        <v>-3.0830685970233595E-18</v>
      </c>
      <c r="G62" s="178">
        <v>-1.2497511745803352E-17</v>
      </c>
      <c r="H62" s="178">
        <v>-8.3130735890829073E-18</v>
      </c>
      <c r="I62" s="178">
        <v>-3.0831962920447734E-18</v>
      </c>
      <c r="J62" s="178">
        <v>-5.1752238278728753E-18</v>
      </c>
      <c r="K62" s="178">
        <v>-2.56002978931098E-18</v>
      </c>
      <c r="L62" s="178">
        <v>-1.5136967838433937E-18</v>
      </c>
      <c r="M62" s="178">
        <v>-6.7440848609671841E-18</v>
      </c>
      <c r="N62" s="178">
        <v>7.0079027752088284E-19</v>
      </c>
      <c r="O62" s="178">
        <v>-4.1288908224052884E-18</v>
      </c>
      <c r="P62" s="178">
        <v>-6.2209183582333899E-18</v>
      </c>
      <c r="Q62" s="178">
        <v>-8.566891228529989E-18</v>
      </c>
      <c r="R62" s="178">
        <v>8.566891228529989E-18</v>
      </c>
      <c r="S62" s="182">
        <v>1</v>
      </c>
      <c r="T62" s="178">
        <v>-0.25</v>
      </c>
      <c r="U62" s="178">
        <v>-0.25000000000000011</v>
      </c>
      <c r="V62" s="178">
        <v>-0.25000000000000011</v>
      </c>
      <c r="W62" s="178">
        <v>-0.24999999999999983</v>
      </c>
      <c r="X62" s="179">
        <v>-4.688282734682403E-2</v>
      </c>
    </row>
    <row r="63" spans="2:24" x14ac:dyDescent="0.5">
      <c r="B63" s="171" t="s">
        <v>392</v>
      </c>
      <c r="C63" s="178">
        <v>-2.7364811082628936E-18</v>
      </c>
      <c r="D63" s="178">
        <v>2.7477748808929507E-18</v>
      </c>
      <c r="E63" s="178">
        <v>-4.403435118445723E-18</v>
      </c>
      <c r="F63" s="178">
        <v>-2.1963543683234673E-19</v>
      </c>
      <c r="G63" s="178">
        <v>-2.2065699700365992E-19</v>
      </c>
      <c r="H63" s="178">
        <v>-2.2116777708931658E-19</v>
      </c>
      <c r="I63" s="178">
        <v>-2.1912465674669011E-19</v>
      </c>
      <c r="J63" s="178">
        <v>-4.4039458985313794E-18</v>
      </c>
      <c r="K63" s="178">
        <v>1.8725197940171699E-18</v>
      </c>
      <c r="L63" s="178">
        <v>-1.0681433151251244E-17</v>
      </c>
      <c r="M63" s="178">
        <v>-6.4971226895522096E-18</v>
      </c>
      <c r="N63" s="178">
        <v>-2.8154198321392905E-18</v>
      </c>
      <c r="O63" s="178">
        <v>-2.2065699700365992E-19</v>
      </c>
      <c r="P63" s="178">
        <v>-2.2116777708931653E-19</v>
      </c>
      <c r="Q63" s="178">
        <v>-2.7432573718409265E-18</v>
      </c>
      <c r="R63" s="178">
        <v>2.7432573718409265E-18</v>
      </c>
      <c r="S63" s="178">
        <v>-0.25</v>
      </c>
      <c r="T63" s="182">
        <v>1</v>
      </c>
      <c r="U63" s="178">
        <v>-0.25000000000000011</v>
      </c>
      <c r="V63" s="178">
        <v>-0.25000000000000011</v>
      </c>
      <c r="W63" s="178">
        <v>-0.24999999999999994</v>
      </c>
      <c r="X63" s="179">
        <v>7.9228405801591406E-2</v>
      </c>
    </row>
    <row r="64" spans="2:24" x14ac:dyDescent="0.5">
      <c r="B64" s="171" t="s">
        <v>390</v>
      </c>
      <c r="C64" s="178">
        <v>2.8438848859747387E-17</v>
      </c>
      <c r="D64" s="178">
        <v>-2.8441672302904903E-17</v>
      </c>
      <c r="E64" s="178">
        <v>-5.1753515228942904E-18</v>
      </c>
      <c r="F64" s="178">
        <v>-2.036990981598602E-18</v>
      </c>
      <c r="G64" s="178">
        <v>1.0516195793541322E-17</v>
      </c>
      <c r="H64" s="178">
        <v>8.4241682577132238E-18</v>
      </c>
      <c r="I64" s="178">
        <v>2.1471917850790172E-18</v>
      </c>
      <c r="J64" s="178">
        <v>-5.1752238278728769E-18</v>
      </c>
      <c r="K64" s="178">
        <v>1.6242806723880524E-18</v>
      </c>
      <c r="L64" s="178">
        <v>6.8549241395546728E-18</v>
      </c>
      <c r="M64" s="178">
        <v>7.9010017549794303E-18</v>
      </c>
      <c r="N64" s="178">
        <v>6.9772559700694329E-18</v>
      </c>
      <c r="O64" s="178">
        <v>-6.221046053254805E-18</v>
      </c>
      <c r="P64" s="178">
        <v>2.1477025651646733E-18</v>
      </c>
      <c r="Q64" s="178">
        <v>2.8440542925641883E-17</v>
      </c>
      <c r="R64" s="178">
        <v>-2.8440542925641883E-17</v>
      </c>
      <c r="S64" s="178">
        <v>-0.25000000000000011</v>
      </c>
      <c r="T64" s="178">
        <v>-0.25000000000000011</v>
      </c>
      <c r="U64" s="182">
        <v>1</v>
      </c>
      <c r="V64" s="178">
        <v>-0.25000000000000028</v>
      </c>
      <c r="W64" s="178">
        <v>-0.25000000000000006</v>
      </c>
      <c r="X64" s="179">
        <v>-0.11066572334410404</v>
      </c>
    </row>
    <row r="65" spans="2:24" x14ac:dyDescent="0.5">
      <c r="B65" s="171" t="s">
        <v>391</v>
      </c>
      <c r="C65" s="178">
        <v>4.6942848281149091E-17</v>
      </c>
      <c r="D65" s="178">
        <v>-4.6945671724306601E-17</v>
      </c>
      <c r="E65" s="178">
        <v>2.1470640900576029E-18</v>
      </c>
      <c r="F65" s="178">
        <v>1.1012418646756733E-18</v>
      </c>
      <c r="G65" s="178">
        <v>-8.3133289791257343E-18</v>
      </c>
      <c r="H65" s="178">
        <v>5.5419639293743287E-20</v>
      </c>
      <c r="I65" s="178">
        <v>1.1011141696542591E-18</v>
      </c>
      <c r="J65" s="178">
        <v>1.1012418646756733E-18</v>
      </c>
      <c r="K65" s="178">
        <v>1.6242806723880524E-18</v>
      </c>
      <c r="L65" s="178">
        <v>2.6704859828342242E-18</v>
      </c>
      <c r="M65" s="178">
        <v>3.7165635982589821E-18</v>
      </c>
      <c r="N65" s="178">
        <v>2.7939670685417123E-18</v>
      </c>
      <c r="O65" s="178">
        <v>5.5291944272329133E-20</v>
      </c>
      <c r="P65" s="178">
        <v>5.5419639293743287E-20</v>
      </c>
      <c r="Q65" s="178">
        <v>5.311178923600212E-18</v>
      </c>
      <c r="R65" s="178">
        <v>-5.311178923600212E-18</v>
      </c>
      <c r="S65" s="178">
        <v>-0.25000000000000011</v>
      </c>
      <c r="T65" s="178">
        <v>-0.25000000000000011</v>
      </c>
      <c r="U65" s="178">
        <v>-0.25000000000000028</v>
      </c>
      <c r="V65" s="182">
        <v>1</v>
      </c>
      <c r="W65" s="178">
        <v>-0.25</v>
      </c>
      <c r="X65" s="179">
        <v>-7.475252563689988E-2</v>
      </c>
    </row>
    <row r="66" spans="2:24" x14ac:dyDescent="0.5">
      <c r="B66" s="171" t="s">
        <v>437</v>
      </c>
      <c r="C66" s="178">
        <v>-8.5677382614772495E-18</v>
      </c>
      <c r="D66" s="178">
        <v>8.5649148183197346E-18</v>
      </c>
      <c r="E66" s="178">
        <v>-3.0834516820876016E-18</v>
      </c>
      <c r="F66" s="178">
        <v>-9.9116875621667172E-19</v>
      </c>
      <c r="G66" s="178">
        <v>-1.2497767135846181E-17</v>
      </c>
      <c r="H66" s="178">
        <v>-4.1290185174267027E-18</v>
      </c>
      <c r="I66" s="178">
        <v>-9.9129645123808564E-19</v>
      </c>
      <c r="J66" s="178">
        <v>1.1009864746328448E-18</v>
      </c>
      <c r="K66" s="178">
        <v>1.6240252823452242E-18</v>
      </c>
      <c r="L66" s="178">
        <v>5.7820305696329401E-19</v>
      </c>
      <c r="M66" s="178">
        <v>-2.56002978931098E-18</v>
      </c>
      <c r="N66" s="178">
        <v>7.0385495803482244E-19</v>
      </c>
      <c r="O66" s="178">
        <v>2.1473194801004308E-18</v>
      </c>
      <c r="P66" s="178">
        <v>-2.0368632865771869E-18</v>
      </c>
      <c r="Q66" s="178">
        <v>-1.7817902734125702E-17</v>
      </c>
      <c r="R66" s="178">
        <v>1.7817902734125702E-17</v>
      </c>
      <c r="S66" s="178">
        <v>-0.24999999999999983</v>
      </c>
      <c r="T66" s="178">
        <v>-0.24999999999999994</v>
      </c>
      <c r="U66" s="178">
        <v>-0.25000000000000006</v>
      </c>
      <c r="V66" s="178">
        <v>-0.25</v>
      </c>
      <c r="W66" s="182">
        <v>1</v>
      </c>
      <c r="X66" s="179">
        <v>0.15307267052623652</v>
      </c>
    </row>
    <row r="67" spans="2:24" ht="14.7" thickBot="1" x14ac:dyDescent="0.55000000000000004">
      <c r="B67" s="175" t="s">
        <v>433</v>
      </c>
      <c r="C67" s="180">
        <v>-0.21022144084368583</v>
      </c>
      <c r="D67" s="180">
        <v>0.21022144084368583</v>
      </c>
      <c r="E67" s="180">
        <v>-0.10178868462954467</v>
      </c>
      <c r="F67" s="180">
        <v>7.7221070097791791E-2</v>
      </c>
      <c r="G67" s="180">
        <v>-3.1847536655559443E-2</v>
      </c>
      <c r="H67" s="180">
        <v>1.9054736642664355E-3</v>
      </c>
      <c r="I67" s="180">
        <v>-7.5568869739221417E-2</v>
      </c>
      <c r="J67" s="180">
        <v>0.18412167614268379</v>
      </c>
      <c r="K67" s="180">
        <v>-2.2423862762557655E-2</v>
      </c>
      <c r="L67" s="180">
        <v>8.3529690896207001E-2</v>
      </c>
      <c r="M67" s="180">
        <v>-8.9060468033466372E-2</v>
      </c>
      <c r="N67" s="180">
        <v>0.1280596530990597</v>
      </c>
      <c r="O67" s="180">
        <v>-4.0897231771713414E-4</v>
      </c>
      <c r="P67" s="180">
        <v>-0.15373916976194174</v>
      </c>
      <c r="Q67" s="180">
        <v>0.11533994953263925</v>
      </c>
      <c r="R67" s="180">
        <v>-0.11533994953263925</v>
      </c>
      <c r="S67" s="180">
        <v>-4.688282734682403E-2</v>
      </c>
      <c r="T67" s="180">
        <v>7.9228405801591406E-2</v>
      </c>
      <c r="U67" s="180">
        <v>-0.11066572334410404</v>
      </c>
      <c r="V67" s="180">
        <v>-7.475252563689988E-2</v>
      </c>
      <c r="W67" s="180">
        <v>0.15307267052623652</v>
      </c>
      <c r="X67" s="183">
        <v>1</v>
      </c>
    </row>
    <row r="70" spans="2:24" x14ac:dyDescent="0.5">
      <c r="B70" s="89" t="s">
        <v>438</v>
      </c>
    </row>
    <row r="72" spans="2:24" x14ac:dyDescent="0.5">
      <c r="B72" t="s">
        <v>252</v>
      </c>
    </row>
    <row r="73" spans="2:24" ht="14.7" thickBot="1" x14ac:dyDescent="0.55000000000000004"/>
    <row r="74" spans="2:24" x14ac:dyDescent="0.5">
      <c r="B74" s="184" t="s">
        <v>221</v>
      </c>
      <c r="C74" s="185">
        <v>120</v>
      </c>
    </row>
    <row r="75" spans="2:24" x14ac:dyDescent="0.5">
      <c r="B75" s="160" t="s">
        <v>253</v>
      </c>
      <c r="C75" s="186">
        <v>120</v>
      </c>
    </row>
    <row r="76" spans="2:24" x14ac:dyDescent="0.5">
      <c r="B76" s="160" t="s">
        <v>254</v>
      </c>
      <c r="C76" s="169">
        <v>-14.813381688389882</v>
      </c>
    </row>
    <row r="77" spans="2:24" x14ac:dyDescent="0.5">
      <c r="B77" s="160" t="s">
        <v>255</v>
      </c>
      <c r="C77" s="169">
        <v>-10.813381688389882</v>
      </c>
    </row>
    <row r="78" spans="2:24" x14ac:dyDescent="0.5">
      <c r="B78" s="160" t="s">
        <v>256</v>
      </c>
      <c r="C78" s="169">
        <v>-10.710817585825779</v>
      </c>
    </row>
    <row r="79" spans="2:24" x14ac:dyDescent="0.5">
      <c r="B79" s="160" t="s">
        <v>257</v>
      </c>
      <c r="C79" s="169">
        <v>-5.2383982028257901</v>
      </c>
    </row>
    <row r="80" spans="2:24" x14ac:dyDescent="0.5">
      <c r="B80" s="160" t="s">
        <v>258</v>
      </c>
      <c r="C80" s="169">
        <v>-3.2383982028257901</v>
      </c>
    </row>
    <row r="81" spans="2:6" x14ac:dyDescent="0.5">
      <c r="B81" s="160" t="s">
        <v>259</v>
      </c>
      <c r="C81" s="186">
        <v>7</v>
      </c>
    </row>
    <row r="82" spans="2:6" x14ac:dyDescent="0.5">
      <c r="B82" s="160" t="s">
        <v>260</v>
      </c>
      <c r="C82" s="186">
        <v>2</v>
      </c>
    </row>
    <row r="83" spans="2:6" x14ac:dyDescent="0.5">
      <c r="B83" s="160" t="s">
        <v>261</v>
      </c>
      <c r="C83" s="186">
        <v>1</v>
      </c>
    </row>
    <row r="84" spans="2:6" x14ac:dyDescent="0.5">
      <c r="B84" s="160" t="s">
        <v>262</v>
      </c>
      <c r="C84" s="186">
        <v>0</v>
      </c>
    </row>
    <row r="85" spans="2:6" x14ac:dyDescent="0.5">
      <c r="B85" s="160" t="s">
        <v>263</v>
      </c>
      <c r="C85" s="186">
        <v>12</v>
      </c>
    </row>
    <row r="86" spans="2:6" ht="14.7" thickBot="1" x14ac:dyDescent="0.55000000000000004">
      <c r="B86" s="167" t="s">
        <v>264</v>
      </c>
      <c r="C86" s="187">
        <v>10</v>
      </c>
    </row>
    <row r="89" spans="2:6" x14ac:dyDescent="0.5">
      <c r="B89" t="s">
        <v>265</v>
      </c>
    </row>
    <row r="90" spans="2:6" ht="14.7" thickBot="1" x14ac:dyDescent="0.55000000000000004"/>
    <row r="91" spans="2:6" x14ac:dyDescent="0.5">
      <c r="B91" s="161"/>
      <c r="C91" s="162" t="s">
        <v>266</v>
      </c>
      <c r="D91" s="162" t="s">
        <v>267</v>
      </c>
      <c r="E91" s="162" t="s">
        <v>268</v>
      </c>
      <c r="F91" s="162" t="s">
        <v>269</v>
      </c>
    </row>
    <row r="92" spans="2:6" x14ac:dyDescent="0.5">
      <c r="B92" s="163" t="s">
        <v>270</v>
      </c>
      <c r="C92" s="168">
        <v>3.3416797302344425E-2</v>
      </c>
      <c r="D92" s="168">
        <v>4.9814816475649048E-3</v>
      </c>
      <c r="E92" s="168">
        <v>6.7082044392715048</v>
      </c>
      <c r="F92" s="188" t="s">
        <v>272</v>
      </c>
    </row>
    <row r="93" spans="2:6" ht="14.7" thickBot="1" x14ac:dyDescent="0.55000000000000004">
      <c r="B93" s="167" t="s">
        <v>271</v>
      </c>
      <c r="C93" s="170">
        <v>2.4118397102024874E-3</v>
      </c>
      <c r="D93" s="170">
        <v>2.6208245792472273E-3</v>
      </c>
      <c r="E93" s="170">
        <v>0.92025987900923678</v>
      </c>
      <c r="F93" s="170">
        <v>0.35743696981358369</v>
      </c>
    </row>
    <row r="96" spans="2:6" x14ac:dyDescent="0.5">
      <c r="B96" t="s">
        <v>273</v>
      </c>
    </row>
    <row r="97" spans="2:8" ht="14.7" thickBot="1" x14ac:dyDescent="0.55000000000000004"/>
    <row r="98" spans="2:8" x14ac:dyDescent="0.5">
      <c r="B98" s="162" t="s">
        <v>274</v>
      </c>
      <c r="C98" s="162" t="s">
        <v>275</v>
      </c>
      <c r="D98" s="162" t="s">
        <v>276</v>
      </c>
    </row>
    <row r="99" spans="2:8" ht="14.7" thickBot="1" x14ac:dyDescent="0.55000000000000004">
      <c r="B99" s="165">
        <v>1</v>
      </c>
      <c r="C99" s="166">
        <v>1.5354988352578545</v>
      </c>
      <c r="D99" s="166">
        <v>0.21528903997279958</v>
      </c>
    </row>
    <row r="102" spans="2:8" x14ac:dyDescent="0.5">
      <c r="B102" t="s">
        <v>277</v>
      </c>
    </row>
    <row r="103" spans="2:8" ht="14.7" thickBot="1" x14ac:dyDescent="0.55000000000000004"/>
    <row r="104" spans="2:8" x14ac:dyDescent="0.5">
      <c r="B104" s="161" t="s">
        <v>278</v>
      </c>
      <c r="C104" s="162" t="s">
        <v>279</v>
      </c>
      <c r="D104" s="162" t="s">
        <v>280</v>
      </c>
      <c r="E104" s="162" t="s">
        <v>62</v>
      </c>
      <c r="F104" s="162" t="s">
        <v>281</v>
      </c>
    </row>
    <row r="105" spans="2:8" ht="14.7" thickBot="1" x14ac:dyDescent="0.55000000000000004">
      <c r="B105" s="164" t="s">
        <v>477</v>
      </c>
      <c r="C105" s="165">
        <v>19</v>
      </c>
      <c r="D105" s="165">
        <v>100</v>
      </c>
      <c r="E105" s="166">
        <v>5.2703320316241467</v>
      </c>
      <c r="F105" s="189" t="s">
        <v>272</v>
      </c>
    </row>
    <row r="108" spans="2:8" x14ac:dyDescent="0.5">
      <c r="B108" t="s">
        <v>283</v>
      </c>
    </row>
    <row r="109" spans="2:8" ht="14.7" thickBot="1" x14ac:dyDescent="0.55000000000000004"/>
    <row r="110" spans="2:8" x14ac:dyDescent="0.5">
      <c r="B110" s="161" t="s">
        <v>284</v>
      </c>
      <c r="C110" s="162" t="s">
        <v>285</v>
      </c>
      <c r="D110" s="162" t="s">
        <v>267</v>
      </c>
      <c r="E110" s="162" t="s">
        <v>286</v>
      </c>
      <c r="F110" s="162" t="s">
        <v>287</v>
      </c>
      <c r="G110" s="162" t="s">
        <v>288</v>
      </c>
      <c r="H110" s="162" t="s">
        <v>289</v>
      </c>
    </row>
    <row r="111" spans="2:8" x14ac:dyDescent="0.5">
      <c r="B111" s="163" t="s">
        <v>290</v>
      </c>
      <c r="C111" s="168">
        <v>0.56769896436351486</v>
      </c>
      <c r="D111" s="168">
        <v>7.7275089790249843E-2</v>
      </c>
      <c r="E111" s="168">
        <v>7.3464678708809998</v>
      </c>
      <c r="F111" s="188" t="s">
        <v>272</v>
      </c>
      <c r="G111" s="168">
        <v>0.41469966453232499</v>
      </c>
      <c r="H111" s="168">
        <v>0.72069826419470473</v>
      </c>
    </row>
    <row r="112" spans="2:8" x14ac:dyDescent="0.5">
      <c r="B112" s="160" t="s">
        <v>478</v>
      </c>
      <c r="C112" s="169">
        <v>0</v>
      </c>
      <c r="D112" s="169"/>
      <c r="E112" s="169"/>
      <c r="F112" s="169"/>
      <c r="G112" s="169"/>
      <c r="H112" s="169"/>
    </row>
    <row r="113" spans="2:8" x14ac:dyDescent="0.5">
      <c r="B113" s="160" t="s">
        <v>479</v>
      </c>
      <c r="C113" s="169">
        <v>-0.15053417414578479</v>
      </c>
      <c r="D113" s="169">
        <v>0.10554114095514995</v>
      </c>
      <c r="E113" s="169">
        <v>-1.4263080044752858</v>
      </c>
      <c r="F113" s="169">
        <v>0.15637591032002837</v>
      </c>
      <c r="G113" s="169">
        <v>-0.35949828810997575</v>
      </c>
      <c r="H113" s="169">
        <v>5.8429939818406162E-2</v>
      </c>
    </row>
    <row r="114" spans="2:8" x14ac:dyDescent="0.5">
      <c r="B114" s="160" t="s">
        <v>480</v>
      </c>
      <c r="C114" s="169">
        <v>-0.25611199075804347</v>
      </c>
      <c r="D114" s="169">
        <v>0.10554114095514995</v>
      </c>
      <c r="E114" s="169">
        <v>-2.4266555055234726</v>
      </c>
      <c r="F114" s="169">
        <v>1.6725755832977088E-2</v>
      </c>
      <c r="G114" s="169">
        <v>-0.46507610472223443</v>
      </c>
      <c r="H114" s="169">
        <v>-4.7147876793852517E-2</v>
      </c>
    </row>
    <row r="115" spans="2:8" x14ac:dyDescent="0.5">
      <c r="B115" s="160" t="s">
        <v>481</v>
      </c>
      <c r="C115" s="169">
        <v>-0.1621796764475445</v>
      </c>
      <c r="D115" s="169">
        <v>0.10554114095514995</v>
      </c>
      <c r="E115" s="169">
        <v>-1.5366488838363352</v>
      </c>
      <c r="F115" s="169">
        <v>0.12701189362291404</v>
      </c>
      <c r="G115" s="169">
        <v>-0.37114379041173545</v>
      </c>
      <c r="H115" s="169">
        <v>4.678443751664646E-2</v>
      </c>
    </row>
    <row r="116" spans="2:8" x14ac:dyDescent="0.5">
      <c r="B116" s="160" t="s">
        <v>482</v>
      </c>
      <c r="C116" s="169">
        <v>8.6408362242744952E-2</v>
      </c>
      <c r="D116" s="169">
        <v>0.10554114095514995</v>
      </c>
      <c r="E116" s="169">
        <v>0.81871734056261969</v>
      </c>
      <c r="F116" s="169">
        <v>0.41457061154646507</v>
      </c>
      <c r="G116" s="169">
        <v>-0.122555751721446</v>
      </c>
      <c r="H116" s="169">
        <v>0.29537247620693591</v>
      </c>
    </row>
    <row r="117" spans="2:8" x14ac:dyDescent="0.5">
      <c r="B117" s="160" t="s">
        <v>483</v>
      </c>
      <c r="C117" s="169">
        <v>-0.14614235202171191</v>
      </c>
      <c r="D117" s="169">
        <v>0.10928348001496993</v>
      </c>
      <c r="E117" s="169">
        <v>-1.337277619652055</v>
      </c>
      <c r="F117" s="169">
        <v>0.18366135170432307</v>
      </c>
      <c r="G117" s="169">
        <v>-0.36251603687656797</v>
      </c>
      <c r="H117" s="169">
        <v>7.0231332833144172E-2</v>
      </c>
    </row>
    <row r="118" spans="2:8" x14ac:dyDescent="0.5">
      <c r="B118" s="160" t="s">
        <v>484</v>
      </c>
      <c r="C118" s="169">
        <v>-9.2825709706617646E-2</v>
      </c>
      <c r="D118" s="169">
        <v>0.10928348001496993</v>
      </c>
      <c r="E118" s="169">
        <v>-0.84940294446976017</v>
      </c>
      <c r="F118" s="169">
        <v>0.39734851106631514</v>
      </c>
      <c r="G118" s="169">
        <v>-0.30919939456147372</v>
      </c>
      <c r="H118" s="169">
        <v>0.12354797514823844</v>
      </c>
    </row>
    <row r="119" spans="2:8" x14ac:dyDescent="0.5">
      <c r="B119" s="160" t="s">
        <v>485</v>
      </c>
      <c r="C119" s="169">
        <v>-0.23118453340680292</v>
      </c>
      <c r="D119" s="169">
        <v>0.10928348001496993</v>
      </c>
      <c r="E119" s="169">
        <v>-2.1154572802324254</v>
      </c>
      <c r="F119" s="169">
        <v>3.6458732723579482E-2</v>
      </c>
      <c r="G119" s="169">
        <v>-0.44755821826165898</v>
      </c>
      <c r="H119" s="169">
        <v>-1.4810848551946837E-2</v>
      </c>
    </row>
    <row r="120" spans="2:8" x14ac:dyDescent="0.5">
      <c r="B120" s="160" t="s">
        <v>486</v>
      </c>
      <c r="C120" s="169">
        <v>-0.31775689419168529</v>
      </c>
      <c r="D120" s="169">
        <v>0.10928348001496992</v>
      </c>
      <c r="E120" s="169">
        <v>-2.9076388686392325</v>
      </c>
      <c r="F120" s="169">
        <v>4.3393527086217189E-3</v>
      </c>
      <c r="G120" s="169">
        <v>-0.53413057904654138</v>
      </c>
      <c r="H120" s="169">
        <v>-0.10138320933682923</v>
      </c>
    </row>
    <row r="121" spans="2:8" x14ac:dyDescent="0.5">
      <c r="B121" s="160" t="s">
        <v>487</v>
      </c>
      <c r="C121" s="169">
        <v>5.7021223120862094E-2</v>
      </c>
      <c r="D121" s="169">
        <v>0.10928348001496992</v>
      </c>
      <c r="E121" s="169">
        <v>0.5217734932402518</v>
      </c>
      <c r="F121" s="169">
        <v>0.60278979089712303</v>
      </c>
      <c r="G121" s="169">
        <v>-0.15935246173399398</v>
      </c>
      <c r="H121" s="169">
        <v>0.27339490797571814</v>
      </c>
    </row>
    <row r="122" spans="2:8" x14ac:dyDescent="0.5">
      <c r="B122" s="160" t="s">
        <v>488</v>
      </c>
      <c r="C122" s="169">
        <v>-0.40328987685198553</v>
      </c>
      <c r="D122" s="169">
        <v>0.10554114095514996</v>
      </c>
      <c r="E122" s="169">
        <v>-3.8211627541847859</v>
      </c>
      <c r="F122" s="169">
        <v>2.1192509988782548E-4</v>
      </c>
      <c r="G122" s="169">
        <v>-0.61225399081617649</v>
      </c>
      <c r="H122" s="169">
        <v>-0.19432576288779455</v>
      </c>
    </row>
    <row r="123" spans="2:8" x14ac:dyDescent="0.5">
      <c r="B123" s="160" t="s">
        <v>489</v>
      </c>
      <c r="C123" s="169">
        <v>-0.37910046393351671</v>
      </c>
      <c r="D123" s="169">
        <v>0.10554114095514998</v>
      </c>
      <c r="E123" s="169">
        <v>-3.5919685963468653</v>
      </c>
      <c r="F123" s="169">
        <v>4.7683882650358605E-4</v>
      </c>
      <c r="G123" s="169">
        <v>-0.58806457789770772</v>
      </c>
      <c r="H123" s="169">
        <v>-0.1701363499693257</v>
      </c>
    </row>
    <row r="124" spans="2:8" x14ac:dyDescent="0.5">
      <c r="B124" s="160" t="s">
        <v>490</v>
      </c>
      <c r="C124" s="169">
        <v>-0.42094702075491913</v>
      </c>
      <c r="D124" s="169">
        <v>0.10554114095514996</v>
      </c>
      <c r="E124" s="169">
        <v>-3.9884638061076285</v>
      </c>
      <c r="F124" s="169">
        <v>1.1476774137582409E-4</v>
      </c>
      <c r="G124" s="169">
        <v>-0.62991113471911009</v>
      </c>
      <c r="H124" s="169">
        <v>-0.21198290679072815</v>
      </c>
    </row>
    <row r="125" spans="2:8" x14ac:dyDescent="0.5">
      <c r="B125" s="160" t="s">
        <v>491</v>
      </c>
      <c r="C125" s="169">
        <v>-0.37278103369645138</v>
      </c>
      <c r="D125" s="169">
        <v>0.10554114095514998</v>
      </c>
      <c r="E125" s="169">
        <v>-3.532092133198236</v>
      </c>
      <c r="F125" s="169">
        <v>5.8599958950916471E-4</v>
      </c>
      <c r="G125" s="169">
        <v>-0.58174514766064234</v>
      </c>
      <c r="H125" s="169">
        <v>-0.16381691973226037</v>
      </c>
    </row>
    <row r="126" spans="2:8" x14ac:dyDescent="0.5">
      <c r="B126" s="160" t="s">
        <v>492</v>
      </c>
      <c r="C126" s="169">
        <v>5.9685440844324693E-2</v>
      </c>
      <c r="D126" s="169">
        <v>0.10554114095514996</v>
      </c>
      <c r="E126" s="169">
        <v>0.56551824534176875</v>
      </c>
      <c r="F126" s="169">
        <v>0.57277718930288068</v>
      </c>
      <c r="G126" s="169">
        <v>-0.14927867311986628</v>
      </c>
      <c r="H126" s="169">
        <v>0.26864955480851566</v>
      </c>
    </row>
    <row r="127" spans="2:8" x14ac:dyDescent="0.5">
      <c r="B127" s="160" t="s">
        <v>493</v>
      </c>
      <c r="C127" s="169">
        <v>-0.19693250474278026</v>
      </c>
      <c r="D127" s="169">
        <v>0.10928348001496994</v>
      </c>
      <c r="E127" s="169">
        <v>-1.8020336167534554</v>
      </c>
      <c r="F127" s="169">
        <v>7.4050545681388372E-2</v>
      </c>
      <c r="G127" s="169">
        <v>-0.41330618959763638</v>
      </c>
      <c r="H127" s="169">
        <v>1.9441180112075851E-2</v>
      </c>
    </row>
    <row r="128" spans="2:8" x14ac:dyDescent="0.5">
      <c r="B128" s="160" t="s">
        <v>494</v>
      </c>
      <c r="C128" s="169">
        <v>-0.22320173777800908</v>
      </c>
      <c r="D128" s="169">
        <v>0.10928348001496996</v>
      </c>
      <c r="E128" s="169">
        <v>-2.0424105980833906</v>
      </c>
      <c r="F128" s="169">
        <v>4.3301987948392871E-2</v>
      </c>
      <c r="G128" s="169">
        <v>-0.4395754226328652</v>
      </c>
      <c r="H128" s="169">
        <v>-6.8280529231529441E-3</v>
      </c>
    </row>
    <row r="129" spans="2:8" x14ac:dyDescent="0.5">
      <c r="B129" s="160" t="s">
        <v>495</v>
      </c>
      <c r="C129" s="169">
        <v>-0.2910349992672171</v>
      </c>
      <c r="D129" s="169">
        <v>0.10928348001496993</v>
      </c>
      <c r="E129" s="169">
        <v>-2.6631197984118953</v>
      </c>
      <c r="F129" s="169">
        <v>8.8046895313216422E-3</v>
      </c>
      <c r="G129" s="169">
        <v>-0.50740868412207318</v>
      </c>
      <c r="H129" s="169">
        <v>-7.4661314412361013E-2</v>
      </c>
    </row>
    <row r="130" spans="2:8" x14ac:dyDescent="0.5">
      <c r="B130" s="160" t="s">
        <v>496</v>
      </c>
      <c r="C130" s="169">
        <v>-0.34742228485415194</v>
      </c>
      <c r="D130" s="169">
        <v>0.10928348001496994</v>
      </c>
      <c r="E130" s="169">
        <v>-3.1790924374531366</v>
      </c>
      <c r="F130" s="169">
        <v>1.8797163826208857E-3</v>
      </c>
      <c r="G130" s="169">
        <v>-0.56379596970900803</v>
      </c>
      <c r="H130" s="169">
        <v>-0.13104859999929583</v>
      </c>
    </row>
    <row r="131" spans="2:8" ht="14.7" thickBot="1" x14ac:dyDescent="0.55000000000000004">
      <c r="B131" s="167" t="s">
        <v>497</v>
      </c>
      <c r="C131" s="170">
        <v>0.1002653598962113</v>
      </c>
      <c r="D131" s="170">
        <v>0.10928348001496994</v>
      </c>
      <c r="E131" s="170">
        <v>0.91747956674217068</v>
      </c>
      <c r="F131" s="170">
        <v>0.36073170206357685</v>
      </c>
      <c r="G131" s="170">
        <v>-0.11610832495864482</v>
      </c>
      <c r="H131" s="170">
        <v>0.31663904475106741</v>
      </c>
    </row>
    <row r="134" spans="2:8" x14ac:dyDescent="0.5">
      <c r="B134" t="s">
        <v>498</v>
      </c>
    </row>
    <row r="135" spans="2:8" ht="14.7" thickBot="1" x14ac:dyDescent="0.55000000000000004"/>
    <row r="136" spans="2:8" x14ac:dyDescent="0.5">
      <c r="B136" s="161" t="s">
        <v>302</v>
      </c>
      <c r="C136" s="162" t="s">
        <v>303</v>
      </c>
      <c r="D136" s="162" t="s">
        <v>304</v>
      </c>
      <c r="E136" s="162" t="s">
        <v>286</v>
      </c>
      <c r="F136" s="162" t="s">
        <v>287</v>
      </c>
      <c r="G136" s="162" t="s">
        <v>305</v>
      </c>
    </row>
    <row r="137" spans="2:8" x14ac:dyDescent="0.5">
      <c r="B137" s="163" t="s">
        <v>508</v>
      </c>
      <c r="C137" s="188">
        <v>0.5212123806511304</v>
      </c>
      <c r="D137" s="188">
        <v>0.10554114095514995</v>
      </c>
      <c r="E137" s="188">
        <v>4.9384758960737525</v>
      </c>
      <c r="F137" s="188" t="s">
        <v>272</v>
      </c>
      <c r="G137" s="192" t="s">
        <v>351</v>
      </c>
    </row>
    <row r="138" spans="2:8" x14ac:dyDescent="0.5">
      <c r="B138" s="160" t="s">
        <v>507</v>
      </c>
      <c r="C138" s="190">
        <v>0.5035552367481968</v>
      </c>
      <c r="D138" s="190">
        <v>0.10554114095514995</v>
      </c>
      <c r="E138" s="190">
        <v>4.7711748441509103</v>
      </c>
      <c r="F138" s="190" t="s">
        <v>272</v>
      </c>
      <c r="G138" s="193" t="s">
        <v>351</v>
      </c>
    </row>
    <row r="139" spans="2:8" x14ac:dyDescent="0.5">
      <c r="B139" s="160" t="s">
        <v>510</v>
      </c>
      <c r="C139" s="190">
        <v>0.47936582382972803</v>
      </c>
      <c r="D139" s="190">
        <v>0.10554114095514995</v>
      </c>
      <c r="E139" s="190">
        <v>4.5419806863129901</v>
      </c>
      <c r="F139" s="190" t="s">
        <v>272</v>
      </c>
      <c r="G139" s="193" t="s">
        <v>351</v>
      </c>
    </row>
    <row r="140" spans="2:8" x14ac:dyDescent="0.5">
      <c r="B140" s="160" t="s">
        <v>509</v>
      </c>
      <c r="C140" s="190">
        <v>0.47304639359266265</v>
      </c>
      <c r="D140" s="190">
        <v>0.10554114095514995</v>
      </c>
      <c r="E140" s="190">
        <v>4.4821042231643604</v>
      </c>
      <c r="F140" s="190" t="s">
        <v>272</v>
      </c>
      <c r="G140" s="193" t="s">
        <v>351</v>
      </c>
    </row>
    <row r="141" spans="2:8" x14ac:dyDescent="0.5">
      <c r="B141" s="160" t="s">
        <v>515</v>
      </c>
      <c r="C141" s="190">
        <v>0.44768764475036327</v>
      </c>
      <c r="D141" s="190">
        <v>0.10554114095514995</v>
      </c>
      <c r="E141" s="190">
        <v>4.2418306330477282</v>
      </c>
      <c r="F141" s="190" t="s">
        <v>272</v>
      </c>
      <c r="G141" s="193" t="s">
        <v>351</v>
      </c>
    </row>
    <row r="142" spans="2:8" x14ac:dyDescent="0.5">
      <c r="B142" s="160" t="s">
        <v>503</v>
      </c>
      <c r="C142" s="190">
        <v>0.41802225408789662</v>
      </c>
      <c r="D142" s="190">
        <v>0.10554114095514995</v>
      </c>
      <c r="E142" s="190">
        <v>3.9607517059677848</v>
      </c>
      <c r="F142" s="190">
        <v>1.4012284235609241E-4</v>
      </c>
      <c r="G142" s="193" t="s">
        <v>351</v>
      </c>
    </row>
    <row r="143" spans="2:8" x14ac:dyDescent="0.5">
      <c r="B143" s="160" t="s">
        <v>514</v>
      </c>
      <c r="C143" s="190">
        <v>0.39130035916342842</v>
      </c>
      <c r="D143" s="190">
        <v>0.10554114095514995</v>
      </c>
      <c r="E143" s="190">
        <v>3.7075623365651578</v>
      </c>
      <c r="F143" s="190">
        <v>3.4362345001699593E-4</v>
      </c>
      <c r="G143" s="193" t="s">
        <v>351</v>
      </c>
    </row>
    <row r="144" spans="2:8" x14ac:dyDescent="0.5">
      <c r="B144" s="160" t="s">
        <v>504</v>
      </c>
      <c r="C144" s="190">
        <v>0.3563773506542548</v>
      </c>
      <c r="D144" s="190">
        <v>0.10554114095514995</v>
      </c>
      <c r="E144" s="190">
        <v>3.3766675954895971</v>
      </c>
      <c r="F144" s="190">
        <v>1.0461571551433906E-3</v>
      </c>
      <c r="G144" s="193" t="s">
        <v>351</v>
      </c>
    </row>
    <row r="145" spans="2:7" x14ac:dyDescent="0.5">
      <c r="B145" s="160" t="s">
        <v>516</v>
      </c>
      <c r="C145" s="190">
        <v>0.33144989330301422</v>
      </c>
      <c r="D145" s="190">
        <v>0.10554114095514995</v>
      </c>
      <c r="E145" s="190">
        <v>3.1404804828087363</v>
      </c>
      <c r="F145" s="190">
        <v>2.2183224263140973E-3</v>
      </c>
      <c r="G145" s="193" t="s">
        <v>351</v>
      </c>
    </row>
    <row r="146" spans="2:7" x14ac:dyDescent="0.5">
      <c r="B146" s="160" t="s">
        <v>513</v>
      </c>
      <c r="C146" s="190">
        <v>0.32346709767422038</v>
      </c>
      <c r="D146" s="190">
        <v>0.10554114095514995</v>
      </c>
      <c r="E146" s="190">
        <v>3.0648436689885585</v>
      </c>
      <c r="F146" s="190">
        <v>2.7999122260458321E-3</v>
      </c>
      <c r="G146" s="213" t="s">
        <v>351</v>
      </c>
    </row>
    <row r="147" spans="2:7" x14ac:dyDescent="0.5">
      <c r="B147" s="160" t="s">
        <v>512</v>
      </c>
      <c r="C147" s="190">
        <v>0.29719786463899156</v>
      </c>
      <c r="D147" s="190">
        <v>0.10554114095514995</v>
      </c>
      <c r="E147" s="190">
        <v>2.8159432610766144</v>
      </c>
      <c r="F147" s="190">
        <v>5.8594612765247873E-3</v>
      </c>
      <c r="G147" s="193" t="s">
        <v>351</v>
      </c>
    </row>
    <row r="148" spans="2:7" x14ac:dyDescent="0.5">
      <c r="B148" s="160" t="s">
        <v>505</v>
      </c>
      <c r="C148" s="190">
        <v>0.26244503634375582</v>
      </c>
      <c r="D148" s="190">
        <v>0.10554114095514995</v>
      </c>
      <c r="E148" s="190">
        <v>2.4866609738024597</v>
      </c>
      <c r="F148" s="190">
        <v>1.4550750172289987E-2</v>
      </c>
      <c r="G148" s="193" t="s">
        <v>351</v>
      </c>
    </row>
    <row r="149" spans="2:7" x14ac:dyDescent="0.5">
      <c r="B149" s="160" t="s">
        <v>502</v>
      </c>
      <c r="C149" s="190">
        <v>0.25079953404199606</v>
      </c>
      <c r="D149" s="190">
        <v>0.10554114095514995</v>
      </c>
      <c r="E149" s="190">
        <v>2.3763200944414096</v>
      </c>
      <c r="F149" s="190">
        <v>1.9390537572390801E-2</v>
      </c>
      <c r="G149" s="193" t="s">
        <v>351</v>
      </c>
    </row>
    <row r="150" spans="2:7" x14ac:dyDescent="0.5">
      <c r="B150" s="160" t="s">
        <v>511</v>
      </c>
      <c r="C150" s="190">
        <v>0.24640771191792321</v>
      </c>
      <c r="D150" s="190">
        <v>0.10554114095514995</v>
      </c>
      <c r="E150" s="190">
        <v>2.3347076759633949</v>
      </c>
      <c r="F150" s="190">
        <v>2.1557700766179688E-2</v>
      </c>
      <c r="G150" s="193" t="s">
        <v>351</v>
      </c>
    </row>
    <row r="151" spans="2:7" x14ac:dyDescent="0.5">
      <c r="B151" s="160" t="s">
        <v>501</v>
      </c>
      <c r="C151" s="190">
        <v>0.19309106960282896</v>
      </c>
      <c r="D151" s="190">
        <v>0.10554114095514995</v>
      </c>
      <c r="E151" s="190">
        <v>1.8295336572577288</v>
      </c>
      <c r="F151" s="190">
        <v>7.0299261302199059E-2</v>
      </c>
      <c r="G151" s="193" t="s">
        <v>352</v>
      </c>
    </row>
    <row r="152" spans="2:7" x14ac:dyDescent="0.5">
      <c r="B152" s="160" t="s">
        <v>506</v>
      </c>
      <c r="C152" s="190">
        <v>0.1002653598962113</v>
      </c>
      <c r="D152" s="190">
        <v>0.10554114095514995</v>
      </c>
      <c r="E152" s="190">
        <v>0.95001208996612407</v>
      </c>
      <c r="F152" s="190">
        <v>0.34439649285098839</v>
      </c>
      <c r="G152" s="193" t="s">
        <v>352</v>
      </c>
    </row>
    <row r="153" spans="2:7" x14ac:dyDescent="0.5">
      <c r="B153" s="160" t="s">
        <v>500</v>
      </c>
      <c r="C153" s="190">
        <v>4.3244136775349204E-2</v>
      </c>
      <c r="D153" s="190">
        <v>0.10554114095514995</v>
      </c>
      <c r="E153" s="190">
        <v>0.40973724922801374</v>
      </c>
      <c r="F153" s="190">
        <v>0.68287509778634536</v>
      </c>
      <c r="G153" s="193" t="s">
        <v>352</v>
      </c>
    </row>
    <row r="154" spans="2:7" x14ac:dyDescent="0.5">
      <c r="B154" s="160" t="s">
        <v>517</v>
      </c>
      <c r="C154" s="190">
        <v>4.0579919051886605E-2</v>
      </c>
      <c r="D154" s="190">
        <v>0.10554114095514995</v>
      </c>
      <c r="E154" s="190">
        <v>0.38449384462435526</v>
      </c>
      <c r="F154" s="190">
        <v>0.70142890524248303</v>
      </c>
      <c r="G154" s="199" t="s">
        <v>352</v>
      </c>
    </row>
    <row r="155" spans="2:7" x14ac:dyDescent="0.5">
      <c r="B155" s="160" t="s">
        <v>499</v>
      </c>
      <c r="C155" s="190">
        <v>1.3856997653466346E-2</v>
      </c>
      <c r="D155" s="190">
        <v>0.10554114095514995</v>
      </c>
      <c r="E155" s="190">
        <v>0.13129474940350438</v>
      </c>
      <c r="F155" s="190">
        <v>0.89580593044336887</v>
      </c>
      <c r="G155" s="193" t="s">
        <v>352</v>
      </c>
    </row>
    <row r="156" spans="2:7" x14ac:dyDescent="0.5">
      <c r="B156" s="160" t="s">
        <v>708</v>
      </c>
      <c r="C156" s="190">
        <v>0.50735538299766403</v>
      </c>
      <c r="D156" s="190">
        <v>0.10554114095514995</v>
      </c>
      <c r="E156" s="190">
        <v>4.8071811466702483</v>
      </c>
      <c r="F156" s="190" t="s">
        <v>272</v>
      </c>
      <c r="G156" s="193" t="s">
        <v>351</v>
      </c>
    </row>
    <row r="157" spans="2:7" x14ac:dyDescent="0.5">
      <c r="B157" s="160" t="s">
        <v>706</v>
      </c>
      <c r="C157" s="190">
        <v>0.48969823909473048</v>
      </c>
      <c r="D157" s="190">
        <v>0.10554114095514995</v>
      </c>
      <c r="E157" s="190">
        <v>4.6398800947474061</v>
      </c>
      <c r="F157" s="190" t="s">
        <v>272</v>
      </c>
      <c r="G157" s="193" t="s">
        <v>351</v>
      </c>
    </row>
    <row r="158" spans="2:7" x14ac:dyDescent="0.5">
      <c r="B158" s="160" t="s">
        <v>716</v>
      </c>
      <c r="C158" s="190">
        <v>0.46550882617626166</v>
      </c>
      <c r="D158" s="190">
        <v>0.10554114095514995</v>
      </c>
      <c r="E158" s="190">
        <v>4.410685936909486</v>
      </c>
      <c r="F158" s="190" t="s">
        <v>272</v>
      </c>
      <c r="G158" s="193" t="s">
        <v>351</v>
      </c>
    </row>
    <row r="159" spans="2:7" x14ac:dyDescent="0.5">
      <c r="B159" s="160" t="s">
        <v>711</v>
      </c>
      <c r="C159" s="190">
        <v>0.45918939593919633</v>
      </c>
      <c r="D159" s="190">
        <v>0.10554114095514995</v>
      </c>
      <c r="E159" s="190">
        <v>4.3508094737608562</v>
      </c>
      <c r="F159" s="190" t="s">
        <v>272</v>
      </c>
      <c r="G159" s="193" t="s">
        <v>351</v>
      </c>
    </row>
    <row r="160" spans="2:7" x14ac:dyDescent="0.5">
      <c r="B160" s="160" t="s">
        <v>713</v>
      </c>
      <c r="C160" s="190">
        <v>0.43383064709689689</v>
      </c>
      <c r="D160" s="190">
        <v>0.10554114095514995</v>
      </c>
      <c r="E160" s="190">
        <v>4.1105358836442241</v>
      </c>
      <c r="F160" s="190" t="s">
        <v>272</v>
      </c>
      <c r="G160" s="193" t="s">
        <v>351</v>
      </c>
    </row>
    <row r="161" spans="2:7" x14ac:dyDescent="0.5">
      <c r="B161" s="160" t="s">
        <v>717</v>
      </c>
      <c r="C161" s="190">
        <v>0.40416525643443024</v>
      </c>
      <c r="D161" s="190">
        <v>0.10554114095514995</v>
      </c>
      <c r="E161" s="190">
        <v>3.8294569565642802</v>
      </c>
      <c r="F161" s="190">
        <v>2.2417412250994053E-4</v>
      </c>
      <c r="G161" s="193" t="s">
        <v>351</v>
      </c>
    </row>
    <row r="162" spans="2:7" x14ac:dyDescent="0.5">
      <c r="B162" s="160" t="s">
        <v>712</v>
      </c>
      <c r="C162" s="190">
        <v>0.37744336150996205</v>
      </c>
      <c r="D162" s="190">
        <v>0.10554114095514995</v>
      </c>
      <c r="E162" s="190">
        <v>3.5762675871616532</v>
      </c>
      <c r="F162" s="190">
        <v>5.3888637394461543E-4</v>
      </c>
      <c r="G162" s="193" t="s">
        <v>351</v>
      </c>
    </row>
    <row r="163" spans="2:7" x14ac:dyDescent="0.5">
      <c r="B163" s="160" t="s">
        <v>714</v>
      </c>
      <c r="C163" s="190">
        <v>0.34252035300078842</v>
      </c>
      <c r="D163" s="190">
        <v>0.10554114095514995</v>
      </c>
      <c r="E163" s="190">
        <v>3.245372846086092</v>
      </c>
      <c r="F163" s="190">
        <v>1.5959919772803699E-3</v>
      </c>
      <c r="G163" s="193" t="s">
        <v>351</v>
      </c>
    </row>
    <row r="164" spans="2:7" x14ac:dyDescent="0.5">
      <c r="B164" s="160" t="s">
        <v>715</v>
      </c>
      <c r="C164" s="190">
        <v>0.31759289564954785</v>
      </c>
      <c r="D164" s="190">
        <v>0.10554114095514995</v>
      </c>
      <c r="E164" s="190">
        <v>3.0091857334052317</v>
      </c>
      <c r="F164" s="190">
        <v>3.3149347398272037E-3</v>
      </c>
      <c r="G164" s="193" t="s">
        <v>351</v>
      </c>
    </row>
    <row r="165" spans="2:7" x14ac:dyDescent="0.5">
      <c r="B165" s="160" t="s">
        <v>719</v>
      </c>
      <c r="C165" s="190">
        <v>0.30961010002075406</v>
      </c>
      <c r="D165" s="190">
        <v>0.10554114095514995</v>
      </c>
      <c r="E165" s="190">
        <v>2.9335489195850544</v>
      </c>
      <c r="F165" s="190">
        <v>4.1557195751011529E-3</v>
      </c>
      <c r="G165" s="193" t="s">
        <v>351</v>
      </c>
    </row>
    <row r="166" spans="2:7" x14ac:dyDescent="0.5">
      <c r="B166" s="160" t="s">
        <v>707</v>
      </c>
      <c r="C166" s="190">
        <v>0.28334086698552519</v>
      </c>
      <c r="D166" s="190">
        <v>0.10554114095514995</v>
      </c>
      <c r="E166" s="190">
        <v>2.6846485116731094</v>
      </c>
      <c r="F166" s="190">
        <v>8.500171164485747E-3</v>
      </c>
      <c r="G166" s="193" t="s">
        <v>351</v>
      </c>
    </row>
    <row r="167" spans="2:7" x14ac:dyDescent="0.5">
      <c r="B167" s="160" t="s">
        <v>718</v>
      </c>
      <c r="C167" s="190">
        <v>0.24858803869028945</v>
      </c>
      <c r="D167" s="190">
        <v>0.10554114095514995</v>
      </c>
      <c r="E167" s="190">
        <v>2.355366224398955</v>
      </c>
      <c r="F167" s="190">
        <v>2.045640518355429E-2</v>
      </c>
      <c r="G167" s="193" t="s">
        <v>351</v>
      </c>
    </row>
    <row r="168" spans="2:7" x14ac:dyDescent="0.5">
      <c r="B168" s="160" t="s">
        <v>721</v>
      </c>
      <c r="C168" s="190">
        <v>0.23694253638852975</v>
      </c>
      <c r="D168" s="190">
        <v>0.10554114095514995</v>
      </c>
      <c r="E168" s="190">
        <v>2.2450253450379054</v>
      </c>
      <c r="F168" s="190">
        <v>2.6968713113629434E-2</v>
      </c>
      <c r="G168" s="213" t="s">
        <v>351</v>
      </c>
    </row>
    <row r="169" spans="2:7" x14ac:dyDescent="0.5">
      <c r="B169" s="160" t="s">
        <v>710</v>
      </c>
      <c r="C169" s="190">
        <v>0.23255071426445686</v>
      </c>
      <c r="D169" s="190">
        <v>0.10554114095514995</v>
      </c>
      <c r="E169" s="190">
        <v>2.2034129265598903</v>
      </c>
      <c r="F169" s="190">
        <v>2.9860562056281754E-2</v>
      </c>
      <c r="G169" s="193" t="s">
        <v>351</v>
      </c>
    </row>
    <row r="170" spans="2:7" x14ac:dyDescent="0.5">
      <c r="B170" s="160" t="s">
        <v>720</v>
      </c>
      <c r="C170" s="190">
        <v>0.17923407194936258</v>
      </c>
      <c r="D170" s="190">
        <v>0.10554114095514995</v>
      </c>
      <c r="E170" s="190">
        <v>1.6982389078542242</v>
      </c>
      <c r="F170" s="190">
        <v>9.2572315777254208E-2</v>
      </c>
      <c r="G170" s="193" t="s">
        <v>352</v>
      </c>
    </row>
    <row r="171" spans="2:7" x14ac:dyDescent="0.5">
      <c r="B171" s="160" t="s">
        <v>709</v>
      </c>
      <c r="C171" s="190">
        <v>8.6408362242744952E-2</v>
      </c>
      <c r="D171" s="190">
        <v>0.10554114095514995</v>
      </c>
      <c r="E171" s="190">
        <v>0.81871734056261969</v>
      </c>
      <c r="F171" s="190">
        <v>0.41489449216681779</v>
      </c>
      <c r="G171" s="193" t="s">
        <v>352</v>
      </c>
    </row>
    <row r="172" spans="2:7" x14ac:dyDescent="0.5">
      <c r="B172" s="160" t="s">
        <v>1496</v>
      </c>
      <c r="C172" s="190">
        <v>2.9387139121882858E-2</v>
      </c>
      <c r="D172" s="190">
        <v>0.10554114095514995</v>
      </c>
      <c r="E172" s="190">
        <v>0.27844249982450936</v>
      </c>
      <c r="F172" s="190">
        <v>0.78124764477947217</v>
      </c>
      <c r="G172" s="199" t="s">
        <v>352</v>
      </c>
    </row>
    <row r="173" spans="2:7" x14ac:dyDescent="0.5">
      <c r="B173" s="160" t="s">
        <v>722</v>
      </c>
      <c r="C173" s="190">
        <v>2.6722921398420259E-2</v>
      </c>
      <c r="D173" s="190">
        <v>0.10554114095514995</v>
      </c>
      <c r="E173" s="190">
        <v>0.25319909522085088</v>
      </c>
      <c r="F173" s="190">
        <v>0.80063415951767491</v>
      </c>
      <c r="G173" s="193" t="s">
        <v>352</v>
      </c>
    </row>
    <row r="174" spans="2:7" x14ac:dyDescent="0.5">
      <c r="B174" s="160" t="s">
        <v>527</v>
      </c>
      <c r="C174" s="190">
        <v>0.48063246159924383</v>
      </c>
      <c r="D174" s="190">
        <v>0.10554114095514995</v>
      </c>
      <c r="E174" s="190">
        <v>4.553982051449398</v>
      </c>
      <c r="F174" s="190" t="s">
        <v>272</v>
      </c>
      <c r="G174" s="193" t="s">
        <v>351</v>
      </c>
    </row>
    <row r="175" spans="2:7" x14ac:dyDescent="0.5">
      <c r="B175" s="160" t="s">
        <v>526</v>
      </c>
      <c r="C175" s="190">
        <v>0.46297531769631023</v>
      </c>
      <c r="D175" s="190">
        <v>0.10554114095514995</v>
      </c>
      <c r="E175" s="190">
        <v>4.386680999526555</v>
      </c>
      <c r="F175" s="190" t="s">
        <v>272</v>
      </c>
      <c r="G175" s="193" t="s">
        <v>351</v>
      </c>
    </row>
    <row r="176" spans="2:7" x14ac:dyDescent="0.5">
      <c r="B176" s="160" t="s">
        <v>529</v>
      </c>
      <c r="C176" s="190">
        <v>0.43878590477784141</v>
      </c>
      <c r="D176" s="190">
        <v>0.10554114095514995</v>
      </c>
      <c r="E176" s="190">
        <v>4.1574868416886348</v>
      </c>
      <c r="F176" s="190" t="s">
        <v>272</v>
      </c>
      <c r="G176" s="213" t="s">
        <v>351</v>
      </c>
    </row>
    <row r="177" spans="2:7" x14ac:dyDescent="0.5">
      <c r="B177" s="160" t="s">
        <v>528</v>
      </c>
      <c r="C177" s="190">
        <v>0.43246647454077608</v>
      </c>
      <c r="D177" s="190">
        <v>0.10554114095514995</v>
      </c>
      <c r="E177" s="190">
        <v>4.097610378540006</v>
      </c>
      <c r="F177" s="190" t="s">
        <v>272</v>
      </c>
      <c r="G177" s="193" t="s">
        <v>351</v>
      </c>
    </row>
    <row r="178" spans="2:7" x14ac:dyDescent="0.5">
      <c r="B178" s="160" t="s">
        <v>534</v>
      </c>
      <c r="C178" s="190">
        <v>0.40710772569847664</v>
      </c>
      <c r="D178" s="190">
        <v>0.10554114095514995</v>
      </c>
      <c r="E178" s="190">
        <v>3.8573367884233729</v>
      </c>
      <c r="F178" s="190">
        <v>2.0305683421794664E-4</v>
      </c>
      <c r="G178" s="193" t="s">
        <v>351</v>
      </c>
    </row>
    <row r="179" spans="2:7" x14ac:dyDescent="0.5">
      <c r="B179" s="160" t="s">
        <v>522</v>
      </c>
      <c r="C179" s="190">
        <v>0.37744233503600999</v>
      </c>
      <c r="D179" s="190">
        <v>0.10554114095514995</v>
      </c>
      <c r="E179" s="190">
        <v>3.5762578613434295</v>
      </c>
      <c r="F179" s="190">
        <v>5.3890412329371106E-4</v>
      </c>
      <c r="G179" s="193" t="s">
        <v>351</v>
      </c>
    </row>
    <row r="180" spans="2:7" x14ac:dyDescent="0.5">
      <c r="B180" s="160" t="s">
        <v>533</v>
      </c>
      <c r="C180" s="190">
        <v>0.3507204401115418</v>
      </c>
      <c r="D180" s="190">
        <v>0.10554114095514995</v>
      </c>
      <c r="E180" s="190">
        <v>3.3230684919408024</v>
      </c>
      <c r="F180" s="190">
        <v>1.2447211435625916E-3</v>
      </c>
      <c r="G180" s="193" t="s">
        <v>351</v>
      </c>
    </row>
    <row r="181" spans="2:7" x14ac:dyDescent="0.5">
      <c r="B181" s="160" t="s">
        <v>523</v>
      </c>
      <c r="C181" s="190">
        <v>0.31579743160236817</v>
      </c>
      <c r="D181" s="190">
        <v>0.10554114095514995</v>
      </c>
      <c r="E181" s="190">
        <v>2.9921737508652413</v>
      </c>
      <c r="F181" s="190">
        <v>3.4890299629748356E-3</v>
      </c>
      <c r="G181" s="193" t="s">
        <v>351</v>
      </c>
    </row>
    <row r="182" spans="2:7" x14ac:dyDescent="0.5">
      <c r="B182" s="160" t="s">
        <v>535</v>
      </c>
      <c r="C182" s="190">
        <v>0.29086997425112759</v>
      </c>
      <c r="D182" s="190">
        <v>0.10554114095514995</v>
      </c>
      <c r="E182" s="190">
        <v>2.7559866381843809</v>
      </c>
      <c r="F182" s="190">
        <v>6.9550536450564979E-3</v>
      </c>
      <c r="G182" s="193" t="s">
        <v>351</v>
      </c>
    </row>
    <row r="183" spans="2:7" x14ac:dyDescent="0.5">
      <c r="B183" s="160" t="s">
        <v>532</v>
      </c>
      <c r="C183" s="190">
        <v>0.28288717862233376</v>
      </c>
      <c r="D183" s="190">
        <v>0.10554114095514995</v>
      </c>
      <c r="E183" s="190">
        <v>2.6803498243642028</v>
      </c>
      <c r="F183" s="190">
        <v>8.6025509755578485E-3</v>
      </c>
      <c r="G183" s="193" t="s">
        <v>351</v>
      </c>
    </row>
    <row r="184" spans="2:7" x14ac:dyDescent="0.5">
      <c r="B184" s="160" t="s">
        <v>531</v>
      </c>
      <c r="C184" s="190">
        <v>0.25661794558710493</v>
      </c>
      <c r="D184" s="190">
        <v>0.10554114095514995</v>
      </c>
      <c r="E184" s="190">
        <v>2.4314494164522586</v>
      </c>
      <c r="F184" s="190">
        <v>1.6817907061627377E-2</v>
      </c>
      <c r="G184" s="193" t="s">
        <v>351</v>
      </c>
    </row>
    <row r="185" spans="2:7" x14ac:dyDescent="0.5">
      <c r="B185" s="160" t="s">
        <v>524</v>
      </c>
      <c r="C185" s="190">
        <v>0.2218651172918692</v>
      </c>
      <c r="D185" s="190">
        <v>0.10554114095514995</v>
      </c>
      <c r="E185" s="190">
        <v>2.1021671291781039</v>
      </c>
      <c r="F185" s="190">
        <v>3.8050582068339021E-2</v>
      </c>
      <c r="G185" s="193" t="s">
        <v>351</v>
      </c>
    </row>
    <row r="186" spans="2:7" x14ac:dyDescent="0.5">
      <c r="B186" s="160" t="s">
        <v>521</v>
      </c>
      <c r="C186" s="190">
        <v>0.21021961499010949</v>
      </c>
      <c r="D186" s="190">
        <v>0.10554114095514995</v>
      </c>
      <c r="E186" s="190">
        <v>1.9918262498170547</v>
      </c>
      <c r="F186" s="190">
        <v>4.9116951857166621E-2</v>
      </c>
      <c r="G186" s="193" t="s">
        <v>351</v>
      </c>
    </row>
    <row r="187" spans="2:7" x14ac:dyDescent="0.5">
      <c r="B187" s="160" t="s">
        <v>530</v>
      </c>
      <c r="C187" s="190">
        <v>0.20582779286603661</v>
      </c>
      <c r="D187" s="190">
        <v>0.10554114095514995</v>
      </c>
      <c r="E187" s="190">
        <v>1.9502138313390396</v>
      </c>
      <c r="F187" s="190">
        <v>5.3950459710084907E-2</v>
      </c>
      <c r="G187" s="193" t="s">
        <v>352</v>
      </c>
    </row>
    <row r="188" spans="2:7" x14ac:dyDescent="0.5">
      <c r="B188" s="160" t="s">
        <v>520</v>
      </c>
      <c r="C188" s="190">
        <v>0.15251115055094233</v>
      </c>
      <c r="D188" s="190">
        <v>0.10554114095514995</v>
      </c>
      <c r="E188" s="190">
        <v>1.4450398126333734</v>
      </c>
      <c r="F188" s="190">
        <v>0.15157307781343723</v>
      </c>
      <c r="G188" s="193" t="s">
        <v>352</v>
      </c>
    </row>
    <row r="189" spans="2:7" x14ac:dyDescent="0.5">
      <c r="B189" s="160" t="s">
        <v>525</v>
      </c>
      <c r="C189" s="190">
        <v>5.9685440844324693E-2</v>
      </c>
      <c r="D189" s="190">
        <v>0.10554114095514995</v>
      </c>
      <c r="E189" s="190">
        <v>0.56551824534176875</v>
      </c>
      <c r="F189" s="190">
        <v>0.57298801075296513</v>
      </c>
      <c r="G189" s="193" t="s">
        <v>352</v>
      </c>
    </row>
    <row r="190" spans="2:7" x14ac:dyDescent="0.5">
      <c r="B190" s="160" t="s">
        <v>519</v>
      </c>
      <c r="C190" s="190">
        <v>2.6642177234625988E-3</v>
      </c>
      <c r="D190" s="190">
        <v>0.10554114095514995</v>
      </c>
      <c r="E190" s="190">
        <v>2.5243404603658461E-2</v>
      </c>
      <c r="F190" s="190">
        <v>0.97991112167724581</v>
      </c>
      <c r="G190" s="193" t="s">
        <v>352</v>
      </c>
    </row>
    <row r="191" spans="2:7" x14ac:dyDescent="0.5">
      <c r="B191" s="160" t="s">
        <v>692</v>
      </c>
      <c r="C191" s="190">
        <v>0.47796824387578124</v>
      </c>
      <c r="D191" s="190">
        <v>0.10554114095514995</v>
      </c>
      <c r="E191" s="190">
        <v>4.5287386468457393</v>
      </c>
      <c r="F191" s="190" t="s">
        <v>272</v>
      </c>
      <c r="G191" s="193" t="s">
        <v>351</v>
      </c>
    </row>
    <row r="192" spans="2:7" x14ac:dyDescent="0.5">
      <c r="B192" s="160" t="s">
        <v>690</v>
      </c>
      <c r="C192" s="190">
        <v>0.46031109997284764</v>
      </c>
      <c r="D192" s="190">
        <v>0.10554114095514995</v>
      </c>
      <c r="E192" s="190">
        <v>4.3614375949228963</v>
      </c>
      <c r="F192" s="190" t="s">
        <v>272</v>
      </c>
      <c r="G192" s="193" t="s">
        <v>351</v>
      </c>
    </row>
    <row r="193" spans="2:7" x14ac:dyDescent="0.5">
      <c r="B193" s="160" t="s">
        <v>700</v>
      </c>
      <c r="C193" s="190">
        <v>0.43612168705437881</v>
      </c>
      <c r="D193" s="190">
        <v>0.10554114095514995</v>
      </c>
      <c r="E193" s="190">
        <v>4.1322434370849761</v>
      </c>
      <c r="F193" s="190" t="s">
        <v>272</v>
      </c>
      <c r="G193" s="193" t="s">
        <v>351</v>
      </c>
    </row>
    <row r="194" spans="2:7" x14ac:dyDescent="0.5">
      <c r="B194" s="160" t="s">
        <v>695</v>
      </c>
      <c r="C194" s="190">
        <v>0.42980225681731349</v>
      </c>
      <c r="D194" s="190">
        <v>0.10554114095514995</v>
      </c>
      <c r="E194" s="190">
        <v>4.0723669739363473</v>
      </c>
      <c r="F194" s="190" t="s">
        <v>272</v>
      </c>
      <c r="G194" s="193" t="s">
        <v>351</v>
      </c>
    </row>
    <row r="195" spans="2:7" x14ac:dyDescent="0.5">
      <c r="B195" s="160" t="s">
        <v>697</v>
      </c>
      <c r="C195" s="190">
        <v>0.40444350797501405</v>
      </c>
      <c r="D195" s="190">
        <v>0.10554114095514995</v>
      </c>
      <c r="E195" s="190">
        <v>3.8320933838197146</v>
      </c>
      <c r="F195" s="190">
        <v>2.2209092438288503E-4</v>
      </c>
      <c r="G195" s="193" t="s">
        <v>351</v>
      </c>
    </row>
    <row r="196" spans="2:7" x14ac:dyDescent="0.5">
      <c r="B196" s="160" t="s">
        <v>701</v>
      </c>
      <c r="C196" s="190">
        <v>0.3747781173125474</v>
      </c>
      <c r="D196" s="190">
        <v>0.10554114095514995</v>
      </c>
      <c r="E196" s="190">
        <v>3.5510144567397708</v>
      </c>
      <c r="F196" s="190">
        <v>5.8688309022640465E-4</v>
      </c>
      <c r="G196" s="193" t="s">
        <v>351</v>
      </c>
    </row>
    <row r="197" spans="2:7" x14ac:dyDescent="0.5">
      <c r="B197" s="160" t="s">
        <v>696</v>
      </c>
      <c r="C197" s="190">
        <v>0.34805622238807921</v>
      </c>
      <c r="D197" s="190">
        <v>0.10554114095514995</v>
      </c>
      <c r="E197" s="190">
        <v>3.2978250873371437</v>
      </c>
      <c r="F197" s="190">
        <v>1.3500092028732209E-3</v>
      </c>
      <c r="G197" s="193" t="s">
        <v>351</v>
      </c>
    </row>
    <row r="198" spans="2:7" x14ac:dyDescent="0.5">
      <c r="B198" s="160" t="s">
        <v>698</v>
      </c>
      <c r="C198" s="190">
        <v>0.31313321387890558</v>
      </c>
      <c r="D198" s="190">
        <v>0.10554114095514995</v>
      </c>
      <c r="E198" s="190">
        <v>2.966930346261583</v>
      </c>
      <c r="F198" s="190">
        <v>3.7629721458175684E-3</v>
      </c>
      <c r="G198" s="193" t="s">
        <v>351</v>
      </c>
    </row>
    <row r="199" spans="2:7" x14ac:dyDescent="0.5">
      <c r="B199" s="160" t="s">
        <v>699</v>
      </c>
      <c r="C199" s="190">
        <v>0.288205756527665</v>
      </c>
      <c r="D199" s="190">
        <v>0.10554114095514995</v>
      </c>
      <c r="E199" s="190">
        <v>2.7307432335807227</v>
      </c>
      <c r="F199" s="190">
        <v>7.4698409496669034E-3</v>
      </c>
      <c r="G199" s="193" t="s">
        <v>351</v>
      </c>
    </row>
    <row r="200" spans="2:7" x14ac:dyDescent="0.5">
      <c r="B200" s="160" t="s">
        <v>703</v>
      </c>
      <c r="C200" s="190">
        <v>0.28022296089887117</v>
      </c>
      <c r="D200" s="190">
        <v>0.10554114095514995</v>
      </c>
      <c r="E200" s="190">
        <v>2.6551064197605445</v>
      </c>
      <c r="F200" s="190">
        <v>9.2266635869023492E-3</v>
      </c>
      <c r="G200" s="193" t="s">
        <v>351</v>
      </c>
    </row>
    <row r="201" spans="2:7" x14ac:dyDescent="0.5">
      <c r="B201" s="160" t="s">
        <v>691</v>
      </c>
      <c r="C201" s="190">
        <v>0.25395372786364234</v>
      </c>
      <c r="D201" s="190">
        <v>0.10554114095514995</v>
      </c>
      <c r="E201" s="190">
        <v>2.4062060118486004</v>
      </c>
      <c r="F201" s="190">
        <v>1.7955572642081662E-2</v>
      </c>
      <c r="G201" s="193" t="s">
        <v>351</v>
      </c>
    </row>
    <row r="202" spans="2:7" x14ac:dyDescent="0.5">
      <c r="B202" s="160" t="s">
        <v>702</v>
      </c>
      <c r="C202" s="190">
        <v>0.2192008995684066</v>
      </c>
      <c r="D202" s="190">
        <v>0.10554114095514995</v>
      </c>
      <c r="E202" s="190">
        <v>2.0769237245744456</v>
      </c>
      <c r="F202" s="190">
        <v>4.037206605390524E-2</v>
      </c>
      <c r="G202" s="193" t="s">
        <v>351</v>
      </c>
    </row>
    <row r="203" spans="2:7" x14ac:dyDescent="0.5">
      <c r="B203" s="160" t="s">
        <v>705</v>
      </c>
      <c r="C203" s="190">
        <v>0.2075553972666469</v>
      </c>
      <c r="D203" s="190">
        <v>0.10554114095514995</v>
      </c>
      <c r="E203" s="190">
        <v>1.9665828452133964</v>
      </c>
      <c r="F203" s="190">
        <v>5.2003031775744883E-2</v>
      </c>
      <c r="G203" s="193" t="s">
        <v>352</v>
      </c>
    </row>
    <row r="204" spans="2:7" x14ac:dyDescent="0.5">
      <c r="B204" s="160" t="s">
        <v>694</v>
      </c>
      <c r="C204" s="190">
        <v>0.20316357514257399</v>
      </c>
      <c r="D204" s="190">
        <v>0.10554114095514995</v>
      </c>
      <c r="E204" s="190">
        <v>1.9249704267353809</v>
      </c>
      <c r="F204" s="190">
        <v>5.707461318153581E-2</v>
      </c>
      <c r="G204" s="193" t="s">
        <v>352</v>
      </c>
    </row>
    <row r="205" spans="2:7" x14ac:dyDescent="0.5">
      <c r="B205" s="160" t="s">
        <v>704</v>
      </c>
      <c r="C205" s="190">
        <v>0.14984693282747974</v>
      </c>
      <c r="D205" s="190">
        <v>0.10554114095514995</v>
      </c>
      <c r="E205" s="190">
        <v>1.419796408029715</v>
      </c>
      <c r="F205" s="190">
        <v>0.15877695074614365</v>
      </c>
      <c r="G205" s="213" t="s">
        <v>352</v>
      </c>
    </row>
    <row r="206" spans="2:7" x14ac:dyDescent="0.5">
      <c r="B206" s="160" t="s">
        <v>693</v>
      </c>
      <c r="C206" s="190">
        <v>5.7021223120862094E-2</v>
      </c>
      <c r="D206" s="190">
        <v>0.10554114095514995</v>
      </c>
      <c r="E206" s="190">
        <v>0.54027484073811038</v>
      </c>
      <c r="F206" s="190">
        <v>0.59020875945994011</v>
      </c>
      <c r="G206" s="193" t="s">
        <v>352</v>
      </c>
    </row>
    <row r="207" spans="2:7" x14ac:dyDescent="0.5">
      <c r="B207" s="160" t="s">
        <v>772</v>
      </c>
      <c r="C207" s="190">
        <v>0.42094702075491913</v>
      </c>
      <c r="D207" s="190">
        <v>0.10554114095514995</v>
      </c>
      <c r="E207" s="190">
        <v>3.988463806107629</v>
      </c>
      <c r="F207" s="190">
        <v>1.2673002594067051E-4</v>
      </c>
      <c r="G207" s="193" t="s">
        <v>351</v>
      </c>
    </row>
    <row r="208" spans="2:7" x14ac:dyDescent="0.5">
      <c r="B208" s="160" t="s">
        <v>770</v>
      </c>
      <c r="C208" s="190">
        <v>0.40328987685198553</v>
      </c>
      <c r="D208" s="190">
        <v>0.10554114095514995</v>
      </c>
      <c r="E208" s="190">
        <v>3.8211627541847863</v>
      </c>
      <c r="F208" s="190">
        <v>2.3084995478367954E-4</v>
      </c>
      <c r="G208" s="211" t="s">
        <v>351</v>
      </c>
    </row>
    <row r="209" spans="2:7" x14ac:dyDescent="0.5">
      <c r="B209" s="160" t="s">
        <v>1497</v>
      </c>
      <c r="C209" s="190">
        <v>0.37910046393351671</v>
      </c>
      <c r="D209" s="190">
        <v>0.10554114095514995</v>
      </c>
      <c r="E209" s="190">
        <v>3.5919685963468662</v>
      </c>
      <c r="F209" s="190">
        <v>5.1094214540509304E-4</v>
      </c>
      <c r="G209" s="193" t="s">
        <v>351</v>
      </c>
    </row>
    <row r="210" spans="2:7" x14ac:dyDescent="0.5">
      <c r="B210" s="160" t="s">
        <v>1498</v>
      </c>
      <c r="C210" s="190">
        <v>0.37278103369645138</v>
      </c>
      <c r="D210" s="190">
        <v>0.10554114095514995</v>
      </c>
      <c r="E210" s="190">
        <v>3.5320921331982369</v>
      </c>
      <c r="F210" s="190">
        <v>6.2546503434880599E-4</v>
      </c>
      <c r="G210" s="193" t="s">
        <v>351</v>
      </c>
    </row>
    <row r="211" spans="2:7" x14ac:dyDescent="0.5">
      <c r="B211" s="160" t="s">
        <v>1499</v>
      </c>
      <c r="C211" s="190">
        <v>0.34742228485415194</v>
      </c>
      <c r="D211" s="190">
        <v>0.10554114095514995</v>
      </c>
      <c r="E211" s="190">
        <v>3.2918185430816043</v>
      </c>
      <c r="F211" s="190">
        <v>1.3762619133273395E-3</v>
      </c>
      <c r="G211" s="193" t="s">
        <v>351</v>
      </c>
    </row>
    <row r="212" spans="2:7" x14ac:dyDescent="0.5">
      <c r="B212" s="160" t="s">
        <v>665</v>
      </c>
      <c r="C212" s="190">
        <v>0.31775689419168529</v>
      </c>
      <c r="D212" s="190">
        <v>0.10554114095514995</v>
      </c>
      <c r="E212" s="190">
        <v>3.0107396160016604</v>
      </c>
      <c r="F212" s="190">
        <v>3.2994397778822828E-3</v>
      </c>
      <c r="G212" s="193" t="s">
        <v>351</v>
      </c>
    </row>
    <row r="213" spans="2:7" x14ac:dyDescent="0.5">
      <c r="B213" s="160" t="s">
        <v>1500</v>
      </c>
      <c r="C213" s="190">
        <v>0.2910349992672171</v>
      </c>
      <c r="D213" s="190">
        <v>0.10554114095514995</v>
      </c>
      <c r="E213" s="190">
        <v>2.7575502465990334</v>
      </c>
      <c r="F213" s="190">
        <v>6.9242565804870345E-3</v>
      </c>
      <c r="G213" s="193" t="s">
        <v>351</v>
      </c>
    </row>
    <row r="214" spans="2:7" x14ac:dyDescent="0.5">
      <c r="B214" s="160" t="s">
        <v>666</v>
      </c>
      <c r="C214" s="190">
        <v>0.25611199075804347</v>
      </c>
      <c r="D214" s="190">
        <v>0.10554114095514995</v>
      </c>
      <c r="E214" s="190">
        <v>2.4266555055234726</v>
      </c>
      <c r="F214" s="190">
        <v>1.7028885914110396E-2</v>
      </c>
      <c r="G214" s="193" t="s">
        <v>351</v>
      </c>
    </row>
    <row r="215" spans="2:7" x14ac:dyDescent="0.5">
      <c r="B215" s="160" t="s">
        <v>1501</v>
      </c>
      <c r="C215" s="190">
        <v>0.23118453340680292</v>
      </c>
      <c r="D215" s="190">
        <v>0.10554114095514995</v>
      </c>
      <c r="E215" s="190">
        <v>2.1904683928426123</v>
      </c>
      <c r="F215" s="190">
        <v>3.0813691240492429E-2</v>
      </c>
      <c r="G215" s="193" t="s">
        <v>351</v>
      </c>
    </row>
    <row r="216" spans="2:7" x14ac:dyDescent="0.5">
      <c r="B216" s="160" t="s">
        <v>1502</v>
      </c>
      <c r="C216" s="190">
        <v>0.22320173777800908</v>
      </c>
      <c r="D216" s="190">
        <v>0.10554114095514995</v>
      </c>
      <c r="E216" s="190">
        <v>2.1148315790224341</v>
      </c>
      <c r="F216" s="190">
        <v>3.6929952589279821E-2</v>
      </c>
      <c r="G216" s="193" t="s">
        <v>351</v>
      </c>
    </row>
    <row r="217" spans="2:7" x14ac:dyDescent="0.5">
      <c r="B217" s="160" t="s">
        <v>771</v>
      </c>
      <c r="C217" s="190">
        <v>0.19693250474278026</v>
      </c>
      <c r="D217" s="190">
        <v>0.10554114095514995</v>
      </c>
      <c r="E217" s="190">
        <v>1.8659311711104902</v>
      </c>
      <c r="F217" s="190">
        <v>6.4981836594126832E-2</v>
      </c>
      <c r="G217" s="193" t="s">
        <v>352</v>
      </c>
    </row>
    <row r="218" spans="2:7" x14ac:dyDescent="0.5">
      <c r="B218" s="160" t="s">
        <v>667</v>
      </c>
      <c r="C218" s="190">
        <v>0.1621796764475445</v>
      </c>
      <c r="D218" s="190">
        <v>0.10554114095514995</v>
      </c>
      <c r="E218" s="190">
        <v>1.5366488838363352</v>
      </c>
      <c r="F218" s="190">
        <v>0.12753745075430417</v>
      </c>
      <c r="G218" s="193" t="s">
        <v>352</v>
      </c>
    </row>
    <row r="219" spans="2:7" x14ac:dyDescent="0.5">
      <c r="B219" s="160" t="s">
        <v>664</v>
      </c>
      <c r="C219" s="190">
        <v>0.15053417414578479</v>
      </c>
      <c r="D219" s="190">
        <v>0.10554114095514995</v>
      </c>
      <c r="E219" s="190">
        <v>1.4263080044752858</v>
      </c>
      <c r="F219" s="190">
        <v>0.15689398481323846</v>
      </c>
      <c r="G219" s="193" t="s">
        <v>352</v>
      </c>
    </row>
    <row r="220" spans="2:7" x14ac:dyDescent="0.5">
      <c r="B220" s="160" t="s">
        <v>1503</v>
      </c>
      <c r="C220" s="190">
        <v>0.14614235202171191</v>
      </c>
      <c r="D220" s="190">
        <v>0.10554114095514995</v>
      </c>
      <c r="E220" s="190">
        <v>1.3846955859972707</v>
      </c>
      <c r="F220" s="190">
        <v>0.16922736185452072</v>
      </c>
      <c r="G220" s="199" t="s">
        <v>352</v>
      </c>
    </row>
    <row r="221" spans="2:7" x14ac:dyDescent="0.5">
      <c r="B221" s="160" t="s">
        <v>663</v>
      </c>
      <c r="C221" s="190">
        <v>9.2825709706617646E-2</v>
      </c>
      <c r="D221" s="190">
        <v>0.10554114095514995</v>
      </c>
      <c r="E221" s="190">
        <v>0.87952156729160458</v>
      </c>
      <c r="F221" s="190">
        <v>0.38122720013817657</v>
      </c>
      <c r="G221" s="193" t="s">
        <v>352</v>
      </c>
    </row>
    <row r="222" spans="2:7" x14ac:dyDescent="0.5">
      <c r="B222" s="160" t="s">
        <v>737</v>
      </c>
      <c r="C222" s="190">
        <v>0.3281213110483015</v>
      </c>
      <c r="D222" s="190">
        <v>0.10554114095514995</v>
      </c>
      <c r="E222" s="190">
        <v>3.1089422388160246</v>
      </c>
      <c r="F222" s="190">
        <v>2.4456418508354717E-3</v>
      </c>
      <c r="G222" s="193" t="s">
        <v>351</v>
      </c>
    </row>
    <row r="223" spans="2:7" x14ac:dyDescent="0.5">
      <c r="B223" s="160" t="s">
        <v>735</v>
      </c>
      <c r="C223" s="190">
        <v>0.3104641671453679</v>
      </c>
      <c r="D223" s="190">
        <v>0.10554114095514995</v>
      </c>
      <c r="E223" s="190">
        <v>2.941641186893182</v>
      </c>
      <c r="F223" s="190">
        <v>4.0571877141205668E-3</v>
      </c>
      <c r="G223" s="193" t="s">
        <v>351</v>
      </c>
    </row>
    <row r="224" spans="2:7" x14ac:dyDescent="0.5">
      <c r="B224" s="160" t="s">
        <v>744</v>
      </c>
      <c r="C224" s="190">
        <v>0.28627475422689908</v>
      </c>
      <c r="D224" s="190">
        <v>0.10554114095514995</v>
      </c>
      <c r="E224" s="190">
        <v>2.7124470290552614</v>
      </c>
      <c r="F224" s="190">
        <v>7.8643783257979823E-3</v>
      </c>
      <c r="G224" s="193" t="s">
        <v>351</v>
      </c>
    </row>
    <row r="225" spans="2:7" x14ac:dyDescent="0.5">
      <c r="B225" s="160" t="s">
        <v>739</v>
      </c>
      <c r="C225" s="190">
        <v>0.27995532398983375</v>
      </c>
      <c r="D225" s="190">
        <v>0.10554114095514995</v>
      </c>
      <c r="E225" s="190">
        <v>2.6525705659066321</v>
      </c>
      <c r="F225" s="190">
        <v>9.2915741526542143E-3</v>
      </c>
      <c r="G225" s="193" t="s">
        <v>351</v>
      </c>
    </row>
    <row r="226" spans="2:7" x14ac:dyDescent="0.5">
      <c r="B226" s="160" t="s">
        <v>741</v>
      </c>
      <c r="C226" s="190">
        <v>0.25459657514753431</v>
      </c>
      <c r="D226" s="190">
        <v>0.10554114095514995</v>
      </c>
      <c r="E226" s="190">
        <v>2.4122969757899999</v>
      </c>
      <c r="F226" s="190">
        <v>1.7674973832738743E-2</v>
      </c>
      <c r="G226" s="193" t="s">
        <v>351</v>
      </c>
    </row>
    <row r="227" spans="2:7" x14ac:dyDescent="0.5">
      <c r="B227" s="160" t="s">
        <v>745</v>
      </c>
      <c r="C227" s="190">
        <v>0.22493118448506766</v>
      </c>
      <c r="D227" s="190">
        <v>0.10554114095514995</v>
      </c>
      <c r="E227" s="190">
        <v>2.131218048710056</v>
      </c>
      <c r="F227" s="190">
        <v>3.5522398851081154E-2</v>
      </c>
      <c r="G227" s="193" t="s">
        <v>351</v>
      </c>
    </row>
    <row r="228" spans="2:7" x14ac:dyDescent="0.5">
      <c r="B228" s="160" t="s">
        <v>740</v>
      </c>
      <c r="C228" s="190">
        <v>0.19820928956059947</v>
      </c>
      <c r="D228" s="190">
        <v>0.10554114095514995</v>
      </c>
      <c r="E228" s="190">
        <v>1.878028679307429</v>
      </c>
      <c r="F228" s="190">
        <v>6.3290788349850594E-2</v>
      </c>
      <c r="G228" s="193" t="s">
        <v>352</v>
      </c>
    </row>
    <row r="229" spans="2:7" x14ac:dyDescent="0.5">
      <c r="B229" s="160" t="s">
        <v>742</v>
      </c>
      <c r="C229" s="190">
        <v>0.16328628105142584</v>
      </c>
      <c r="D229" s="190">
        <v>0.10554114095514995</v>
      </c>
      <c r="E229" s="190">
        <v>1.5471339382318681</v>
      </c>
      <c r="F229" s="190">
        <v>0.12498994789324701</v>
      </c>
      <c r="G229" s="193" t="s">
        <v>352</v>
      </c>
    </row>
    <row r="230" spans="2:7" x14ac:dyDescent="0.5">
      <c r="B230" s="160" t="s">
        <v>743</v>
      </c>
      <c r="C230" s="190">
        <v>0.13835882370018526</v>
      </c>
      <c r="D230" s="190">
        <v>0.10554114095514995</v>
      </c>
      <c r="E230" s="190">
        <v>1.3109468255510075</v>
      </c>
      <c r="F230" s="190">
        <v>0.1928782396527261</v>
      </c>
      <c r="G230" s="193" t="s">
        <v>352</v>
      </c>
    </row>
    <row r="231" spans="2:7" x14ac:dyDescent="0.5">
      <c r="B231" s="160" t="s">
        <v>747</v>
      </c>
      <c r="C231" s="190">
        <v>0.13037602807139143</v>
      </c>
      <c r="D231" s="190">
        <v>0.10554114095514995</v>
      </c>
      <c r="E231" s="190">
        <v>1.2353100117308295</v>
      </c>
      <c r="F231" s="190">
        <v>0.2196095234230277</v>
      </c>
      <c r="G231" s="212" t="s">
        <v>352</v>
      </c>
    </row>
    <row r="232" spans="2:7" x14ac:dyDescent="0.5">
      <c r="B232" s="160" t="s">
        <v>736</v>
      </c>
      <c r="C232" s="190">
        <v>0.10410679503616262</v>
      </c>
      <c r="D232" s="190">
        <v>0.10554114095514995</v>
      </c>
      <c r="E232" s="190">
        <v>0.98640960381888554</v>
      </c>
      <c r="F232" s="190">
        <v>0.32631283544191669</v>
      </c>
      <c r="G232" s="193" t="s">
        <v>352</v>
      </c>
    </row>
    <row r="233" spans="2:7" x14ac:dyDescent="0.5">
      <c r="B233" s="160" t="s">
        <v>746</v>
      </c>
      <c r="C233" s="190">
        <v>6.9353966740926851E-2</v>
      </c>
      <c r="D233" s="190">
        <v>0.10554114095514995</v>
      </c>
      <c r="E233" s="190">
        <v>0.65712731654473056</v>
      </c>
      <c r="F233" s="190">
        <v>0.5126086404191823</v>
      </c>
      <c r="G233" s="193" t="s">
        <v>352</v>
      </c>
    </row>
    <row r="234" spans="2:7" x14ac:dyDescent="0.5">
      <c r="B234" s="160" t="s">
        <v>1504</v>
      </c>
      <c r="C234" s="190">
        <v>5.7708464439167148E-2</v>
      </c>
      <c r="D234" s="190">
        <v>0.10554114095514995</v>
      </c>
      <c r="E234" s="190">
        <v>0.54678643718368125</v>
      </c>
      <c r="F234" s="190">
        <v>0.58574352314266487</v>
      </c>
      <c r="G234" s="193" t="s">
        <v>352</v>
      </c>
    </row>
    <row r="235" spans="2:7" x14ac:dyDescent="0.5">
      <c r="B235" s="160" t="s">
        <v>738</v>
      </c>
      <c r="C235" s="190">
        <v>5.3316642315094268E-2</v>
      </c>
      <c r="D235" s="190">
        <v>0.10554114095514995</v>
      </c>
      <c r="E235" s="190">
        <v>0.50517401870566614</v>
      </c>
      <c r="F235" s="190">
        <v>0.61454818779101539</v>
      </c>
      <c r="G235" s="193" t="s">
        <v>352</v>
      </c>
    </row>
    <row r="236" spans="2:7" x14ac:dyDescent="0.5">
      <c r="B236" s="160" t="s">
        <v>620</v>
      </c>
      <c r="C236" s="190">
        <v>0.27480466873320719</v>
      </c>
      <c r="D236" s="190">
        <v>0.10554114095514995</v>
      </c>
      <c r="E236" s="190">
        <v>2.603768220110358</v>
      </c>
      <c r="F236" s="190">
        <v>1.0624048162719659E-2</v>
      </c>
      <c r="G236" s="193" t="s">
        <v>351</v>
      </c>
    </row>
    <row r="237" spans="2:7" x14ac:dyDescent="0.5">
      <c r="B237" s="160" t="s">
        <v>619</v>
      </c>
      <c r="C237" s="190">
        <v>0.25714752483027359</v>
      </c>
      <c r="D237" s="190">
        <v>0.10554114095514995</v>
      </c>
      <c r="E237" s="190">
        <v>2.4364671681875154</v>
      </c>
      <c r="F237" s="190">
        <v>1.6599574710945024E-2</v>
      </c>
      <c r="G237" s="193" t="s">
        <v>351</v>
      </c>
    </row>
    <row r="238" spans="2:7" x14ac:dyDescent="0.5">
      <c r="B238" s="160" t="s">
        <v>622</v>
      </c>
      <c r="C238" s="190">
        <v>0.23295811191180479</v>
      </c>
      <c r="D238" s="190">
        <v>0.10554114095514995</v>
      </c>
      <c r="E238" s="190">
        <v>2.2072730103495952</v>
      </c>
      <c r="F238" s="190">
        <v>2.9581362599705303E-2</v>
      </c>
      <c r="G238" s="193" t="s">
        <v>351</v>
      </c>
    </row>
    <row r="239" spans="2:7" x14ac:dyDescent="0.5">
      <c r="B239" s="160" t="s">
        <v>621</v>
      </c>
      <c r="C239" s="190">
        <v>0.22663868167473947</v>
      </c>
      <c r="D239" s="190">
        <v>0.10554114095514995</v>
      </c>
      <c r="E239" s="190">
        <v>2.147396547200966</v>
      </c>
      <c r="F239" s="190">
        <v>3.4178526693959176E-2</v>
      </c>
      <c r="G239" s="193" t="s">
        <v>351</v>
      </c>
    </row>
    <row r="240" spans="2:7" x14ac:dyDescent="0.5">
      <c r="B240" s="160" t="s">
        <v>1505</v>
      </c>
      <c r="C240" s="190">
        <v>0.20127993283244003</v>
      </c>
      <c r="D240" s="190">
        <v>0.10554114095514995</v>
      </c>
      <c r="E240" s="190">
        <v>1.9071229570843335</v>
      </c>
      <c r="F240" s="190">
        <v>5.9374482360822017E-2</v>
      </c>
      <c r="G240" s="193" t="s">
        <v>352</v>
      </c>
    </row>
    <row r="241" spans="2:7" x14ac:dyDescent="0.5">
      <c r="B241" s="160" t="s">
        <v>615</v>
      </c>
      <c r="C241" s="190">
        <v>0.17161454216997338</v>
      </c>
      <c r="D241" s="190">
        <v>0.10554114095514995</v>
      </c>
      <c r="E241" s="190">
        <v>1.6260440300043897</v>
      </c>
      <c r="F241" s="190">
        <v>0.10708769997213184</v>
      </c>
      <c r="G241" s="193" t="s">
        <v>352</v>
      </c>
    </row>
    <row r="242" spans="2:7" x14ac:dyDescent="0.5">
      <c r="B242" s="160" t="s">
        <v>1506</v>
      </c>
      <c r="C242" s="190">
        <v>0.14489264724550519</v>
      </c>
      <c r="D242" s="190">
        <v>0.10554114095514995</v>
      </c>
      <c r="E242" s="190">
        <v>1.3728546606017626</v>
      </c>
      <c r="F242" s="190">
        <v>0.1728684089754825</v>
      </c>
      <c r="G242" s="193" t="s">
        <v>352</v>
      </c>
    </row>
    <row r="243" spans="2:7" x14ac:dyDescent="0.5">
      <c r="B243" s="160" t="s">
        <v>616</v>
      </c>
      <c r="C243" s="190">
        <v>0.10996963873633156</v>
      </c>
      <c r="D243" s="190">
        <v>0.10554114095514995</v>
      </c>
      <c r="E243" s="190">
        <v>1.0419599195262017</v>
      </c>
      <c r="F243" s="190">
        <v>0.29994278070546981</v>
      </c>
      <c r="G243" s="193" t="s">
        <v>352</v>
      </c>
    </row>
    <row r="244" spans="2:7" x14ac:dyDescent="0.5">
      <c r="B244" s="160" t="s">
        <v>1507</v>
      </c>
      <c r="C244" s="190">
        <v>8.5042181385091009E-2</v>
      </c>
      <c r="D244" s="190">
        <v>0.10554114095514995</v>
      </c>
      <c r="E244" s="190">
        <v>0.80577280684534158</v>
      </c>
      <c r="F244" s="190">
        <v>0.4222857984674826</v>
      </c>
      <c r="G244" s="193" t="s">
        <v>352</v>
      </c>
    </row>
    <row r="245" spans="2:7" x14ac:dyDescent="0.5">
      <c r="B245" s="160" t="s">
        <v>1508</v>
      </c>
      <c r="C245" s="190">
        <v>7.7059385756297172E-2</v>
      </c>
      <c r="D245" s="190">
        <v>0.10554114095514995</v>
      </c>
      <c r="E245" s="190">
        <v>0.73013599302516363</v>
      </c>
      <c r="F245" s="190">
        <v>0.46701408112637444</v>
      </c>
      <c r="G245" s="193" t="s">
        <v>352</v>
      </c>
    </row>
    <row r="246" spans="2:7" x14ac:dyDescent="0.5">
      <c r="B246" s="160" t="s">
        <v>769</v>
      </c>
      <c r="C246" s="190">
        <v>5.0790152721068349E-2</v>
      </c>
      <c r="D246" s="190">
        <v>0.10554114095514995</v>
      </c>
      <c r="E246" s="190">
        <v>0.4812355851132194</v>
      </c>
      <c r="F246" s="190">
        <v>0.63140042355010084</v>
      </c>
      <c r="G246" s="193" t="s">
        <v>352</v>
      </c>
    </row>
    <row r="247" spans="2:7" x14ac:dyDescent="0.5">
      <c r="B247" s="160" t="s">
        <v>617</v>
      </c>
      <c r="C247" s="190">
        <v>1.6037324425832583E-2</v>
      </c>
      <c r="D247" s="190">
        <v>0.10554114095514995</v>
      </c>
      <c r="E247" s="190">
        <v>0.15195329783906444</v>
      </c>
      <c r="F247" s="190">
        <v>0.87952991869629915</v>
      </c>
      <c r="G247" s="193" t="s">
        <v>352</v>
      </c>
    </row>
    <row r="248" spans="2:7" x14ac:dyDescent="0.5">
      <c r="B248" s="160" t="s">
        <v>614</v>
      </c>
      <c r="C248" s="190">
        <v>4.3918221240728805E-3</v>
      </c>
      <c r="D248" s="190">
        <v>0.10554114095514995</v>
      </c>
      <c r="E248" s="190">
        <v>4.1612418478015126E-2</v>
      </c>
      <c r="F248" s="190">
        <v>0.96689064458266971</v>
      </c>
      <c r="G248" s="193" t="s">
        <v>352</v>
      </c>
    </row>
    <row r="249" spans="2:7" x14ac:dyDescent="0.5">
      <c r="B249" s="160" t="s">
        <v>725</v>
      </c>
      <c r="C249" s="190">
        <v>0.27041284660913434</v>
      </c>
      <c r="D249" s="190">
        <v>0.10554114095514995</v>
      </c>
      <c r="E249" s="190">
        <v>2.5621558016323429</v>
      </c>
      <c r="F249" s="190">
        <v>1.1893905095457073E-2</v>
      </c>
      <c r="G249" s="193" t="s">
        <v>351</v>
      </c>
    </row>
    <row r="250" spans="2:7" x14ac:dyDescent="0.5">
      <c r="B250" s="160" t="s">
        <v>723</v>
      </c>
      <c r="C250" s="190">
        <v>0.25275570270620074</v>
      </c>
      <c r="D250" s="190">
        <v>0.10554114095514995</v>
      </c>
      <c r="E250" s="190">
        <v>2.3948547497095003</v>
      </c>
      <c r="F250" s="190">
        <v>1.8489089254907661E-2</v>
      </c>
      <c r="G250" s="193" t="s">
        <v>351</v>
      </c>
    </row>
    <row r="251" spans="2:7" x14ac:dyDescent="0.5">
      <c r="B251" s="160" t="s">
        <v>731</v>
      </c>
      <c r="C251" s="190">
        <v>0.22856628978773191</v>
      </c>
      <c r="D251" s="190">
        <v>0.10554114095514995</v>
      </c>
      <c r="E251" s="190">
        <v>2.1656605918715801</v>
      </c>
      <c r="F251" s="190">
        <v>3.2714625020311645E-2</v>
      </c>
      <c r="G251" s="212" t="s">
        <v>351</v>
      </c>
    </row>
    <row r="252" spans="2:7" x14ac:dyDescent="0.5">
      <c r="B252" s="160" t="s">
        <v>726</v>
      </c>
      <c r="C252" s="190">
        <v>0.22224685955066659</v>
      </c>
      <c r="D252" s="190">
        <v>0.10554114095514995</v>
      </c>
      <c r="E252" s="190">
        <v>2.1057841287229508</v>
      </c>
      <c r="F252" s="190">
        <v>3.772757110317914E-2</v>
      </c>
      <c r="G252" s="193" t="s">
        <v>351</v>
      </c>
    </row>
    <row r="253" spans="2:7" x14ac:dyDescent="0.5">
      <c r="B253" s="160" t="s">
        <v>728</v>
      </c>
      <c r="C253" s="190">
        <v>0.19688811070836715</v>
      </c>
      <c r="D253" s="190">
        <v>0.10554114095514995</v>
      </c>
      <c r="E253" s="190">
        <v>1.8655105386063184</v>
      </c>
      <c r="F253" s="190">
        <v>6.5041308819276916E-2</v>
      </c>
      <c r="G253" s="193" t="s">
        <v>352</v>
      </c>
    </row>
    <row r="254" spans="2:7" x14ac:dyDescent="0.5">
      <c r="B254" s="160" t="s">
        <v>732</v>
      </c>
      <c r="C254" s="190">
        <v>0.1672227200459005</v>
      </c>
      <c r="D254" s="190">
        <v>0.10554114095514995</v>
      </c>
      <c r="E254" s="190">
        <v>1.5844316115263746</v>
      </c>
      <c r="F254" s="190">
        <v>0.11625300308326332</v>
      </c>
      <c r="G254" s="193" t="s">
        <v>352</v>
      </c>
    </row>
    <row r="255" spans="2:7" x14ac:dyDescent="0.5">
      <c r="B255" s="160" t="s">
        <v>727</v>
      </c>
      <c r="C255" s="190">
        <v>0.1405008251214323</v>
      </c>
      <c r="D255" s="190">
        <v>0.10554114095514995</v>
      </c>
      <c r="E255" s="190">
        <v>1.3312422421237475</v>
      </c>
      <c r="F255" s="190">
        <v>0.18613629837212831</v>
      </c>
      <c r="G255" s="193" t="s">
        <v>352</v>
      </c>
    </row>
    <row r="256" spans="2:7" x14ac:dyDescent="0.5">
      <c r="B256" s="160" t="s">
        <v>729</v>
      </c>
      <c r="C256" s="190">
        <v>0.10557781661225868</v>
      </c>
      <c r="D256" s="190">
        <v>0.10554114095514995</v>
      </c>
      <c r="E256" s="190">
        <v>1.0003475010481866</v>
      </c>
      <c r="F256" s="190">
        <v>0.31955685205507556</v>
      </c>
      <c r="G256" s="193" t="s">
        <v>352</v>
      </c>
    </row>
    <row r="257" spans="2:7" x14ac:dyDescent="0.5">
      <c r="B257" s="160" t="s">
        <v>730</v>
      </c>
      <c r="C257" s="190">
        <v>8.0650359261018129E-2</v>
      </c>
      <c r="D257" s="190">
        <v>0.10554114095514995</v>
      </c>
      <c r="E257" s="190">
        <v>0.76416038836732647</v>
      </c>
      <c r="F257" s="190">
        <v>0.44657102469523907</v>
      </c>
      <c r="G257" s="193" t="s">
        <v>352</v>
      </c>
    </row>
    <row r="258" spans="2:7" x14ac:dyDescent="0.5">
      <c r="B258" s="160" t="s">
        <v>734</v>
      </c>
      <c r="C258" s="190">
        <v>7.2667563632224291E-2</v>
      </c>
      <c r="D258" s="190">
        <v>0.10554114095514995</v>
      </c>
      <c r="E258" s="190">
        <v>0.68852357454714852</v>
      </c>
      <c r="F258" s="190">
        <v>0.49271737599177107</v>
      </c>
      <c r="G258" s="199" t="s">
        <v>352</v>
      </c>
    </row>
    <row r="259" spans="2:7" x14ac:dyDescent="0.5">
      <c r="B259" s="160" t="s">
        <v>724</v>
      </c>
      <c r="C259" s="190">
        <v>4.6398330596995468E-2</v>
      </c>
      <c r="D259" s="190">
        <v>0.10554114095514995</v>
      </c>
      <c r="E259" s="190">
        <v>0.43962316663520429</v>
      </c>
      <c r="F259" s="190">
        <v>0.66115866742670515</v>
      </c>
      <c r="G259" s="193" t="s">
        <v>352</v>
      </c>
    </row>
    <row r="260" spans="2:7" x14ac:dyDescent="0.5">
      <c r="B260" s="160" t="s">
        <v>733</v>
      </c>
      <c r="C260" s="190">
        <v>1.1645502301759703E-2</v>
      </c>
      <c r="D260" s="190">
        <v>0.10554114095514995</v>
      </c>
      <c r="E260" s="190">
        <v>0.11034087936104932</v>
      </c>
      <c r="F260" s="190">
        <v>0.91236018149944453</v>
      </c>
      <c r="G260" s="193" t="s">
        <v>352</v>
      </c>
    </row>
    <row r="261" spans="2:7" x14ac:dyDescent="0.5">
      <c r="B261" s="160" t="s">
        <v>753</v>
      </c>
      <c r="C261" s="190">
        <v>0.25876734430737464</v>
      </c>
      <c r="D261" s="190">
        <v>0.10554114095514995</v>
      </c>
      <c r="E261" s="190">
        <v>2.4518149222712937</v>
      </c>
      <c r="F261" s="190">
        <v>1.5947362683248954E-2</v>
      </c>
      <c r="G261" s="193" t="s">
        <v>351</v>
      </c>
    </row>
    <row r="262" spans="2:7" x14ac:dyDescent="0.5">
      <c r="B262" s="160" t="s">
        <v>751</v>
      </c>
      <c r="C262" s="190">
        <v>0.24111020040444103</v>
      </c>
      <c r="D262" s="190">
        <v>0.10554114095514995</v>
      </c>
      <c r="E262" s="190">
        <v>2.2845138703484511</v>
      </c>
      <c r="F262" s="190">
        <v>2.4454462338422776E-2</v>
      </c>
      <c r="G262" s="193" t="s">
        <v>351</v>
      </c>
    </row>
    <row r="263" spans="2:7" x14ac:dyDescent="0.5">
      <c r="B263" s="160" t="s">
        <v>758</v>
      </c>
      <c r="C263" s="190">
        <v>0.21692078748597221</v>
      </c>
      <c r="D263" s="190">
        <v>0.10554114095514995</v>
      </c>
      <c r="E263" s="190">
        <v>2.0553197125105309</v>
      </c>
      <c r="F263" s="190">
        <v>4.2454670124213438E-2</v>
      </c>
      <c r="G263" s="193" t="s">
        <v>351</v>
      </c>
    </row>
    <row r="264" spans="2:7" x14ac:dyDescent="0.5">
      <c r="B264" s="160" t="s">
        <v>754</v>
      </c>
      <c r="C264" s="190">
        <v>0.21060135724890688</v>
      </c>
      <c r="D264" s="190">
        <v>0.10554114095514995</v>
      </c>
      <c r="E264" s="190">
        <v>1.9954432493619016</v>
      </c>
      <c r="F264" s="190">
        <v>4.871480817380406E-2</v>
      </c>
      <c r="G264" s="193" t="s">
        <v>351</v>
      </c>
    </row>
    <row r="265" spans="2:7" x14ac:dyDescent="0.5">
      <c r="B265" s="160" t="s">
        <v>756</v>
      </c>
      <c r="C265" s="190">
        <v>0.18524260840660745</v>
      </c>
      <c r="D265" s="190">
        <v>0.10554114095514995</v>
      </c>
      <c r="E265" s="190">
        <v>1.755169659245269</v>
      </c>
      <c r="F265" s="190">
        <v>8.2292784079903744E-2</v>
      </c>
      <c r="G265" s="193" t="s">
        <v>352</v>
      </c>
    </row>
    <row r="266" spans="2:7" x14ac:dyDescent="0.5">
      <c r="B266" s="160" t="s">
        <v>672</v>
      </c>
      <c r="C266" s="190">
        <v>0.15557721774414079</v>
      </c>
      <c r="D266" s="190">
        <v>0.10554114095514995</v>
      </c>
      <c r="E266" s="190">
        <v>1.4740907321653254</v>
      </c>
      <c r="F266" s="190">
        <v>0.1435983241751444</v>
      </c>
      <c r="G266" s="199" t="s">
        <v>352</v>
      </c>
    </row>
    <row r="267" spans="2:7" x14ac:dyDescent="0.5">
      <c r="B267" s="160" t="s">
        <v>755</v>
      </c>
      <c r="C267" s="190">
        <v>0.1288553228196726</v>
      </c>
      <c r="D267" s="190">
        <v>0.10554114095514995</v>
      </c>
      <c r="E267" s="190">
        <v>1.2209013627626983</v>
      </c>
      <c r="F267" s="190">
        <v>0.22499424525786932</v>
      </c>
      <c r="G267" s="193" t="s">
        <v>352</v>
      </c>
    </row>
    <row r="268" spans="2:7" x14ac:dyDescent="0.5">
      <c r="B268" s="160" t="s">
        <v>673</v>
      </c>
      <c r="C268" s="190">
        <v>9.3932314310498977E-2</v>
      </c>
      <c r="D268" s="190">
        <v>0.10554114095514995</v>
      </c>
      <c r="E268" s="190">
        <v>0.89000662168713729</v>
      </c>
      <c r="F268" s="190">
        <v>0.37559849121315109</v>
      </c>
      <c r="G268" s="193" t="s">
        <v>352</v>
      </c>
    </row>
    <row r="269" spans="2:7" x14ac:dyDescent="0.5">
      <c r="B269" s="160" t="s">
        <v>757</v>
      </c>
      <c r="C269" s="190">
        <v>6.9004856959258426E-2</v>
      </c>
      <c r="D269" s="190">
        <v>0.10554114095514995</v>
      </c>
      <c r="E269" s="190">
        <v>0.65381950900627717</v>
      </c>
      <c r="F269" s="190">
        <v>0.51472879261165372</v>
      </c>
      <c r="G269" s="193" t="s">
        <v>352</v>
      </c>
    </row>
    <row r="270" spans="2:7" x14ac:dyDescent="0.5">
      <c r="B270" s="160" t="s">
        <v>1509</v>
      </c>
      <c r="C270" s="190">
        <v>6.1022061330464589E-2</v>
      </c>
      <c r="D270" s="190">
        <v>0.10554114095514995</v>
      </c>
      <c r="E270" s="190">
        <v>0.5781826951860991</v>
      </c>
      <c r="F270" s="190">
        <v>0.56444057822790517</v>
      </c>
      <c r="G270" s="193" t="s">
        <v>352</v>
      </c>
    </row>
    <row r="271" spans="2:7" x14ac:dyDescent="0.5">
      <c r="B271" s="160" t="s">
        <v>752</v>
      </c>
      <c r="C271" s="190">
        <v>3.4752828295235766E-2</v>
      </c>
      <c r="D271" s="190">
        <v>0.10554114095514995</v>
      </c>
      <c r="E271" s="190">
        <v>0.32928228727415493</v>
      </c>
      <c r="F271" s="190">
        <v>0.74263100421438888</v>
      </c>
      <c r="G271" s="193" t="s">
        <v>352</v>
      </c>
    </row>
    <row r="272" spans="2:7" x14ac:dyDescent="0.5">
      <c r="B272" s="160" t="s">
        <v>607</v>
      </c>
      <c r="C272" s="190">
        <v>0.22401451601213887</v>
      </c>
      <c r="D272" s="190">
        <v>0.10554114095514995</v>
      </c>
      <c r="E272" s="190">
        <v>2.122532634997139</v>
      </c>
      <c r="F272" s="190">
        <v>3.6262557024655931E-2</v>
      </c>
      <c r="G272" s="193" t="s">
        <v>351</v>
      </c>
    </row>
    <row r="273" spans="2:7" x14ac:dyDescent="0.5">
      <c r="B273" s="160" t="s">
        <v>606</v>
      </c>
      <c r="C273" s="190">
        <v>0.20635737210920527</v>
      </c>
      <c r="D273" s="190">
        <v>0.10554114095514995</v>
      </c>
      <c r="E273" s="190">
        <v>1.9552315830742961</v>
      </c>
      <c r="F273" s="190">
        <v>5.3347032086612435E-2</v>
      </c>
      <c r="G273" s="199" t="s">
        <v>352</v>
      </c>
    </row>
    <row r="274" spans="2:7" x14ac:dyDescent="0.5">
      <c r="B274" s="160" t="s">
        <v>609</v>
      </c>
      <c r="C274" s="190">
        <v>0.18216795919073644</v>
      </c>
      <c r="D274" s="190">
        <v>0.10554114095514995</v>
      </c>
      <c r="E274" s="190">
        <v>1.7260374252363759</v>
      </c>
      <c r="F274" s="190">
        <v>8.7429145171493625E-2</v>
      </c>
      <c r="G274" s="193" t="s">
        <v>352</v>
      </c>
    </row>
    <row r="275" spans="2:7" x14ac:dyDescent="0.5">
      <c r="B275" s="160" t="s">
        <v>608</v>
      </c>
      <c r="C275" s="190">
        <v>0.17584852895367112</v>
      </c>
      <c r="D275" s="190">
        <v>0.10554114095514995</v>
      </c>
      <c r="E275" s="190">
        <v>1.6661609620877467</v>
      </c>
      <c r="F275" s="190">
        <v>9.8810900958978654E-2</v>
      </c>
      <c r="G275" s="193" t="s">
        <v>352</v>
      </c>
    </row>
    <row r="276" spans="2:7" x14ac:dyDescent="0.5">
      <c r="B276" s="160" t="s">
        <v>1510</v>
      </c>
      <c r="C276" s="190">
        <v>0.15048978011137168</v>
      </c>
      <c r="D276" s="190">
        <v>0.10554114095514995</v>
      </c>
      <c r="E276" s="190">
        <v>1.425887371971114</v>
      </c>
      <c r="F276" s="190">
        <v>0.1570150981142216</v>
      </c>
      <c r="G276" s="193" t="s">
        <v>352</v>
      </c>
    </row>
    <row r="277" spans="2:7" x14ac:dyDescent="0.5">
      <c r="B277" s="160" t="s">
        <v>602</v>
      </c>
      <c r="C277" s="190">
        <v>0.12082438944890503</v>
      </c>
      <c r="D277" s="190">
        <v>0.10554114095514995</v>
      </c>
      <c r="E277" s="190">
        <v>1.1448084448911704</v>
      </c>
      <c r="F277" s="190">
        <v>0.25502114948886467</v>
      </c>
      <c r="G277" s="193" t="s">
        <v>352</v>
      </c>
    </row>
    <row r="278" spans="2:7" x14ac:dyDescent="0.5">
      <c r="B278" s="160" t="s">
        <v>1511</v>
      </c>
      <c r="C278" s="190">
        <v>9.4102494524436836E-2</v>
      </c>
      <c r="D278" s="190">
        <v>0.10554114095514995</v>
      </c>
      <c r="E278" s="190">
        <v>0.89161907548854336</v>
      </c>
      <c r="F278" s="190">
        <v>0.37473751985480952</v>
      </c>
      <c r="G278" s="193" t="s">
        <v>352</v>
      </c>
    </row>
    <row r="279" spans="2:7" x14ac:dyDescent="0.5">
      <c r="B279" s="160" t="s">
        <v>603</v>
      </c>
      <c r="C279" s="190">
        <v>5.9179486015263211E-2</v>
      </c>
      <c r="D279" s="190">
        <v>0.10554114095514995</v>
      </c>
      <c r="E279" s="190">
        <v>0.56072433441298242</v>
      </c>
      <c r="F279" s="190">
        <v>0.57623968378097645</v>
      </c>
      <c r="G279" s="193" t="s">
        <v>352</v>
      </c>
    </row>
    <row r="280" spans="2:7" x14ac:dyDescent="0.5">
      <c r="B280" s="160" t="s">
        <v>1512</v>
      </c>
      <c r="C280" s="190">
        <v>3.425202866402266E-2</v>
      </c>
      <c r="D280" s="190">
        <v>0.10554114095514995</v>
      </c>
      <c r="E280" s="190">
        <v>0.32453722173212218</v>
      </c>
      <c r="F280" s="190">
        <v>0.74620924960407742</v>
      </c>
      <c r="G280" s="193" t="s">
        <v>352</v>
      </c>
    </row>
    <row r="281" spans="2:7" x14ac:dyDescent="0.5">
      <c r="B281" s="160" t="s">
        <v>1513</v>
      </c>
      <c r="C281" s="190">
        <v>2.6269233035228823E-2</v>
      </c>
      <c r="D281" s="190">
        <v>0.10554114095514995</v>
      </c>
      <c r="E281" s="190">
        <v>0.2489004079119442</v>
      </c>
      <c r="F281" s="190">
        <v>0.8039483041748714</v>
      </c>
      <c r="G281" s="193" t="s">
        <v>352</v>
      </c>
    </row>
    <row r="282" spans="2:7" x14ac:dyDescent="0.5">
      <c r="B282" s="160" t="s">
        <v>593</v>
      </c>
      <c r="C282" s="190">
        <v>0.19774528297691005</v>
      </c>
      <c r="D282" s="190">
        <v>0.10554114095514995</v>
      </c>
      <c r="E282" s="190">
        <v>1.8736322270851946</v>
      </c>
      <c r="F282" s="190">
        <v>6.3901026320488843E-2</v>
      </c>
      <c r="G282" s="193" t="s">
        <v>352</v>
      </c>
    </row>
    <row r="283" spans="2:7" x14ac:dyDescent="0.5">
      <c r="B283" s="160" t="s">
        <v>592</v>
      </c>
      <c r="C283" s="190">
        <v>0.18008813907397644</v>
      </c>
      <c r="D283" s="190">
        <v>0.10554114095514995</v>
      </c>
      <c r="E283" s="190">
        <v>1.706331175162352</v>
      </c>
      <c r="F283" s="190">
        <v>9.1050280490591551E-2</v>
      </c>
      <c r="G283" s="193" t="s">
        <v>352</v>
      </c>
    </row>
    <row r="284" spans="2:7" x14ac:dyDescent="0.5">
      <c r="B284" s="160" t="s">
        <v>595</v>
      </c>
      <c r="C284" s="190">
        <v>0.15589872615550762</v>
      </c>
      <c r="D284" s="190">
        <v>0.10554114095514995</v>
      </c>
      <c r="E284" s="190">
        <v>1.4771370173244318</v>
      </c>
      <c r="F284" s="190">
        <v>0.14278137035723271</v>
      </c>
      <c r="G284" s="199" t="s">
        <v>352</v>
      </c>
    </row>
    <row r="285" spans="2:7" x14ac:dyDescent="0.5">
      <c r="B285" s="160" t="s">
        <v>594</v>
      </c>
      <c r="C285" s="190">
        <v>0.1495792959184423</v>
      </c>
      <c r="D285" s="190">
        <v>0.10554114095514995</v>
      </c>
      <c r="E285" s="190">
        <v>1.4172605541758023</v>
      </c>
      <c r="F285" s="190">
        <v>0.15951492631771502</v>
      </c>
      <c r="G285" s="193" t="s">
        <v>352</v>
      </c>
    </row>
    <row r="286" spans="2:7" x14ac:dyDescent="0.5">
      <c r="B286" s="160" t="s">
        <v>749</v>
      </c>
      <c r="C286" s="190">
        <v>0.12422054707614286</v>
      </c>
      <c r="D286" s="190">
        <v>0.10554114095514995</v>
      </c>
      <c r="E286" s="190">
        <v>1.1769869640591699</v>
      </c>
      <c r="F286" s="190">
        <v>0.24199460983502494</v>
      </c>
      <c r="G286" s="193" t="s">
        <v>352</v>
      </c>
    </row>
    <row r="287" spans="2:7" x14ac:dyDescent="0.5">
      <c r="B287" s="160" t="s">
        <v>588</v>
      </c>
      <c r="C287" s="190">
        <v>9.4555156413676206E-2</v>
      </c>
      <c r="D287" s="190">
        <v>0.10554114095514995</v>
      </c>
      <c r="E287" s="190">
        <v>0.89590803697922616</v>
      </c>
      <c r="F287" s="190">
        <v>0.37245345853028178</v>
      </c>
      <c r="G287" s="193" t="s">
        <v>352</v>
      </c>
    </row>
    <row r="288" spans="2:7" x14ac:dyDescent="0.5">
      <c r="B288" s="160" t="s">
        <v>748</v>
      </c>
      <c r="C288" s="190">
        <v>6.7833261489208013E-2</v>
      </c>
      <c r="D288" s="190">
        <v>0.10554114095514995</v>
      </c>
      <c r="E288" s="190">
        <v>0.64271866757659912</v>
      </c>
      <c r="F288" s="190">
        <v>0.52187758676214546</v>
      </c>
      <c r="G288" s="193" t="s">
        <v>352</v>
      </c>
    </row>
    <row r="289" spans="2:7" x14ac:dyDescent="0.5">
      <c r="B289" s="160" t="s">
        <v>589</v>
      </c>
      <c r="C289" s="190">
        <v>3.2910252980034388E-2</v>
      </c>
      <c r="D289" s="190">
        <v>0.10554114095514995</v>
      </c>
      <c r="E289" s="190">
        <v>0.31182392650103818</v>
      </c>
      <c r="F289" s="190">
        <v>0.75582354548618935</v>
      </c>
      <c r="G289" s="193" t="s">
        <v>352</v>
      </c>
    </row>
    <row r="290" spans="2:7" x14ac:dyDescent="0.5">
      <c r="B290" s="160" t="s">
        <v>750</v>
      </c>
      <c r="C290" s="190">
        <v>7.9827956287938373E-3</v>
      </c>
      <c r="D290" s="190">
        <v>0.10554114095514995</v>
      </c>
      <c r="E290" s="190">
        <v>7.5636813820177978E-2</v>
      </c>
      <c r="F290" s="190">
        <v>0.93985915827438704</v>
      </c>
      <c r="G290" s="193" t="s">
        <v>352</v>
      </c>
    </row>
    <row r="291" spans="2:7" x14ac:dyDescent="0.5">
      <c r="B291" s="160" t="s">
        <v>545</v>
      </c>
      <c r="C291" s="190">
        <v>0.18976248734811621</v>
      </c>
      <c r="D291" s="190">
        <v>0.10554114095514995</v>
      </c>
      <c r="E291" s="190">
        <v>1.7979954132650167</v>
      </c>
      <c r="F291" s="190">
        <v>7.5195288286907594E-2</v>
      </c>
      <c r="G291" s="193" t="s">
        <v>352</v>
      </c>
    </row>
    <row r="292" spans="2:7" x14ac:dyDescent="0.5">
      <c r="B292" s="160" t="s">
        <v>544</v>
      </c>
      <c r="C292" s="190">
        <v>0.17210534344518261</v>
      </c>
      <c r="D292" s="190">
        <v>0.10554114095514995</v>
      </c>
      <c r="E292" s="190">
        <v>1.630694361342174</v>
      </c>
      <c r="F292" s="190">
        <v>0.10610057347341825</v>
      </c>
      <c r="G292" s="193" t="s">
        <v>352</v>
      </c>
    </row>
    <row r="293" spans="2:7" x14ac:dyDescent="0.5">
      <c r="B293" s="160" t="s">
        <v>547</v>
      </c>
      <c r="C293" s="190">
        <v>0.14791593052671378</v>
      </c>
      <c r="D293" s="190">
        <v>0.10554114095514995</v>
      </c>
      <c r="E293" s="190">
        <v>1.4015002035042536</v>
      </c>
      <c r="F293" s="190">
        <v>0.16416061993304651</v>
      </c>
      <c r="G293" s="193" t="s">
        <v>352</v>
      </c>
    </row>
    <row r="294" spans="2:7" x14ac:dyDescent="0.5">
      <c r="B294" s="160" t="s">
        <v>546</v>
      </c>
      <c r="C294" s="190">
        <v>0.14159650028964846</v>
      </c>
      <c r="D294" s="190">
        <v>0.10554114095514995</v>
      </c>
      <c r="E294" s="190">
        <v>1.3416237403556244</v>
      </c>
      <c r="F294" s="190">
        <v>0.1827567545733198</v>
      </c>
      <c r="G294" s="193" t="s">
        <v>352</v>
      </c>
    </row>
    <row r="295" spans="2:7" x14ac:dyDescent="0.5">
      <c r="B295" s="160" t="s">
        <v>552</v>
      </c>
      <c r="C295" s="190">
        <v>0.11623775144734902</v>
      </c>
      <c r="D295" s="190">
        <v>0.10554114095514995</v>
      </c>
      <c r="E295" s="190">
        <v>1.101350150238992</v>
      </c>
      <c r="F295" s="190">
        <v>0.27338815887670626</v>
      </c>
      <c r="G295" s="193" t="s">
        <v>352</v>
      </c>
    </row>
    <row r="296" spans="2:7" x14ac:dyDescent="0.5">
      <c r="B296" s="160" t="s">
        <v>540</v>
      </c>
      <c r="C296" s="190">
        <v>8.6572360784882368E-2</v>
      </c>
      <c r="D296" s="190">
        <v>0.10554114095514995</v>
      </c>
      <c r="E296" s="190">
        <v>0.82027122315904821</v>
      </c>
      <c r="F296" s="190">
        <v>0.41401247540192204</v>
      </c>
      <c r="G296" s="193" t="s">
        <v>352</v>
      </c>
    </row>
    <row r="297" spans="2:7" x14ac:dyDescent="0.5">
      <c r="B297" s="160" t="s">
        <v>551</v>
      </c>
      <c r="C297" s="190">
        <v>5.9850465860414176E-2</v>
      </c>
      <c r="D297" s="190">
        <v>0.10554114095514995</v>
      </c>
      <c r="E297" s="190">
        <v>0.56708185375642117</v>
      </c>
      <c r="F297" s="190">
        <v>0.57192934156464426</v>
      </c>
      <c r="G297" s="193" t="s">
        <v>352</v>
      </c>
    </row>
    <row r="298" spans="2:7" x14ac:dyDescent="0.5">
      <c r="B298" s="160" t="s">
        <v>541</v>
      </c>
      <c r="C298" s="190">
        <v>2.4927457351240551E-2</v>
      </c>
      <c r="D298" s="190">
        <v>0.10554114095514995</v>
      </c>
      <c r="E298" s="190">
        <v>0.23618711268086021</v>
      </c>
      <c r="F298" s="190">
        <v>0.81377056651676483</v>
      </c>
      <c r="G298" s="199" t="s">
        <v>352</v>
      </c>
    </row>
    <row r="299" spans="2:7" x14ac:dyDescent="0.5">
      <c r="B299" s="160" t="s">
        <v>765</v>
      </c>
      <c r="C299" s="190">
        <v>0.16483502999687566</v>
      </c>
      <c r="D299" s="190">
        <v>0.10554114095514995</v>
      </c>
      <c r="E299" s="190">
        <v>1.5618083005841565</v>
      </c>
      <c r="F299" s="190">
        <v>0.12149240373265674</v>
      </c>
      <c r="G299" s="193" t="s">
        <v>352</v>
      </c>
    </row>
    <row r="300" spans="2:7" x14ac:dyDescent="0.5">
      <c r="B300" s="160" t="s">
        <v>764</v>
      </c>
      <c r="C300" s="190">
        <v>0.14717788609394206</v>
      </c>
      <c r="D300" s="190">
        <v>0.10554114095514995</v>
      </c>
      <c r="E300" s="190">
        <v>1.3945072486613137</v>
      </c>
      <c r="F300" s="190">
        <v>0.16625478627293916</v>
      </c>
      <c r="G300" s="193" t="s">
        <v>352</v>
      </c>
    </row>
    <row r="301" spans="2:7" x14ac:dyDescent="0.5">
      <c r="B301" s="160" t="s">
        <v>1514</v>
      </c>
      <c r="C301" s="190">
        <v>0.12298847317547323</v>
      </c>
      <c r="D301" s="190">
        <v>0.10554114095514995</v>
      </c>
      <c r="E301" s="190">
        <v>1.1653130908233935</v>
      </c>
      <c r="F301" s="190">
        <v>0.24666441453599544</v>
      </c>
      <c r="G301" s="193" t="s">
        <v>352</v>
      </c>
    </row>
    <row r="302" spans="2:7" x14ac:dyDescent="0.5">
      <c r="B302" s="160" t="s">
        <v>766</v>
      </c>
      <c r="C302" s="190">
        <v>0.11666904293840791</v>
      </c>
      <c r="D302" s="190">
        <v>0.10554114095514995</v>
      </c>
      <c r="E302" s="190">
        <v>1.1054366276747642</v>
      </c>
      <c r="F302" s="190">
        <v>0.27162293257253728</v>
      </c>
      <c r="G302" s="193" t="s">
        <v>352</v>
      </c>
    </row>
    <row r="303" spans="2:7" x14ac:dyDescent="0.5">
      <c r="B303" s="160" t="s">
        <v>768</v>
      </c>
      <c r="C303" s="190">
        <v>9.1310294096108469E-2</v>
      </c>
      <c r="D303" s="190">
        <v>0.10554114095514995</v>
      </c>
      <c r="E303" s="190">
        <v>0.86516303755813173</v>
      </c>
      <c r="F303" s="190">
        <v>0.38902007883208084</v>
      </c>
      <c r="G303" s="193" t="s">
        <v>352</v>
      </c>
    </row>
    <row r="304" spans="2:7" x14ac:dyDescent="0.5">
      <c r="B304" s="160" t="s">
        <v>678</v>
      </c>
      <c r="C304" s="190">
        <v>6.1644903433641818E-2</v>
      </c>
      <c r="D304" s="190">
        <v>0.10554114095514995</v>
      </c>
      <c r="E304" s="190">
        <v>0.58408411047818798</v>
      </c>
      <c r="F304" s="190">
        <v>0.56047900718088683</v>
      </c>
      <c r="G304" s="193" t="s">
        <v>352</v>
      </c>
    </row>
    <row r="305" spans="2:7" x14ac:dyDescent="0.5">
      <c r="B305" s="160" t="s">
        <v>767</v>
      </c>
      <c r="C305" s="190">
        <v>3.4923008509173625E-2</v>
      </c>
      <c r="D305" s="190">
        <v>0.10554114095514995</v>
      </c>
      <c r="E305" s="190">
        <v>0.33089474107556094</v>
      </c>
      <c r="F305" s="190">
        <v>0.74141633515557892</v>
      </c>
      <c r="G305" s="193" t="s">
        <v>352</v>
      </c>
    </row>
    <row r="306" spans="2:7" x14ac:dyDescent="0.5">
      <c r="B306" s="160" t="s">
        <v>578</v>
      </c>
      <c r="C306" s="190">
        <v>0.12991202148770203</v>
      </c>
      <c r="D306" s="190">
        <v>0.10554114095514995</v>
      </c>
      <c r="E306" s="190">
        <v>1.2309135595085956</v>
      </c>
      <c r="F306" s="190">
        <v>0.22124249506109411</v>
      </c>
      <c r="G306" s="199" t="s">
        <v>352</v>
      </c>
    </row>
    <row r="307" spans="2:7" x14ac:dyDescent="0.5">
      <c r="B307" s="160" t="s">
        <v>577</v>
      </c>
      <c r="C307" s="190">
        <v>0.11225487758476843</v>
      </c>
      <c r="D307" s="190">
        <v>0.10554114095514995</v>
      </c>
      <c r="E307" s="190">
        <v>1.0636125075857528</v>
      </c>
      <c r="F307" s="190">
        <v>0.29006592586710878</v>
      </c>
      <c r="G307" s="193" t="s">
        <v>352</v>
      </c>
    </row>
    <row r="308" spans="2:7" x14ac:dyDescent="0.5">
      <c r="B308" s="160" t="s">
        <v>580</v>
      </c>
      <c r="C308" s="190">
        <v>8.8065464666299609E-2</v>
      </c>
      <c r="D308" s="190">
        <v>0.10554114095514995</v>
      </c>
      <c r="E308" s="190">
        <v>0.83441834974783258</v>
      </c>
      <c r="F308" s="190">
        <v>0.40603419250056494</v>
      </c>
      <c r="G308" s="193" t="s">
        <v>352</v>
      </c>
    </row>
    <row r="309" spans="2:7" x14ac:dyDescent="0.5">
      <c r="B309" s="160" t="s">
        <v>579</v>
      </c>
      <c r="C309" s="190">
        <v>8.1746034429234282E-2</v>
      </c>
      <c r="D309" s="190">
        <v>0.10554114095514995</v>
      </c>
      <c r="E309" s="190">
        <v>0.77454188659920331</v>
      </c>
      <c r="F309" s="190">
        <v>0.44043790724431259</v>
      </c>
      <c r="G309" s="193" t="s">
        <v>352</v>
      </c>
    </row>
    <row r="310" spans="2:7" x14ac:dyDescent="0.5">
      <c r="B310" s="160" t="s">
        <v>1515</v>
      </c>
      <c r="C310" s="190">
        <v>5.6387285586934843E-2</v>
      </c>
      <c r="D310" s="190">
        <v>0.10554114095514995</v>
      </c>
      <c r="E310" s="190">
        <v>0.53426829648257079</v>
      </c>
      <c r="F310" s="190">
        <v>0.59434171809390823</v>
      </c>
      <c r="G310" s="193" t="s">
        <v>352</v>
      </c>
    </row>
    <row r="311" spans="2:7" x14ac:dyDescent="0.5">
      <c r="B311" s="160" t="s">
        <v>573</v>
      </c>
      <c r="C311" s="190">
        <v>2.6721894924468192E-2</v>
      </c>
      <c r="D311" s="190">
        <v>0.10554114095514995</v>
      </c>
      <c r="E311" s="190">
        <v>0.25318936940262704</v>
      </c>
      <c r="F311" s="190">
        <v>0.80064165371392193</v>
      </c>
      <c r="G311" s="193" t="s">
        <v>352</v>
      </c>
    </row>
    <row r="312" spans="2:7" x14ac:dyDescent="0.5">
      <c r="B312" s="160" t="s">
        <v>760</v>
      </c>
      <c r="C312" s="190">
        <v>0.10319012656323384</v>
      </c>
      <c r="D312" s="190">
        <v>0.10554114095514995</v>
      </c>
      <c r="E312" s="190">
        <v>0.97772419010596845</v>
      </c>
      <c r="F312" s="190">
        <v>0.33057014498095277</v>
      </c>
      <c r="G312" s="193" t="s">
        <v>352</v>
      </c>
    </row>
    <row r="313" spans="2:7" x14ac:dyDescent="0.5">
      <c r="B313" s="160" t="s">
        <v>759</v>
      </c>
      <c r="C313" s="190">
        <v>8.5532982660300239E-2</v>
      </c>
      <c r="D313" s="190">
        <v>0.10554114095514995</v>
      </c>
      <c r="E313" s="190">
        <v>0.81042313818312572</v>
      </c>
      <c r="F313" s="190">
        <v>0.41962149496147283</v>
      </c>
      <c r="G313" s="193" t="s">
        <v>352</v>
      </c>
    </row>
    <row r="314" spans="2:7" x14ac:dyDescent="0.5">
      <c r="B314" s="160" t="s">
        <v>763</v>
      </c>
      <c r="C314" s="190">
        <v>6.1343569741831416E-2</v>
      </c>
      <c r="D314" s="190">
        <v>0.10554114095514995</v>
      </c>
      <c r="E314" s="190">
        <v>0.58122898034520554</v>
      </c>
      <c r="F314" s="190">
        <v>0.56239392455796799</v>
      </c>
      <c r="G314" s="193" t="s">
        <v>352</v>
      </c>
    </row>
    <row r="315" spans="2:7" x14ac:dyDescent="0.5">
      <c r="B315" s="160" t="s">
        <v>761</v>
      </c>
      <c r="C315" s="190">
        <v>5.502413950476609E-2</v>
      </c>
      <c r="D315" s="190">
        <v>0.10554114095514995</v>
      </c>
      <c r="E315" s="190">
        <v>0.52135251719657627</v>
      </c>
      <c r="F315" s="190">
        <v>0.60327393147623787</v>
      </c>
      <c r="G315" s="193" t="s">
        <v>352</v>
      </c>
    </row>
    <row r="316" spans="2:7" x14ac:dyDescent="0.5">
      <c r="B316" s="160" t="s">
        <v>762</v>
      </c>
      <c r="C316" s="190">
        <v>2.9665390662466651E-2</v>
      </c>
      <c r="D316" s="190">
        <v>0.10554114095514995</v>
      </c>
      <c r="E316" s="190">
        <v>0.2810789270799437</v>
      </c>
      <c r="F316" s="190">
        <v>0.77923061865934562</v>
      </c>
      <c r="G316" s="193" t="s">
        <v>352</v>
      </c>
    </row>
    <row r="317" spans="2:7" x14ac:dyDescent="0.5">
      <c r="B317" s="160" t="s">
        <v>562</v>
      </c>
      <c r="C317" s="190">
        <v>7.3524735900767191E-2</v>
      </c>
      <c r="D317" s="190">
        <v>0.10554114095514995</v>
      </c>
      <c r="E317" s="190">
        <v>0.69664526302602481</v>
      </c>
      <c r="F317" s="190">
        <v>0.48764104111370576</v>
      </c>
      <c r="G317" s="193" t="s">
        <v>352</v>
      </c>
    </row>
    <row r="318" spans="2:7" x14ac:dyDescent="0.5">
      <c r="B318" s="160" t="s">
        <v>561</v>
      </c>
      <c r="C318" s="190">
        <v>5.5867591997833588E-2</v>
      </c>
      <c r="D318" s="190">
        <v>0.10554114095514995</v>
      </c>
      <c r="E318" s="190">
        <v>0.52934421110318208</v>
      </c>
      <c r="F318" s="190">
        <v>0.59773984735884977</v>
      </c>
      <c r="G318" s="193" t="s">
        <v>352</v>
      </c>
    </row>
    <row r="319" spans="2:7" x14ac:dyDescent="0.5">
      <c r="B319" s="160" t="s">
        <v>564</v>
      </c>
      <c r="C319" s="190">
        <v>3.1678179079364766E-2</v>
      </c>
      <c r="D319" s="190">
        <v>0.10554114095514995</v>
      </c>
      <c r="E319" s="190">
        <v>0.30015005326526184</v>
      </c>
      <c r="F319" s="190">
        <v>0.76468576073176087</v>
      </c>
      <c r="G319" s="193" t="s">
        <v>352</v>
      </c>
    </row>
    <row r="320" spans="2:7" x14ac:dyDescent="0.5">
      <c r="B320" s="160" t="s">
        <v>563</v>
      </c>
      <c r="C320" s="190">
        <v>2.5358748842299439E-2</v>
      </c>
      <c r="D320" s="190">
        <v>0.10554114095514995</v>
      </c>
      <c r="E320" s="190">
        <v>0.24027359011663255</v>
      </c>
      <c r="F320" s="190">
        <v>0.81061003923424824</v>
      </c>
      <c r="G320" s="199" t="s">
        <v>352</v>
      </c>
    </row>
    <row r="321" spans="2:11" x14ac:dyDescent="0.5">
      <c r="B321" s="160" t="s">
        <v>643</v>
      </c>
      <c r="C321" s="190">
        <v>4.8165987058467752E-2</v>
      </c>
      <c r="D321" s="190">
        <v>0.10554114095514995</v>
      </c>
      <c r="E321" s="190">
        <v>0.45637167290939223</v>
      </c>
      <c r="F321" s="190">
        <v>0.6491123905830275</v>
      </c>
      <c r="G321" s="193" t="s">
        <v>352</v>
      </c>
    </row>
    <row r="322" spans="2:11" x14ac:dyDescent="0.5">
      <c r="B322" s="160" t="s">
        <v>642</v>
      </c>
      <c r="C322" s="190">
        <v>3.0508843155534149E-2</v>
      </c>
      <c r="D322" s="190">
        <v>0.10554114095514995</v>
      </c>
      <c r="E322" s="190">
        <v>0.28907062098654951</v>
      </c>
      <c r="F322" s="190">
        <v>0.77312575677261119</v>
      </c>
      <c r="G322" s="193" t="s">
        <v>352</v>
      </c>
    </row>
    <row r="323" spans="2:11" x14ac:dyDescent="0.5">
      <c r="B323" s="160" t="s">
        <v>1516</v>
      </c>
      <c r="C323" s="190">
        <v>6.3194302370653266E-3</v>
      </c>
      <c r="D323" s="190">
        <v>0.10554114095514995</v>
      </c>
      <c r="E323" s="190">
        <v>5.9876463148629301E-2</v>
      </c>
      <c r="F323" s="190">
        <v>0.95237352394709907</v>
      </c>
      <c r="G323" s="193" t="s">
        <v>352</v>
      </c>
    </row>
    <row r="324" spans="2:11" x14ac:dyDescent="0.5">
      <c r="B324" s="160" t="s">
        <v>632</v>
      </c>
      <c r="C324" s="190">
        <v>4.1846556821402425E-2</v>
      </c>
      <c r="D324" s="190">
        <v>0.10554114095514995</v>
      </c>
      <c r="E324" s="190">
        <v>0.39649520976076291</v>
      </c>
      <c r="F324" s="190">
        <v>0.69258456950437974</v>
      </c>
      <c r="G324" s="193" t="s">
        <v>352</v>
      </c>
    </row>
    <row r="325" spans="2:11" x14ac:dyDescent="0.5">
      <c r="B325" s="160" t="s">
        <v>631</v>
      </c>
      <c r="C325" s="190">
        <v>2.4189412918468822E-2</v>
      </c>
      <c r="D325" s="190">
        <v>0.10554114095514995</v>
      </c>
      <c r="E325" s="190">
        <v>0.22919415783792021</v>
      </c>
      <c r="F325" s="190">
        <v>0.81918611490480375</v>
      </c>
      <c r="G325" s="193" t="s">
        <v>352</v>
      </c>
    </row>
    <row r="326" spans="2:11" ht="14.7" thickBot="1" x14ac:dyDescent="0.55000000000000004">
      <c r="B326" s="167" t="s">
        <v>1517</v>
      </c>
      <c r="C326" s="191">
        <v>1.7657143902933603E-2</v>
      </c>
      <c r="D326" s="191">
        <v>0.10554114095514995</v>
      </c>
      <c r="E326" s="191">
        <v>0.1673010519228427</v>
      </c>
      <c r="F326" s="191">
        <v>0.86747103040237805</v>
      </c>
      <c r="G326" s="206" t="s">
        <v>352</v>
      </c>
    </row>
    <row r="327" spans="2:11" x14ac:dyDescent="0.5">
      <c r="B327" s="194" t="s">
        <v>353</v>
      </c>
      <c r="E327" s="195">
        <v>5.1489889870125749</v>
      </c>
    </row>
    <row r="329" spans="2:11" ht="14.7" thickBot="1" x14ac:dyDescent="0.55000000000000004"/>
    <row r="330" spans="2:11" x14ac:dyDescent="0.5">
      <c r="B330" s="161" t="s">
        <v>354</v>
      </c>
      <c r="C330" s="162" t="s">
        <v>355</v>
      </c>
      <c r="D330" s="315" t="s">
        <v>360</v>
      </c>
      <c r="E330" s="316"/>
      <c r="F330" s="316"/>
      <c r="G330" s="316"/>
      <c r="H330" s="316"/>
      <c r="I330" s="316"/>
      <c r="J330" s="316"/>
      <c r="K330" s="316"/>
    </row>
    <row r="331" spans="2:11" x14ac:dyDescent="0.5">
      <c r="B331" s="163" t="s">
        <v>497</v>
      </c>
      <c r="C331" s="168">
        <v>0.66796432425972618</v>
      </c>
      <c r="D331" s="196" t="s">
        <v>356</v>
      </c>
      <c r="E331" s="196"/>
      <c r="F331" s="196"/>
      <c r="G331" s="196"/>
      <c r="H331" s="196"/>
      <c r="I331" s="196"/>
      <c r="J331" s="196"/>
      <c r="K331" s="196"/>
    </row>
    <row r="332" spans="2:11" x14ac:dyDescent="0.5">
      <c r="B332" s="160" t="s">
        <v>482</v>
      </c>
      <c r="C332" s="169">
        <v>0.65410732660625981</v>
      </c>
      <c r="D332" s="197" t="s">
        <v>356</v>
      </c>
      <c r="E332" s="197"/>
      <c r="F332" s="197"/>
      <c r="G332" s="197"/>
      <c r="H332" s="197"/>
      <c r="I332" s="197"/>
      <c r="J332" s="197"/>
      <c r="K332" s="197"/>
    </row>
    <row r="333" spans="2:11" x14ac:dyDescent="0.5">
      <c r="B333" s="160" t="s">
        <v>492</v>
      </c>
      <c r="C333" s="169">
        <v>0.62738440520783956</v>
      </c>
      <c r="D333" s="197" t="s">
        <v>356</v>
      </c>
      <c r="E333" s="197" t="s">
        <v>357</v>
      </c>
      <c r="F333" s="197"/>
      <c r="G333" s="197"/>
      <c r="H333" s="197"/>
      <c r="I333" s="197"/>
      <c r="J333" s="197"/>
      <c r="K333" s="197"/>
    </row>
    <row r="334" spans="2:11" x14ac:dyDescent="0.5">
      <c r="B334" s="160" t="s">
        <v>487</v>
      </c>
      <c r="C334" s="169">
        <v>0.62472018748437697</v>
      </c>
      <c r="D334" s="197" t="s">
        <v>356</v>
      </c>
      <c r="E334" s="197" t="s">
        <v>357</v>
      </c>
      <c r="F334" s="197" t="s">
        <v>358</v>
      </c>
      <c r="G334" s="197"/>
      <c r="H334" s="197"/>
      <c r="I334" s="197"/>
      <c r="J334" s="197"/>
      <c r="K334" s="197"/>
    </row>
    <row r="335" spans="2:11" x14ac:dyDescent="0.5">
      <c r="B335" s="160" t="s">
        <v>478</v>
      </c>
      <c r="C335" s="169">
        <v>0.56769896436351486</v>
      </c>
      <c r="D335" s="197" t="s">
        <v>356</v>
      </c>
      <c r="E335" s="197" t="s">
        <v>357</v>
      </c>
      <c r="F335" s="197" t="s">
        <v>358</v>
      </c>
      <c r="G335" s="197" t="s">
        <v>2</v>
      </c>
      <c r="H335" s="197"/>
      <c r="I335" s="197"/>
      <c r="J335" s="197"/>
      <c r="K335" s="197"/>
    </row>
    <row r="336" spans="2:11" x14ac:dyDescent="0.5">
      <c r="B336" s="160" t="s">
        <v>484</v>
      </c>
      <c r="C336" s="169">
        <v>0.47487325465689723</v>
      </c>
      <c r="D336" s="197" t="s">
        <v>356</v>
      </c>
      <c r="E336" s="197" t="s">
        <v>357</v>
      </c>
      <c r="F336" s="197" t="s">
        <v>358</v>
      </c>
      <c r="G336" s="197" t="s">
        <v>2</v>
      </c>
      <c r="H336" s="197" t="s">
        <v>359</v>
      </c>
      <c r="I336" s="197"/>
      <c r="J336" s="197"/>
      <c r="K336" s="197"/>
    </row>
    <row r="337" spans="2:11" x14ac:dyDescent="0.5">
      <c r="B337" s="160" t="s">
        <v>483</v>
      </c>
      <c r="C337" s="169">
        <v>0.42155661234180297</v>
      </c>
      <c r="D337" s="197"/>
      <c r="E337" s="197" t="s">
        <v>357</v>
      </c>
      <c r="F337" s="197" t="s">
        <v>358</v>
      </c>
      <c r="G337" s="197" t="s">
        <v>2</v>
      </c>
      <c r="H337" s="197" t="s">
        <v>359</v>
      </c>
      <c r="I337" s="197" t="s">
        <v>62</v>
      </c>
      <c r="J337" s="197"/>
      <c r="K337" s="197"/>
    </row>
    <row r="338" spans="2:11" x14ac:dyDescent="0.5">
      <c r="B338" s="160" t="s">
        <v>479</v>
      </c>
      <c r="C338" s="169">
        <v>0.41716479021773006</v>
      </c>
      <c r="D338" s="197"/>
      <c r="E338" s="197"/>
      <c r="F338" s="197" t="s">
        <v>358</v>
      </c>
      <c r="G338" s="197" t="s">
        <v>2</v>
      </c>
      <c r="H338" s="197" t="s">
        <v>359</v>
      </c>
      <c r="I338" s="197" t="s">
        <v>62</v>
      </c>
      <c r="J338" s="197"/>
      <c r="K338" s="197"/>
    </row>
    <row r="339" spans="2:11" x14ac:dyDescent="0.5">
      <c r="B339" s="160" t="s">
        <v>481</v>
      </c>
      <c r="C339" s="169">
        <v>0.40551928791597036</v>
      </c>
      <c r="D339" s="197"/>
      <c r="E339" s="197"/>
      <c r="F339" s="197"/>
      <c r="G339" s="197" t="s">
        <v>2</v>
      </c>
      <c r="H339" s="197" t="s">
        <v>359</v>
      </c>
      <c r="I339" s="197" t="s">
        <v>62</v>
      </c>
      <c r="J339" s="197"/>
      <c r="K339" s="197"/>
    </row>
    <row r="340" spans="2:11" x14ac:dyDescent="0.5">
      <c r="B340" s="160" t="s">
        <v>493</v>
      </c>
      <c r="C340" s="169">
        <v>0.37076645962073462</v>
      </c>
      <c r="D340" s="197"/>
      <c r="E340" s="197"/>
      <c r="F340" s="197"/>
      <c r="G340" s="197" t="s">
        <v>2</v>
      </c>
      <c r="H340" s="197" t="s">
        <v>359</v>
      </c>
      <c r="I340" s="197" t="s">
        <v>62</v>
      </c>
      <c r="J340" s="197" t="s">
        <v>689</v>
      </c>
      <c r="K340" s="197"/>
    </row>
    <row r="341" spans="2:11" x14ac:dyDescent="0.5">
      <c r="B341" s="160" t="s">
        <v>494</v>
      </c>
      <c r="C341" s="169">
        <v>0.34449722658550574</v>
      </c>
      <c r="D341" s="197"/>
      <c r="E341" s="197"/>
      <c r="F341" s="197"/>
      <c r="G341" s="197"/>
      <c r="H341" s="197" t="s">
        <v>359</v>
      </c>
      <c r="I341" s="197" t="s">
        <v>62</v>
      </c>
      <c r="J341" s="197" t="s">
        <v>689</v>
      </c>
      <c r="K341" s="197" t="s">
        <v>1249</v>
      </c>
    </row>
    <row r="342" spans="2:11" x14ac:dyDescent="0.5">
      <c r="B342" s="160" t="s">
        <v>485</v>
      </c>
      <c r="C342" s="169">
        <v>0.33651443095671196</v>
      </c>
      <c r="D342" s="197"/>
      <c r="E342" s="197"/>
      <c r="F342" s="197"/>
      <c r="G342" s="197"/>
      <c r="H342" s="197" t="s">
        <v>359</v>
      </c>
      <c r="I342" s="197" t="s">
        <v>62</v>
      </c>
      <c r="J342" s="197" t="s">
        <v>689</v>
      </c>
      <c r="K342" s="197" t="s">
        <v>1249</v>
      </c>
    </row>
    <row r="343" spans="2:11" x14ac:dyDescent="0.5">
      <c r="B343" s="160" t="s">
        <v>480</v>
      </c>
      <c r="C343" s="169">
        <v>0.31158697360547138</v>
      </c>
      <c r="D343" s="197"/>
      <c r="E343" s="197"/>
      <c r="F343" s="197"/>
      <c r="G343" s="197"/>
      <c r="H343" s="197" t="s">
        <v>359</v>
      </c>
      <c r="I343" s="197" t="s">
        <v>62</v>
      </c>
      <c r="J343" s="197" t="s">
        <v>689</v>
      </c>
      <c r="K343" s="197" t="s">
        <v>1249</v>
      </c>
    </row>
    <row r="344" spans="2:11" x14ac:dyDescent="0.5">
      <c r="B344" s="160" t="s">
        <v>495</v>
      </c>
      <c r="C344" s="169">
        <v>0.27666396509629776</v>
      </c>
      <c r="D344" s="197"/>
      <c r="E344" s="197"/>
      <c r="F344" s="197"/>
      <c r="G344" s="197"/>
      <c r="H344" s="197" t="s">
        <v>359</v>
      </c>
      <c r="I344" s="197" t="s">
        <v>62</v>
      </c>
      <c r="J344" s="197" t="s">
        <v>689</v>
      </c>
      <c r="K344" s="197" t="s">
        <v>1249</v>
      </c>
    </row>
    <row r="345" spans="2:11" x14ac:dyDescent="0.5">
      <c r="B345" s="160" t="s">
        <v>486</v>
      </c>
      <c r="C345" s="169">
        <v>0.24994207017182957</v>
      </c>
      <c r="D345" s="197"/>
      <c r="E345" s="197"/>
      <c r="F345" s="197"/>
      <c r="G345" s="197"/>
      <c r="H345" s="197"/>
      <c r="I345" s="197" t="s">
        <v>62</v>
      </c>
      <c r="J345" s="197" t="s">
        <v>689</v>
      </c>
      <c r="K345" s="197" t="s">
        <v>1249</v>
      </c>
    </row>
    <row r="346" spans="2:11" x14ac:dyDescent="0.5">
      <c r="B346" s="160" t="s">
        <v>496</v>
      </c>
      <c r="C346" s="169">
        <v>0.22027667950936292</v>
      </c>
      <c r="D346" s="197"/>
      <c r="E346" s="197"/>
      <c r="F346" s="197"/>
      <c r="G346" s="197"/>
      <c r="H346" s="197"/>
      <c r="I346" s="197" t="s">
        <v>62</v>
      </c>
      <c r="J346" s="197" t="s">
        <v>689</v>
      </c>
      <c r="K346" s="197" t="s">
        <v>1249</v>
      </c>
    </row>
    <row r="347" spans="2:11" x14ac:dyDescent="0.5">
      <c r="B347" s="160" t="s">
        <v>491</v>
      </c>
      <c r="C347" s="169">
        <v>0.19491793066706348</v>
      </c>
      <c r="D347" s="197"/>
      <c r="E347" s="197"/>
      <c r="F347" s="197"/>
      <c r="G347" s="197"/>
      <c r="H347" s="197"/>
      <c r="I347" s="197"/>
      <c r="J347" s="197" t="s">
        <v>689</v>
      </c>
      <c r="K347" s="197" t="s">
        <v>1249</v>
      </c>
    </row>
    <row r="348" spans="2:11" x14ac:dyDescent="0.5">
      <c r="B348" s="160" t="s">
        <v>489</v>
      </c>
      <c r="C348" s="169">
        <v>0.18859850042999815</v>
      </c>
      <c r="D348" s="197"/>
      <c r="E348" s="197"/>
      <c r="F348" s="197"/>
      <c r="G348" s="197"/>
      <c r="H348" s="197"/>
      <c r="I348" s="197"/>
      <c r="J348" s="197" t="s">
        <v>689</v>
      </c>
      <c r="K348" s="197" t="s">
        <v>1249</v>
      </c>
    </row>
    <row r="349" spans="2:11" x14ac:dyDescent="0.5">
      <c r="B349" s="160" t="s">
        <v>488</v>
      </c>
      <c r="C349" s="169">
        <v>0.16440908751152933</v>
      </c>
      <c r="D349" s="197"/>
      <c r="E349" s="197"/>
      <c r="F349" s="197"/>
      <c r="G349" s="197"/>
      <c r="H349" s="197"/>
      <c r="I349" s="197"/>
      <c r="J349" s="197" t="s">
        <v>689</v>
      </c>
      <c r="K349" s="197" t="s">
        <v>1249</v>
      </c>
    </row>
    <row r="350" spans="2:11" ht="14.7" thickBot="1" x14ac:dyDescent="0.55000000000000004">
      <c r="B350" s="167" t="s">
        <v>490</v>
      </c>
      <c r="C350" s="170">
        <v>0.14675194360859573</v>
      </c>
      <c r="D350" s="198"/>
      <c r="E350" s="198"/>
      <c r="F350" s="198"/>
      <c r="G350" s="198"/>
      <c r="H350" s="198"/>
      <c r="I350" s="198"/>
      <c r="J350" s="198"/>
      <c r="K350" s="198" t="s">
        <v>1249</v>
      </c>
    </row>
  </sheetData>
  <mergeCells count="1">
    <mergeCell ref="D330:K330"/>
  </mergeCells>
  <pageMargins left="0.7" right="0.7" top="0.75" bottom="0.75" header="0.3" footer="0.3"/>
  <ignoredErrors>
    <ignoredError sqref="A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66B139-66C6-4DCA-8375-993271F13E01}">
  <dimension ref="B1:X453"/>
  <sheetViews>
    <sheetView topLeftCell="A394" zoomScaleNormal="100" workbookViewId="0">
      <selection activeCell="G425" sqref="G425"/>
    </sheetView>
  </sheetViews>
  <sheetFormatPr defaultRowHeight="14.35" x14ac:dyDescent="0.5"/>
  <cols>
    <col min="1" max="1" width="4.76171875" customWidth="1"/>
    <col min="2" max="2" width="58.05859375" customWidth="1"/>
  </cols>
  <sheetData>
    <row r="1" spans="2:2" x14ac:dyDescent="0.5">
      <c r="B1" t="s">
        <v>1255</v>
      </c>
    </row>
    <row r="2" spans="2:2" x14ac:dyDescent="0.5">
      <c r="B2" t="s">
        <v>1256</v>
      </c>
    </row>
    <row r="3" spans="2:2" x14ac:dyDescent="0.5">
      <c r="B3" t="s">
        <v>1257</v>
      </c>
    </row>
    <row r="4" spans="2:2" x14ac:dyDescent="0.5">
      <c r="B4" t="s">
        <v>1258</v>
      </c>
    </row>
    <row r="5" spans="2:2" x14ac:dyDescent="0.5">
      <c r="B5" t="s">
        <v>1259</v>
      </c>
    </row>
    <row r="6" spans="2:2" x14ac:dyDescent="0.5">
      <c r="B6" t="s">
        <v>213</v>
      </c>
    </row>
    <row r="7" spans="2:2" x14ac:dyDescent="0.5">
      <c r="B7" t="s">
        <v>214</v>
      </c>
    </row>
    <row r="8" spans="2:2" x14ac:dyDescent="0.5">
      <c r="B8" t="s">
        <v>215</v>
      </c>
    </row>
    <row r="9" spans="2:2" x14ac:dyDescent="0.5">
      <c r="B9" t="s">
        <v>216</v>
      </c>
    </row>
    <row r="10" spans="2:2" x14ac:dyDescent="0.5">
      <c r="B10" t="s">
        <v>217</v>
      </c>
    </row>
    <row r="11" spans="2:2" x14ac:dyDescent="0.5">
      <c r="B11" t="s">
        <v>218</v>
      </c>
    </row>
    <row r="15" spans="2:2" x14ac:dyDescent="0.5">
      <c r="B15" t="s">
        <v>1260</v>
      </c>
    </row>
    <row r="16" spans="2:2" ht="14.7" thickBot="1" x14ac:dyDescent="0.55000000000000004"/>
    <row r="17" spans="2:9" x14ac:dyDescent="0.5">
      <c r="B17" s="161" t="s">
        <v>1261</v>
      </c>
      <c r="C17" s="162" t="s">
        <v>362</v>
      </c>
      <c r="D17" s="162" t="s">
        <v>5</v>
      </c>
      <c r="E17" s="162" t="s">
        <v>367</v>
      </c>
      <c r="F17" s="162" t="s">
        <v>366</v>
      </c>
      <c r="G17" s="162" t="s">
        <v>773</v>
      </c>
    </row>
    <row r="18" spans="2:9" x14ac:dyDescent="0.5">
      <c r="B18" s="163" t="s">
        <v>1262</v>
      </c>
      <c r="C18" s="168">
        <v>66.744</v>
      </c>
      <c r="D18" s="168" t="s">
        <v>83</v>
      </c>
      <c r="E18" s="168" t="s">
        <v>7</v>
      </c>
      <c r="F18" s="168" t="s">
        <v>371</v>
      </c>
      <c r="G18" s="168" t="s">
        <v>111</v>
      </c>
    </row>
    <row r="19" spans="2:9" ht="14.7" thickBot="1" x14ac:dyDescent="0.55000000000000004">
      <c r="B19" s="167" t="s">
        <v>1263</v>
      </c>
      <c r="C19" s="170">
        <v>-53.423999999999999</v>
      </c>
      <c r="D19" s="170" t="s">
        <v>82</v>
      </c>
      <c r="E19" s="170" t="s">
        <v>7</v>
      </c>
      <c r="F19" s="170" t="s">
        <v>371</v>
      </c>
      <c r="G19" s="170" t="s">
        <v>111</v>
      </c>
    </row>
    <row r="22" spans="2:9" x14ac:dyDescent="0.5">
      <c r="B22" t="s">
        <v>219</v>
      </c>
    </row>
    <row r="23" spans="2:9" ht="14.7" thickBot="1" x14ac:dyDescent="0.55000000000000004"/>
    <row r="24" spans="2:9" x14ac:dyDescent="0.5">
      <c r="B24" s="161" t="s">
        <v>220</v>
      </c>
      <c r="C24" s="162" t="s">
        <v>221</v>
      </c>
      <c r="D24" s="162" t="s">
        <v>222</v>
      </c>
      <c r="E24" s="162" t="s">
        <v>223</v>
      </c>
      <c r="F24" s="162" t="s">
        <v>224</v>
      </c>
      <c r="G24" s="162" t="s">
        <v>225</v>
      </c>
      <c r="H24" s="162" t="s">
        <v>77</v>
      </c>
      <c r="I24" s="162" t="s">
        <v>226</v>
      </c>
    </row>
    <row r="25" spans="2:9" ht="14.7" thickBot="1" x14ac:dyDescent="0.55000000000000004">
      <c r="B25" s="164" t="s">
        <v>362</v>
      </c>
      <c r="C25" s="165">
        <v>144</v>
      </c>
      <c r="D25" s="165">
        <v>0</v>
      </c>
      <c r="E25" s="165">
        <v>144</v>
      </c>
      <c r="F25" s="166">
        <v>-53.423999999999999</v>
      </c>
      <c r="G25" s="166">
        <v>87.12</v>
      </c>
      <c r="H25" s="166">
        <v>23.714400000000001</v>
      </c>
      <c r="I25" s="166">
        <v>22.958386677901128</v>
      </c>
    </row>
    <row r="27" spans="2:9" ht="14.7" thickBot="1" x14ac:dyDescent="0.55000000000000004"/>
    <row r="28" spans="2:9" x14ac:dyDescent="0.5">
      <c r="B28" s="162" t="s">
        <v>220</v>
      </c>
      <c r="C28" s="162" t="s">
        <v>227</v>
      </c>
      <c r="D28" s="162" t="s">
        <v>228</v>
      </c>
      <c r="E28" s="162" t="s">
        <v>229</v>
      </c>
    </row>
    <row r="29" spans="2:9" x14ac:dyDescent="0.5">
      <c r="B29" s="163" t="s">
        <v>5</v>
      </c>
      <c r="C29" s="163" t="s">
        <v>93</v>
      </c>
      <c r="D29" s="163">
        <v>12</v>
      </c>
      <c r="E29" s="168">
        <v>8.3333333333333339</v>
      </c>
    </row>
    <row r="30" spans="2:9" x14ac:dyDescent="0.5">
      <c r="B30" s="160"/>
      <c r="C30" s="160" t="s">
        <v>92</v>
      </c>
      <c r="D30" s="160">
        <v>12</v>
      </c>
      <c r="E30" s="169">
        <v>8.3333333333333339</v>
      </c>
    </row>
    <row r="31" spans="2:9" x14ac:dyDescent="0.5">
      <c r="B31" s="160"/>
      <c r="C31" s="160">
        <v>3729060</v>
      </c>
      <c r="D31" s="160">
        <v>12</v>
      </c>
      <c r="E31" s="169">
        <v>8.3333333333333339</v>
      </c>
    </row>
    <row r="32" spans="2:9" x14ac:dyDescent="0.5">
      <c r="B32" s="160"/>
      <c r="C32" s="160">
        <v>3729172</v>
      </c>
      <c r="D32" s="160">
        <v>12</v>
      </c>
      <c r="E32" s="169">
        <v>8.3333333333333339</v>
      </c>
    </row>
    <row r="33" spans="2:5" x14ac:dyDescent="0.5">
      <c r="B33" s="160"/>
      <c r="C33" s="160" t="s">
        <v>95</v>
      </c>
      <c r="D33" s="160">
        <v>12</v>
      </c>
      <c r="E33" s="169">
        <v>8.3333333333333339</v>
      </c>
    </row>
    <row r="34" spans="2:5" x14ac:dyDescent="0.5">
      <c r="B34" s="160"/>
      <c r="C34" s="160" t="s">
        <v>96</v>
      </c>
      <c r="D34" s="160">
        <v>12</v>
      </c>
      <c r="E34" s="169">
        <v>8.3333333333333339</v>
      </c>
    </row>
    <row r="35" spans="2:5" x14ac:dyDescent="0.5">
      <c r="B35" s="160"/>
      <c r="C35" s="160" t="s">
        <v>100</v>
      </c>
      <c r="D35" s="160">
        <v>12</v>
      </c>
      <c r="E35" s="169">
        <v>8.3333333333333339</v>
      </c>
    </row>
    <row r="36" spans="2:5" x14ac:dyDescent="0.5">
      <c r="B36" s="160"/>
      <c r="C36" s="160" t="s">
        <v>188</v>
      </c>
      <c r="D36" s="160">
        <v>12</v>
      </c>
      <c r="E36" s="169">
        <v>8.3333333333333339</v>
      </c>
    </row>
    <row r="37" spans="2:5" x14ac:dyDescent="0.5">
      <c r="B37" s="160"/>
      <c r="C37" s="160" t="s">
        <v>97</v>
      </c>
      <c r="D37" s="160">
        <v>12</v>
      </c>
      <c r="E37" s="169">
        <v>8.3333333333333339</v>
      </c>
    </row>
    <row r="38" spans="2:5" x14ac:dyDescent="0.5">
      <c r="B38" s="160"/>
      <c r="C38" s="160" t="s">
        <v>98</v>
      </c>
      <c r="D38" s="160">
        <v>12</v>
      </c>
      <c r="E38" s="169">
        <v>8.3333333333333339</v>
      </c>
    </row>
    <row r="39" spans="2:5" x14ac:dyDescent="0.5">
      <c r="B39" s="160"/>
      <c r="C39" s="160" t="s">
        <v>82</v>
      </c>
      <c r="D39" s="160">
        <v>12</v>
      </c>
      <c r="E39" s="169">
        <v>8.3333333333333339</v>
      </c>
    </row>
    <row r="40" spans="2:5" x14ac:dyDescent="0.5">
      <c r="B40" s="160"/>
      <c r="C40" s="160" t="s">
        <v>83</v>
      </c>
      <c r="D40" s="160">
        <v>12</v>
      </c>
      <c r="E40" s="169">
        <v>8.3333333333333339</v>
      </c>
    </row>
    <row r="41" spans="2:5" x14ac:dyDescent="0.5">
      <c r="B41" s="163" t="s">
        <v>367</v>
      </c>
      <c r="C41" s="163" t="s">
        <v>8</v>
      </c>
      <c r="D41" s="163">
        <v>72</v>
      </c>
      <c r="E41" s="168">
        <v>50</v>
      </c>
    </row>
    <row r="42" spans="2:5" x14ac:dyDescent="0.5">
      <c r="B42" s="160"/>
      <c r="C42" s="160" t="s">
        <v>7</v>
      </c>
      <c r="D42" s="160">
        <v>72</v>
      </c>
      <c r="E42" s="169">
        <v>50</v>
      </c>
    </row>
    <row r="43" spans="2:5" x14ac:dyDescent="0.5">
      <c r="B43" s="163" t="s">
        <v>366</v>
      </c>
      <c r="C43" s="163" t="s">
        <v>371</v>
      </c>
      <c r="D43" s="163">
        <v>36</v>
      </c>
      <c r="E43" s="168">
        <v>25</v>
      </c>
    </row>
    <row r="44" spans="2:5" x14ac:dyDescent="0.5">
      <c r="B44" s="160"/>
      <c r="C44" s="160" t="s">
        <v>369</v>
      </c>
      <c r="D44" s="160">
        <v>36</v>
      </c>
      <c r="E44" s="169">
        <v>25</v>
      </c>
    </row>
    <row r="45" spans="2:5" x14ac:dyDescent="0.5">
      <c r="B45" s="160"/>
      <c r="C45" s="160" t="s">
        <v>370</v>
      </c>
      <c r="D45" s="160">
        <v>36</v>
      </c>
      <c r="E45" s="169">
        <v>25</v>
      </c>
    </row>
    <row r="46" spans="2:5" x14ac:dyDescent="0.5">
      <c r="B46" s="160"/>
      <c r="C46" s="160" t="s">
        <v>432</v>
      </c>
      <c r="D46" s="160">
        <v>36</v>
      </c>
      <c r="E46" s="169">
        <v>25</v>
      </c>
    </row>
    <row r="47" spans="2:5" x14ac:dyDescent="0.5">
      <c r="B47" s="163" t="s">
        <v>773</v>
      </c>
      <c r="C47" s="163" t="s">
        <v>110</v>
      </c>
      <c r="D47" s="163">
        <v>48</v>
      </c>
      <c r="E47" s="168">
        <v>33.333333333333336</v>
      </c>
    </row>
    <row r="48" spans="2:5" x14ac:dyDescent="0.5">
      <c r="B48" s="160"/>
      <c r="C48" s="160" t="s">
        <v>111</v>
      </c>
      <c r="D48" s="160">
        <v>48</v>
      </c>
      <c r="E48" s="169">
        <v>33.333333333333336</v>
      </c>
    </row>
    <row r="49" spans="2:24" ht="14.7" thickBot="1" x14ac:dyDescent="0.55000000000000004">
      <c r="B49" s="167"/>
      <c r="C49" s="167" t="s">
        <v>112</v>
      </c>
      <c r="D49" s="167">
        <v>48</v>
      </c>
      <c r="E49" s="170">
        <v>33.333333333333336</v>
      </c>
    </row>
    <row r="52" spans="2:24" x14ac:dyDescent="0.5">
      <c r="B52" t="s">
        <v>230</v>
      </c>
    </row>
    <row r="53" spans="2:24" ht="14.7" thickBot="1" x14ac:dyDescent="0.55000000000000004"/>
    <row r="54" spans="2:24" x14ac:dyDescent="0.5">
      <c r="B54" s="161" t="s">
        <v>231</v>
      </c>
      <c r="C54" s="172" t="s">
        <v>375</v>
      </c>
      <c r="D54" s="172" t="s">
        <v>376</v>
      </c>
      <c r="E54" s="172" t="s">
        <v>377</v>
      </c>
      <c r="F54" s="172" t="s">
        <v>378</v>
      </c>
      <c r="G54" s="172" t="s">
        <v>379</v>
      </c>
      <c r="H54" s="172" t="s">
        <v>380</v>
      </c>
      <c r="I54" s="172" t="s">
        <v>381</v>
      </c>
      <c r="J54" s="172" t="s">
        <v>382</v>
      </c>
      <c r="K54" s="172" t="s">
        <v>383</v>
      </c>
      <c r="L54" s="172" t="s">
        <v>384</v>
      </c>
      <c r="M54" s="172" t="s">
        <v>385</v>
      </c>
      <c r="N54" s="172" t="s">
        <v>386</v>
      </c>
      <c r="O54" s="172" t="s">
        <v>387</v>
      </c>
      <c r="P54" s="172" t="s">
        <v>388</v>
      </c>
      <c r="Q54" s="172" t="s">
        <v>392</v>
      </c>
      <c r="R54" s="172" t="s">
        <v>390</v>
      </c>
      <c r="S54" s="172" t="s">
        <v>391</v>
      </c>
      <c r="T54" s="172" t="s">
        <v>437</v>
      </c>
      <c r="U54" s="172" t="s">
        <v>778</v>
      </c>
      <c r="V54" s="172" t="s">
        <v>779</v>
      </c>
      <c r="W54" s="172" t="s">
        <v>780</v>
      </c>
      <c r="X54" s="173" t="s">
        <v>362</v>
      </c>
    </row>
    <row r="55" spans="2:24" x14ac:dyDescent="0.5">
      <c r="B55" s="174" t="s">
        <v>375</v>
      </c>
      <c r="C55" s="181">
        <v>1</v>
      </c>
      <c r="D55" s="176">
        <v>-9.0909090909090925E-2</v>
      </c>
      <c r="E55" s="176">
        <v>-9.0909090909090912E-2</v>
      </c>
      <c r="F55" s="176">
        <v>-9.0909090909090912E-2</v>
      </c>
      <c r="G55" s="176">
        <v>-9.0909090909090898E-2</v>
      </c>
      <c r="H55" s="176">
        <v>-9.0909090909090898E-2</v>
      </c>
      <c r="I55" s="176">
        <v>-9.0909090909090898E-2</v>
      </c>
      <c r="J55" s="176">
        <v>-9.0909090909090898E-2</v>
      </c>
      <c r="K55" s="176">
        <v>-9.090909090909087E-2</v>
      </c>
      <c r="L55" s="176">
        <v>-9.090909090909087E-2</v>
      </c>
      <c r="M55" s="176">
        <v>-9.0909090909090925E-2</v>
      </c>
      <c r="N55" s="176">
        <v>-9.0909090909090912E-2</v>
      </c>
      <c r="O55" s="176">
        <v>-0.30151134457776363</v>
      </c>
      <c r="P55" s="176">
        <v>0.30151134457776363</v>
      </c>
      <c r="Q55" s="176">
        <v>1.1544313634330857E-18</v>
      </c>
      <c r="R55" s="176">
        <v>3.5368222459402599E-19</v>
      </c>
      <c r="S55" s="176">
        <v>3.5358392492070916E-19</v>
      </c>
      <c r="T55" s="176">
        <v>-4.4779433182757811E-18</v>
      </c>
      <c r="U55" s="176">
        <v>1.3544102334856564E-21</v>
      </c>
      <c r="V55" s="176">
        <v>-5.9163347819120439E-18</v>
      </c>
      <c r="W55" s="176">
        <v>5.914799783647426E-18</v>
      </c>
      <c r="X55" s="177">
        <v>0.10059238174549506</v>
      </c>
    </row>
    <row r="56" spans="2:24" x14ac:dyDescent="0.5">
      <c r="B56" s="171" t="s">
        <v>376</v>
      </c>
      <c r="C56" s="178">
        <v>-9.0909090909090925E-2</v>
      </c>
      <c r="D56" s="182">
        <v>1</v>
      </c>
      <c r="E56" s="178">
        <v>-9.0909090909090925E-2</v>
      </c>
      <c r="F56" s="178">
        <v>-9.0909090909090925E-2</v>
      </c>
      <c r="G56" s="178">
        <v>-9.0909090909090912E-2</v>
      </c>
      <c r="H56" s="178">
        <v>-9.0909090909090912E-2</v>
      </c>
      <c r="I56" s="178">
        <v>-9.0909090909090912E-2</v>
      </c>
      <c r="J56" s="178">
        <v>-9.0909090909090884E-2</v>
      </c>
      <c r="K56" s="178">
        <v>-9.0909090909090884E-2</v>
      </c>
      <c r="L56" s="178">
        <v>-9.0909090909090884E-2</v>
      </c>
      <c r="M56" s="178">
        <v>-9.0909090909090953E-2</v>
      </c>
      <c r="N56" s="178">
        <v>-9.0909090909090925E-2</v>
      </c>
      <c r="O56" s="178">
        <v>-0.30151134457776368</v>
      </c>
      <c r="P56" s="178">
        <v>0.30151134457776368</v>
      </c>
      <c r="Q56" s="178">
        <v>1.1536449660465509E-18</v>
      </c>
      <c r="R56" s="178">
        <v>6.7961445141070526E-18</v>
      </c>
      <c r="S56" s="178">
        <v>-2.8672048713058782E-18</v>
      </c>
      <c r="T56" s="178">
        <v>-6.0881902668790999E-18</v>
      </c>
      <c r="U56" s="178">
        <v>1.715586295748498E-21</v>
      </c>
      <c r="V56" s="178">
        <v>-5.9159736058497813E-18</v>
      </c>
      <c r="W56" s="178">
        <v>5.9140774315229016E-18</v>
      </c>
      <c r="X56" s="179">
        <v>5.9510141494053037E-2</v>
      </c>
    </row>
    <row r="57" spans="2:24" x14ac:dyDescent="0.5">
      <c r="B57" s="171" t="s">
        <v>377</v>
      </c>
      <c r="C57" s="178">
        <v>-9.0909090909090912E-2</v>
      </c>
      <c r="D57" s="178">
        <v>-9.0909090909090925E-2</v>
      </c>
      <c r="E57" s="182">
        <v>1</v>
      </c>
      <c r="F57" s="178">
        <v>-9.0909090909090925E-2</v>
      </c>
      <c r="G57" s="178">
        <v>-9.0909090909090912E-2</v>
      </c>
      <c r="H57" s="178">
        <v>-9.0909090909090912E-2</v>
      </c>
      <c r="I57" s="178">
        <v>-9.0909090909090912E-2</v>
      </c>
      <c r="J57" s="178">
        <v>-9.0909090909090884E-2</v>
      </c>
      <c r="K57" s="178">
        <v>-9.0909090909090884E-2</v>
      </c>
      <c r="L57" s="178">
        <v>-9.0909090909090856E-2</v>
      </c>
      <c r="M57" s="178">
        <v>-9.0909090909090912E-2</v>
      </c>
      <c r="N57" s="178">
        <v>-9.0909090909090912E-2</v>
      </c>
      <c r="O57" s="178">
        <v>-0.30151134457776352</v>
      </c>
      <c r="P57" s="178">
        <v>0.30151134457776352</v>
      </c>
      <c r="Q57" s="178">
        <v>1.4038372945725972E-17</v>
      </c>
      <c r="R57" s="178">
        <v>-2.8673031709791946E-18</v>
      </c>
      <c r="S57" s="178">
        <v>1.0016933310333639E-17</v>
      </c>
      <c r="T57" s="178">
        <v>-6.088386866225732E-18</v>
      </c>
      <c r="U57" s="178">
        <v>1.5349982646170768E-21</v>
      </c>
      <c r="V57" s="178">
        <v>-1.7751261696125272E-17</v>
      </c>
      <c r="W57" s="178">
        <v>1.7749455815813954E-17</v>
      </c>
      <c r="X57" s="179">
        <v>0.1481506791167391</v>
      </c>
    </row>
    <row r="58" spans="2:24" x14ac:dyDescent="0.5">
      <c r="B58" s="171" t="s">
        <v>378</v>
      </c>
      <c r="C58" s="178">
        <v>-9.0909090909090912E-2</v>
      </c>
      <c r="D58" s="178">
        <v>-9.0909090909090925E-2</v>
      </c>
      <c r="E58" s="178">
        <v>-9.0909090909090925E-2</v>
      </c>
      <c r="F58" s="182">
        <v>1</v>
      </c>
      <c r="G58" s="178">
        <v>-9.0909090909090898E-2</v>
      </c>
      <c r="H58" s="178">
        <v>-9.0909090909090898E-2</v>
      </c>
      <c r="I58" s="178">
        <v>-9.0909090909090898E-2</v>
      </c>
      <c r="J58" s="178">
        <v>-9.0909090909090884E-2</v>
      </c>
      <c r="K58" s="178">
        <v>-9.0909090909090884E-2</v>
      </c>
      <c r="L58" s="178">
        <v>-9.0909090909090884E-2</v>
      </c>
      <c r="M58" s="178">
        <v>-9.0909090909090884E-2</v>
      </c>
      <c r="N58" s="178">
        <v>-9.0909090909090912E-2</v>
      </c>
      <c r="O58" s="178">
        <v>-0.30151134457776363</v>
      </c>
      <c r="P58" s="178">
        <v>0.30151134457776363</v>
      </c>
      <c r="Q58" s="178">
        <v>7.5958123565396279E-18</v>
      </c>
      <c r="R58" s="178">
        <v>3.5397712361397645E-19</v>
      </c>
      <c r="S58" s="178">
        <v>3.5749625191871969E-18</v>
      </c>
      <c r="T58" s="178">
        <v>-2.867106571632561E-18</v>
      </c>
      <c r="U58" s="178">
        <v>-2.9570387157614504E-18</v>
      </c>
      <c r="V58" s="178">
        <v>-1.4792236512021376E-17</v>
      </c>
      <c r="W58" s="178">
        <v>1.7749094639751693E-17</v>
      </c>
      <c r="X58" s="179">
        <v>-4.3410932341529634E-3</v>
      </c>
    </row>
    <row r="59" spans="2:24" x14ac:dyDescent="0.5">
      <c r="B59" s="171" t="s">
        <v>379</v>
      </c>
      <c r="C59" s="178">
        <v>-9.0909090909090898E-2</v>
      </c>
      <c r="D59" s="178">
        <v>-9.0909090909090912E-2</v>
      </c>
      <c r="E59" s="178">
        <v>-9.0909090909090912E-2</v>
      </c>
      <c r="F59" s="178">
        <v>-9.0909090909090898E-2</v>
      </c>
      <c r="G59" s="182">
        <v>1</v>
      </c>
      <c r="H59" s="178">
        <v>-9.0909090909090912E-2</v>
      </c>
      <c r="I59" s="178">
        <v>-9.0909090909090912E-2</v>
      </c>
      <c r="J59" s="178">
        <v>-9.0909090909090898E-2</v>
      </c>
      <c r="K59" s="178">
        <v>-9.0909090909090884E-2</v>
      </c>
      <c r="L59" s="178">
        <v>-9.0909090909090884E-2</v>
      </c>
      <c r="M59" s="178">
        <v>-9.0909090909090925E-2</v>
      </c>
      <c r="N59" s="178">
        <v>-9.0909090909090898E-2</v>
      </c>
      <c r="O59" s="178">
        <v>0.30151134457776341</v>
      </c>
      <c r="P59" s="178">
        <v>-0.30151134457776341</v>
      </c>
      <c r="Q59" s="178">
        <v>7.5958123565396279E-18</v>
      </c>
      <c r="R59" s="178">
        <v>4.3802334429988329E-18</v>
      </c>
      <c r="S59" s="178">
        <v>-6.8936577900373687E-18</v>
      </c>
      <c r="T59" s="178">
        <v>-2.0619339474942437E-18</v>
      </c>
      <c r="U59" s="178">
        <v>5.9191338963945808E-18</v>
      </c>
      <c r="V59" s="178">
        <v>-5.9161541938809134E-18</v>
      </c>
      <c r="W59" s="178">
        <v>-3.2505845603655753E-21</v>
      </c>
      <c r="X59" s="179">
        <v>0.15748126202439022</v>
      </c>
    </row>
    <row r="60" spans="2:24" x14ac:dyDescent="0.5">
      <c r="B60" s="171" t="s">
        <v>380</v>
      </c>
      <c r="C60" s="178">
        <v>-9.0909090909090898E-2</v>
      </c>
      <c r="D60" s="178">
        <v>-9.0909090909090912E-2</v>
      </c>
      <c r="E60" s="178">
        <v>-9.0909090909090912E-2</v>
      </c>
      <c r="F60" s="178">
        <v>-9.0909090909090898E-2</v>
      </c>
      <c r="G60" s="178">
        <v>-9.0909090909090912E-2</v>
      </c>
      <c r="H60" s="182">
        <v>1</v>
      </c>
      <c r="I60" s="178">
        <v>-9.0909090909090912E-2</v>
      </c>
      <c r="J60" s="178">
        <v>-9.0909090909090898E-2</v>
      </c>
      <c r="K60" s="178">
        <v>-9.0909090909090898E-2</v>
      </c>
      <c r="L60" s="178">
        <v>-9.0909090909090898E-2</v>
      </c>
      <c r="M60" s="178">
        <v>-9.0909090909090925E-2</v>
      </c>
      <c r="N60" s="178">
        <v>-9.0909090909090898E-2</v>
      </c>
      <c r="O60" s="178">
        <v>0.30151134457776357</v>
      </c>
      <c r="P60" s="178">
        <v>-0.30151134457776357</v>
      </c>
      <c r="Q60" s="178">
        <v>4.3747286612930902E-18</v>
      </c>
      <c r="R60" s="178">
        <v>5.1856026664837838E-18</v>
      </c>
      <c r="S60" s="178">
        <v>-1.2530455957045493E-17</v>
      </c>
      <c r="T60" s="178">
        <v>-2.8671065716325617E-18</v>
      </c>
      <c r="U60" s="178">
        <v>-7.3797298921855127E-19</v>
      </c>
      <c r="V60" s="178">
        <v>1.5349982646170772E-21</v>
      </c>
      <c r="W60" s="178">
        <v>1.4759459784371025E-18</v>
      </c>
      <c r="X60" s="179">
        <v>9.8453464223020828E-2</v>
      </c>
    </row>
    <row r="61" spans="2:24" x14ac:dyDescent="0.5">
      <c r="B61" s="171" t="s">
        <v>381</v>
      </c>
      <c r="C61" s="178">
        <v>-9.0909090909090898E-2</v>
      </c>
      <c r="D61" s="178">
        <v>-9.0909090909090912E-2</v>
      </c>
      <c r="E61" s="178">
        <v>-9.0909090909090912E-2</v>
      </c>
      <c r="F61" s="178">
        <v>-9.0909090909090898E-2</v>
      </c>
      <c r="G61" s="178">
        <v>-9.0909090909090912E-2</v>
      </c>
      <c r="H61" s="178">
        <v>-9.0909090909090912E-2</v>
      </c>
      <c r="I61" s="182">
        <v>1</v>
      </c>
      <c r="J61" s="178">
        <v>-9.0909090909090898E-2</v>
      </c>
      <c r="K61" s="178">
        <v>-9.0909090909090884E-2</v>
      </c>
      <c r="L61" s="178">
        <v>-9.0909090909090884E-2</v>
      </c>
      <c r="M61" s="178">
        <v>-9.0909090909090925E-2</v>
      </c>
      <c r="N61" s="178">
        <v>-9.0909090909090898E-2</v>
      </c>
      <c r="O61" s="178">
        <v>0.30151134457776357</v>
      </c>
      <c r="P61" s="178">
        <v>-0.30151134457776357</v>
      </c>
      <c r="Q61" s="178">
        <v>2.7641868136698205E-18</v>
      </c>
      <c r="R61" s="178">
        <v>5.1856026664837838E-18</v>
      </c>
      <c r="S61" s="178">
        <v>-6.0882885665524163E-18</v>
      </c>
      <c r="T61" s="178">
        <v>-2.8671065716325617E-18</v>
      </c>
      <c r="U61" s="178">
        <v>2.2207813128386479E-18</v>
      </c>
      <c r="V61" s="178">
        <v>-5.1762850303354816E-18</v>
      </c>
      <c r="W61" s="178">
        <v>1.4759459784371025E-18</v>
      </c>
      <c r="X61" s="179">
        <v>-5.3959235391365705E-2</v>
      </c>
    </row>
    <row r="62" spans="2:24" x14ac:dyDescent="0.5">
      <c r="B62" s="171" t="s">
        <v>382</v>
      </c>
      <c r="C62" s="178">
        <v>-9.0909090909090898E-2</v>
      </c>
      <c r="D62" s="178">
        <v>-9.0909090909090884E-2</v>
      </c>
      <c r="E62" s="178">
        <v>-9.0909090909090884E-2</v>
      </c>
      <c r="F62" s="178">
        <v>-9.0909090909090884E-2</v>
      </c>
      <c r="G62" s="178">
        <v>-9.0909090909090898E-2</v>
      </c>
      <c r="H62" s="178">
        <v>-9.0909090909090898E-2</v>
      </c>
      <c r="I62" s="178">
        <v>-9.0909090909090898E-2</v>
      </c>
      <c r="J62" s="182">
        <v>1</v>
      </c>
      <c r="K62" s="178">
        <v>-9.0909090909090884E-2</v>
      </c>
      <c r="L62" s="178">
        <v>-9.090909090909087E-2</v>
      </c>
      <c r="M62" s="178">
        <v>-9.0909090909090912E-2</v>
      </c>
      <c r="N62" s="178">
        <v>-9.0909090909090884E-2</v>
      </c>
      <c r="O62" s="178">
        <v>0.30151134457776352</v>
      </c>
      <c r="P62" s="178">
        <v>-0.30151134457776352</v>
      </c>
      <c r="Q62" s="178">
        <v>2.7634004162832858E-18</v>
      </c>
      <c r="R62" s="178">
        <v>3.172621956301331E-18</v>
      </c>
      <c r="S62" s="178">
        <v>-4.8560038618523853E-20</v>
      </c>
      <c r="T62" s="178">
        <v>3.172621956301331E-18</v>
      </c>
      <c r="U62" s="178">
        <v>7.7687165112425942E-18</v>
      </c>
      <c r="V62" s="178">
        <v>-4.0665715790329007E-18</v>
      </c>
      <c r="W62" s="178">
        <v>-3.7024158142563893E-18</v>
      </c>
      <c r="X62" s="179">
        <v>4.2035066726333531E-2</v>
      </c>
    </row>
    <row r="63" spans="2:24" x14ac:dyDescent="0.5">
      <c r="B63" s="171" t="s">
        <v>383</v>
      </c>
      <c r="C63" s="178">
        <v>-9.090909090909087E-2</v>
      </c>
      <c r="D63" s="178">
        <v>-9.0909090909090884E-2</v>
      </c>
      <c r="E63" s="178">
        <v>-9.0909090909090884E-2</v>
      </c>
      <c r="F63" s="178">
        <v>-9.0909090909090884E-2</v>
      </c>
      <c r="G63" s="178">
        <v>-9.0909090909090884E-2</v>
      </c>
      <c r="H63" s="178">
        <v>-9.0909090909090898E-2</v>
      </c>
      <c r="I63" s="178">
        <v>-9.0909090909090884E-2</v>
      </c>
      <c r="J63" s="178">
        <v>-9.0909090909090884E-2</v>
      </c>
      <c r="K63" s="182">
        <v>1</v>
      </c>
      <c r="L63" s="178">
        <v>-9.0909090909090898E-2</v>
      </c>
      <c r="M63" s="178">
        <v>-9.0909090909090884E-2</v>
      </c>
      <c r="N63" s="178">
        <v>-9.0909090909090884E-2</v>
      </c>
      <c r="O63" s="178">
        <v>0.30151134457776363</v>
      </c>
      <c r="P63" s="178">
        <v>-0.30151134457776363</v>
      </c>
      <c r="Q63" s="178">
        <v>3.5682781414016529E-18</v>
      </c>
      <c r="R63" s="178">
        <v>1.3608606773984699E-18</v>
      </c>
      <c r="S63" s="178">
        <v>-1.8603213175213844E-18</v>
      </c>
      <c r="T63" s="178">
        <v>-6.6918485607178738E-18</v>
      </c>
      <c r="U63" s="178">
        <v>9.6180282440439072E-18</v>
      </c>
      <c r="V63" s="178">
        <v>7.4158474984117953E-19</v>
      </c>
      <c r="W63" s="178">
        <v>-7.4010392798590191E-18</v>
      </c>
      <c r="X63" s="179">
        <v>-0.17964930370371224</v>
      </c>
    </row>
    <row r="64" spans="2:24" x14ac:dyDescent="0.5">
      <c r="B64" s="171" t="s">
        <v>384</v>
      </c>
      <c r="C64" s="178">
        <v>-9.090909090909087E-2</v>
      </c>
      <c r="D64" s="178">
        <v>-9.0909090909090884E-2</v>
      </c>
      <c r="E64" s="178">
        <v>-9.0909090909090856E-2</v>
      </c>
      <c r="F64" s="178">
        <v>-9.0909090909090884E-2</v>
      </c>
      <c r="G64" s="178">
        <v>-9.0909090909090884E-2</v>
      </c>
      <c r="H64" s="178">
        <v>-9.0909090909090898E-2</v>
      </c>
      <c r="I64" s="178">
        <v>-9.0909090909090884E-2</v>
      </c>
      <c r="J64" s="178">
        <v>-9.090909090909087E-2</v>
      </c>
      <c r="K64" s="178">
        <v>-9.0909090909090898E-2</v>
      </c>
      <c r="L64" s="182">
        <v>1</v>
      </c>
      <c r="M64" s="178">
        <v>-9.0909090909090884E-2</v>
      </c>
      <c r="N64" s="178">
        <v>-9.0909090909090884E-2</v>
      </c>
      <c r="O64" s="178">
        <v>0.30151134457776363</v>
      </c>
      <c r="P64" s="178">
        <v>-0.30151134457776363</v>
      </c>
      <c r="Q64" s="178">
        <v>9.8771511748770811E-19</v>
      </c>
      <c r="R64" s="178">
        <v>1.0404037423855396E-17</v>
      </c>
      <c r="S64" s="178">
        <v>-8.6818271473441858E-19</v>
      </c>
      <c r="T64" s="178">
        <v>-2.4802973571307572E-18</v>
      </c>
      <c r="U64" s="178">
        <v>6.8276722810167593E-18</v>
      </c>
      <c r="V64" s="178">
        <v>9.1305308540046402E-19</v>
      </c>
      <c r="W64" s="178">
        <v>-7.7378359579191209E-18</v>
      </c>
      <c r="X64" s="179">
        <v>-0.32832581651821291</v>
      </c>
    </row>
    <row r="65" spans="2:24" x14ac:dyDescent="0.5">
      <c r="B65" s="171" t="s">
        <v>385</v>
      </c>
      <c r="C65" s="178">
        <v>-9.0909090909090925E-2</v>
      </c>
      <c r="D65" s="178">
        <v>-9.0909090909090953E-2</v>
      </c>
      <c r="E65" s="178">
        <v>-9.0909090909090912E-2</v>
      </c>
      <c r="F65" s="178">
        <v>-9.0909090909090884E-2</v>
      </c>
      <c r="G65" s="178">
        <v>-9.0909090909090925E-2</v>
      </c>
      <c r="H65" s="178">
        <v>-9.0909090909090925E-2</v>
      </c>
      <c r="I65" s="178">
        <v>-9.0909090909090925E-2</v>
      </c>
      <c r="J65" s="178">
        <v>-9.0909090909090912E-2</v>
      </c>
      <c r="K65" s="178">
        <v>-9.0909090909090884E-2</v>
      </c>
      <c r="L65" s="178">
        <v>-9.0909090909090884E-2</v>
      </c>
      <c r="M65" s="182">
        <v>1</v>
      </c>
      <c r="N65" s="178">
        <v>-9.0909090909090884E-2</v>
      </c>
      <c r="O65" s="178">
        <v>-0.30151134457776363</v>
      </c>
      <c r="P65" s="178">
        <v>0.30151134457776363</v>
      </c>
      <c r="Q65" s="178">
        <v>1.1536449660465509E-18</v>
      </c>
      <c r="R65" s="178">
        <v>3.5397712361397645E-19</v>
      </c>
      <c r="S65" s="178">
        <v>3.5749625191871969E-18</v>
      </c>
      <c r="T65" s="178">
        <v>3.5397712361397645E-19</v>
      </c>
      <c r="U65" s="178">
        <v>-1.4776615647328508E-18</v>
      </c>
      <c r="V65" s="178">
        <v>-7.3953507568783807E-18</v>
      </c>
      <c r="W65" s="178">
        <v>8.8728317335800996E-18</v>
      </c>
      <c r="X65" s="179">
        <v>0.19013830220116926</v>
      </c>
    </row>
    <row r="66" spans="2:24" x14ac:dyDescent="0.5">
      <c r="B66" s="171" t="s">
        <v>386</v>
      </c>
      <c r="C66" s="178">
        <v>-9.0909090909090912E-2</v>
      </c>
      <c r="D66" s="178">
        <v>-9.0909090909090925E-2</v>
      </c>
      <c r="E66" s="178">
        <v>-9.0909090909090912E-2</v>
      </c>
      <c r="F66" s="178">
        <v>-9.0909090909090912E-2</v>
      </c>
      <c r="G66" s="178">
        <v>-9.0909090909090898E-2</v>
      </c>
      <c r="H66" s="178">
        <v>-9.0909090909090898E-2</v>
      </c>
      <c r="I66" s="178">
        <v>-9.0909090909090898E-2</v>
      </c>
      <c r="J66" s="178">
        <v>-9.0909090909090884E-2</v>
      </c>
      <c r="K66" s="178">
        <v>-9.0909090909090884E-2</v>
      </c>
      <c r="L66" s="178">
        <v>-9.0909090909090884E-2</v>
      </c>
      <c r="M66" s="178">
        <v>-9.0909090909090884E-2</v>
      </c>
      <c r="N66" s="182">
        <v>1</v>
      </c>
      <c r="O66" s="178">
        <v>-0.30151134457776363</v>
      </c>
      <c r="P66" s="178">
        <v>0.30151134457776363</v>
      </c>
      <c r="Q66" s="178">
        <v>1.1536449660465509E-18</v>
      </c>
      <c r="R66" s="178">
        <v>1.9645189712372453E-18</v>
      </c>
      <c r="S66" s="178">
        <v>3.5749625191871969E-18</v>
      </c>
      <c r="T66" s="178">
        <v>5.185602666483783E-18</v>
      </c>
      <c r="U66" s="178">
        <v>1.7155862957484977E-21</v>
      </c>
      <c r="V66" s="178">
        <v>-5.9159736058497798E-18</v>
      </c>
      <c r="W66" s="178">
        <v>5.9140774315229008E-18</v>
      </c>
      <c r="X66" s="179">
        <v>-0.23008584868375689</v>
      </c>
    </row>
    <row r="67" spans="2:24" x14ac:dyDescent="0.5">
      <c r="B67" s="171" t="s">
        <v>387</v>
      </c>
      <c r="C67" s="178">
        <v>-0.30151134457776363</v>
      </c>
      <c r="D67" s="178">
        <v>-0.30151134457776368</v>
      </c>
      <c r="E67" s="178">
        <v>-0.30151134457776352</v>
      </c>
      <c r="F67" s="178">
        <v>-0.30151134457776363</v>
      </c>
      <c r="G67" s="178">
        <v>0.30151134457776341</v>
      </c>
      <c r="H67" s="178">
        <v>0.30151134457776357</v>
      </c>
      <c r="I67" s="178">
        <v>0.30151134457776357</v>
      </c>
      <c r="J67" s="178">
        <v>0.30151134457776352</v>
      </c>
      <c r="K67" s="178">
        <v>0.30151134457776363</v>
      </c>
      <c r="L67" s="178">
        <v>0.30151134457776363</v>
      </c>
      <c r="M67" s="178">
        <v>-0.30151134457776363</v>
      </c>
      <c r="N67" s="178">
        <v>-0.30151134457776363</v>
      </c>
      <c r="O67" s="182">
        <v>1</v>
      </c>
      <c r="P67" s="178">
        <v>-1</v>
      </c>
      <c r="Q67" s="178">
        <v>1.1305612871515059E-17</v>
      </c>
      <c r="R67" s="178">
        <v>-1.296876554939942E-17</v>
      </c>
      <c r="S67" s="178">
        <v>1.2758371953974424E-18</v>
      </c>
      <c r="T67" s="178">
        <v>-5.8466815257565925E-18</v>
      </c>
      <c r="U67" s="178">
        <v>1.8190689631209494E-17</v>
      </c>
      <c r="V67" s="178">
        <v>-1.4346675120165006E-18</v>
      </c>
      <c r="W67" s="178">
        <v>-2.3297275440054197E-17</v>
      </c>
      <c r="X67" s="179">
        <v>-0.14591190203760662</v>
      </c>
    </row>
    <row r="68" spans="2:24" x14ac:dyDescent="0.5">
      <c r="B68" s="171" t="s">
        <v>388</v>
      </c>
      <c r="C68" s="178">
        <v>0.30151134457776363</v>
      </c>
      <c r="D68" s="178">
        <v>0.30151134457776368</v>
      </c>
      <c r="E68" s="178">
        <v>0.30151134457776352</v>
      </c>
      <c r="F68" s="178">
        <v>0.30151134457776363</v>
      </c>
      <c r="G68" s="178">
        <v>-0.30151134457776341</v>
      </c>
      <c r="H68" s="178">
        <v>-0.30151134457776357</v>
      </c>
      <c r="I68" s="178">
        <v>-0.30151134457776357</v>
      </c>
      <c r="J68" s="178">
        <v>-0.30151134457776352</v>
      </c>
      <c r="K68" s="178">
        <v>-0.30151134457776363</v>
      </c>
      <c r="L68" s="178">
        <v>-0.30151134457776363</v>
      </c>
      <c r="M68" s="178">
        <v>0.30151134457776363</v>
      </c>
      <c r="N68" s="178">
        <v>0.30151134457776363</v>
      </c>
      <c r="O68" s="178">
        <v>-1</v>
      </c>
      <c r="P68" s="182">
        <v>1</v>
      </c>
      <c r="Q68" s="178">
        <v>-1.1305612871515059E-17</v>
      </c>
      <c r="R68" s="178">
        <v>1.296876554939942E-17</v>
      </c>
      <c r="S68" s="178">
        <v>-1.2758371953974424E-18</v>
      </c>
      <c r="T68" s="178">
        <v>5.8466815257565925E-18</v>
      </c>
      <c r="U68" s="178">
        <v>-1.8190689631209494E-17</v>
      </c>
      <c r="V68" s="178">
        <v>1.4346675120165006E-18</v>
      </c>
      <c r="W68" s="178">
        <v>2.3297275440054197E-17</v>
      </c>
      <c r="X68" s="179">
        <v>0.14591190203760662</v>
      </c>
    </row>
    <row r="69" spans="2:24" x14ac:dyDescent="0.5">
      <c r="B69" s="171" t="s">
        <v>392</v>
      </c>
      <c r="C69" s="178">
        <v>1.1544313634330857E-18</v>
      </c>
      <c r="D69" s="178">
        <v>1.1536449660465509E-18</v>
      </c>
      <c r="E69" s="178">
        <v>1.4038372945725972E-17</v>
      </c>
      <c r="F69" s="178">
        <v>7.5958123565396279E-18</v>
      </c>
      <c r="G69" s="178">
        <v>7.5958123565396279E-18</v>
      </c>
      <c r="H69" s="178">
        <v>4.3747286612930902E-18</v>
      </c>
      <c r="I69" s="178">
        <v>2.7641868136698205E-18</v>
      </c>
      <c r="J69" s="178">
        <v>2.7634004162832858E-18</v>
      </c>
      <c r="K69" s="178">
        <v>3.5682781414016529E-18</v>
      </c>
      <c r="L69" s="178">
        <v>9.8771511748770811E-19</v>
      </c>
      <c r="M69" s="178">
        <v>1.1536449660465509E-18</v>
      </c>
      <c r="N69" s="178">
        <v>1.1536449660465509E-18</v>
      </c>
      <c r="O69" s="178">
        <v>1.1305612871515059E-17</v>
      </c>
      <c r="P69" s="178">
        <v>-1.1305612871515059E-17</v>
      </c>
      <c r="Q69" s="182">
        <v>1</v>
      </c>
      <c r="R69" s="178">
        <v>-0.33333333333333348</v>
      </c>
      <c r="S69" s="178">
        <v>-0.33333333333333354</v>
      </c>
      <c r="T69" s="178">
        <v>-0.33333333333333348</v>
      </c>
      <c r="U69" s="178">
        <v>-1.0305017056492208E-16</v>
      </c>
      <c r="V69" s="178">
        <v>1.2357407748617155E-16</v>
      </c>
      <c r="W69" s="178">
        <v>-3.5631206516470303E-17</v>
      </c>
      <c r="X69" s="179">
        <v>6.4824850859495201E-2</v>
      </c>
    </row>
    <row r="70" spans="2:24" x14ac:dyDescent="0.5">
      <c r="B70" s="171" t="s">
        <v>390</v>
      </c>
      <c r="C70" s="178">
        <v>3.5368222459402599E-19</v>
      </c>
      <c r="D70" s="178">
        <v>6.7961445141070526E-18</v>
      </c>
      <c r="E70" s="178">
        <v>-2.8673031709791946E-18</v>
      </c>
      <c r="F70" s="178">
        <v>3.5397712361397645E-19</v>
      </c>
      <c r="G70" s="178">
        <v>4.3802334429988329E-18</v>
      </c>
      <c r="H70" s="178">
        <v>5.1856026664837838E-18</v>
      </c>
      <c r="I70" s="178">
        <v>5.1856026664837838E-18</v>
      </c>
      <c r="J70" s="178">
        <v>3.172621956301331E-18</v>
      </c>
      <c r="K70" s="178">
        <v>1.3608606773984699E-18</v>
      </c>
      <c r="L70" s="178">
        <v>1.0404037423855396E-17</v>
      </c>
      <c r="M70" s="178">
        <v>3.5397712361397645E-19</v>
      </c>
      <c r="N70" s="178">
        <v>1.9645189712372453E-18</v>
      </c>
      <c r="O70" s="178">
        <v>-1.296876554939942E-17</v>
      </c>
      <c r="P70" s="178">
        <v>1.296876554939942E-17</v>
      </c>
      <c r="Q70" s="178">
        <v>-0.33333333333333348</v>
      </c>
      <c r="R70" s="182">
        <v>1</v>
      </c>
      <c r="S70" s="178">
        <v>-0.33333333333333326</v>
      </c>
      <c r="T70" s="178">
        <v>-0.33333333333333309</v>
      </c>
      <c r="U70" s="178">
        <v>1.9714735499970928E-17</v>
      </c>
      <c r="V70" s="178">
        <v>3.4822496161528663E-17</v>
      </c>
      <c r="W70" s="178">
        <v>-6.9645914455731141E-17</v>
      </c>
      <c r="X70" s="179">
        <v>4.4732377231992103E-2</v>
      </c>
    </row>
    <row r="71" spans="2:24" x14ac:dyDescent="0.5">
      <c r="B71" s="171" t="s">
        <v>391</v>
      </c>
      <c r="C71" s="178">
        <v>3.5358392492070916E-19</v>
      </c>
      <c r="D71" s="178">
        <v>-2.8672048713058782E-18</v>
      </c>
      <c r="E71" s="178">
        <v>1.0016933310333639E-17</v>
      </c>
      <c r="F71" s="178">
        <v>3.5749625191871969E-18</v>
      </c>
      <c r="G71" s="178">
        <v>-6.8936577900373687E-18</v>
      </c>
      <c r="H71" s="178">
        <v>-1.2530455957045493E-17</v>
      </c>
      <c r="I71" s="178">
        <v>-6.0882885665524163E-18</v>
      </c>
      <c r="J71" s="178">
        <v>-4.8560038618523853E-20</v>
      </c>
      <c r="K71" s="178">
        <v>-1.8603213175213844E-18</v>
      </c>
      <c r="L71" s="178">
        <v>-8.6818271473441858E-19</v>
      </c>
      <c r="M71" s="178">
        <v>3.5749625191871969E-18</v>
      </c>
      <c r="N71" s="178">
        <v>3.5749625191871969E-18</v>
      </c>
      <c r="O71" s="178">
        <v>1.2758371953974424E-18</v>
      </c>
      <c r="P71" s="178">
        <v>-1.2758371953974424E-18</v>
      </c>
      <c r="Q71" s="178">
        <v>-0.33333333333333354</v>
      </c>
      <c r="R71" s="178">
        <v>-0.33333333333333326</v>
      </c>
      <c r="S71" s="182">
        <v>1</v>
      </c>
      <c r="T71" s="178">
        <v>-0.33333333333333337</v>
      </c>
      <c r="U71" s="178">
        <v>-5.5826603672670783E-17</v>
      </c>
      <c r="V71" s="178">
        <v>4.993048735625486E-17</v>
      </c>
      <c r="W71" s="178">
        <v>-9.2125664778156428E-18</v>
      </c>
      <c r="X71" s="179">
        <v>-7.2350065172131994E-2</v>
      </c>
    </row>
    <row r="72" spans="2:24" x14ac:dyDescent="0.5">
      <c r="B72" s="171" t="s">
        <v>437</v>
      </c>
      <c r="C72" s="178">
        <v>-4.4779433182757811E-18</v>
      </c>
      <c r="D72" s="178">
        <v>-6.0881902668790999E-18</v>
      </c>
      <c r="E72" s="178">
        <v>-6.088386866225732E-18</v>
      </c>
      <c r="F72" s="178">
        <v>-2.867106571632561E-18</v>
      </c>
      <c r="G72" s="178">
        <v>-2.0619339474942437E-18</v>
      </c>
      <c r="H72" s="178">
        <v>-2.8671065716325617E-18</v>
      </c>
      <c r="I72" s="178">
        <v>-2.8671065716325617E-18</v>
      </c>
      <c r="J72" s="178">
        <v>3.172621956301331E-18</v>
      </c>
      <c r="K72" s="178">
        <v>-6.6918485607178738E-18</v>
      </c>
      <c r="L72" s="178">
        <v>-2.4802973571307572E-18</v>
      </c>
      <c r="M72" s="178">
        <v>3.5397712361397645E-19</v>
      </c>
      <c r="N72" s="178">
        <v>5.185602666483783E-18</v>
      </c>
      <c r="O72" s="178">
        <v>-5.8466815257565925E-18</v>
      </c>
      <c r="P72" s="178">
        <v>5.8466815257565925E-18</v>
      </c>
      <c r="Q72" s="178">
        <v>-0.33333333333333348</v>
      </c>
      <c r="R72" s="178">
        <v>-0.33333333333333309</v>
      </c>
      <c r="S72" s="178">
        <v>-0.33333333333333337</v>
      </c>
      <c r="T72" s="182">
        <v>1</v>
      </c>
      <c r="U72" s="178">
        <v>-1.1625926005108094E-16</v>
      </c>
      <c r="V72" s="178">
        <v>1.4058004825679122E-16</v>
      </c>
      <c r="W72" s="178">
        <v>-9.2130275441525524E-18</v>
      </c>
      <c r="X72" s="179">
        <v>-3.7207162919355267E-2</v>
      </c>
    </row>
    <row r="73" spans="2:24" x14ac:dyDescent="0.5">
      <c r="B73" s="171" t="s">
        <v>778</v>
      </c>
      <c r="C73" s="178">
        <v>1.3544102334856564E-21</v>
      </c>
      <c r="D73" s="178">
        <v>1.715586295748498E-21</v>
      </c>
      <c r="E73" s="178">
        <v>1.5349982646170768E-21</v>
      </c>
      <c r="F73" s="178">
        <v>-2.9570387157614504E-18</v>
      </c>
      <c r="G73" s="178">
        <v>5.9191338963945808E-18</v>
      </c>
      <c r="H73" s="178">
        <v>-7.3797298921855127E-19</v>
      </c>
      <c r="I73" s="178">
        <v>2.2207813128386479E-18</v>
      </c>
      <c r="J73" s="178">
        <v>7.7687165112425942E-18</v>
      </c>
      <c r="K73" s="178">
        <v>9.6180282440439072E-18</v>
      </c>
      <c r="L73" s="178">
        <v>6.8276722810167593E-18</v>
      </c>
      <c r="M73" s="178">
        <v>-1.4776615647328508E-18</v>
      </c>
      <c r="N73" s="178">
        <v>1.7155862957484977E-21</v>
      </c>
      <c r="O73" s="178">
        <v>1.8190689631209494E-17</v>
      </c>
      <c r="P73" s="178">
        <v>-1.8190689631209494E-17</v>
      </c>
      <c r="Q73" s="178">
        <v>-1.0305017056492208E-16</v>
      </c>
      <c r="R73" s="178">
        <v>1.9714735499970928E-17</v>
      </c>
      <c r="S73" s="178">
        <v>-5.5826603672670783E-17</v>
      </c>
      <c r="T73" s="178">
        <v>-1.1625926005108094E-16</v>
      </c>
      <c r="U73" s="182">
        <v>1</v>
      </c>
      <c r="V73" s="178">
        <v>-0.49999999999999983</v>
      </c>
      <c r="W73" s="178">
        <v>-0.50000000000000011</v>
      </c>
      <c r="X73" s="179">
        <v>-6.4978878460519016E-2</v>
      </c>
    </row>
    <row r="74" spans="2:24" x14ac:dyDescent="0.5">
      <c r="B74" s="171" t="s">
        <v>779</v>
      </c>
      <c r="C74" s="178">
        <v>-5.9163347819120439E-18</v>
      </c>
      <c r="D74" s="178">
        <v>-5.9159736058497813E-18</v>
      </c>
      <c r="E74" s="178">
        <v>-1.7751261696125272E-17</v>
      </c>
      <c r="F74" s="178">
        <v>-1.4792236512021376E-17</v>
      </c>
      <c r="G74" s="178">
        <v>-5.9161541938809134E-18</v>
      </c>
      <c r="H74" s="178">
        <v>1.5349982646170772E-21</v>
      </c>
      <c r="I74" s="178">
        <v>-5.1762850303354816E-18</v>
      </c>
      <c r="J74" s="178">
        <v>-4.0665715790329007E-18</v>
      </c>
      <c r="K74" s="178">
        <v>7.4158474984117953E-19</v>
      </c>
      <c r="L74" s="178">
        <v>9.1305308540046402E-19</v>
      </c>
      <c r="M74" s="178">
        <v>-7.3953507568783807E-18</v>
      </c>
      <c r="N74" s="178">
        <v>-5.9159736058497798E-18</v>
      </c>
      <c r="O74" s="178">
        <v>-1.4346675120165006E-18</v>
      </c>
      <c r="P74" s="178">
        <v>1.4346675120165006E-18</v>
      </c>
      <c r="Q74" s="178">
        <v>1.2357407748617155E-16</v>
      </c>
      <c r="R74" s="178">
        <v>3.4822496161528663E-17</v>
      </c>
      <c r="S74" s="178">
        <v>4.993048735625486E-17</v>
      </c>
      <c r="T74" s="178">
        <v>1.4058004825679122E-16</v>
      </c>
      <c r="U74" s="178">
        <v>-0.49999999999999983</v>
      </c>
      <c r="V74" s="182">
        <v>1</v>
      </c>
      <c r="W74" s="178">
        <v>-0.50000000000000011</v>
      </c>
      <c r="X74" s="179">
        <v>0.10025690183704011</v>
      </c>
    </row>
    <row r="75" spans="2:24" x14ac:dyDescent="0.5">
      <c r="B75" s="171" t="s">
        <v>780</v>
      </c>
      <c r="C75" s="178">
        <v>5.914799783647426E-18</v>
      </c>
      <c r="D75" s="178">
        <v>5.9140774315229016E-18</v>
      </c>
      <c r="E75" s="178">
        <v>1.7749455815813954E-17</v>
      </c>
      <c r="F75" s="178">
        <v>1.7749094639751693E-17</v>
      </c>
      <c r="G75" s="178">
        <v>-3.2505845603655753E-21</v>
      </c>
      <c r="H75" s="178">
        <v>1.4759459784371025E-18</v>
      </c>
      <c r="I75" s="178">
        <v>1.4759459784371025E-18</v>
      </c>
      <c r="J75" s="178">
        <v>-3.7024158142563893E-18</v>
      </c>
      <c r="K75" s="178">
        <v>-7.4010392798590191E-18</v>
      </c>
      <c r="L75" s="178">
        <v>-7.7378359579191209E-18</v>
      </c>
      <c r="M75" s="178">
        <v>8.8728317335800996E-18</v>
      </c>
      <c r="N75" s="178">
        <v>5.9140774315229008E-18</v>
      </c>
      <c r="O75" s="178">
        <v>-2.3297275440054197E-17</v>
      </c>
      <c r="P75" s="178">
        <v>2.3297275440054197E-17</v>
      </c>
      <c r="Q75" s="178">
        <v>-3.5631206516470303E-17</v>
      </c>
      <c r="R75" s="178">
        <v>-6.9645914455731141E-17</v>
      </c>
      <c r="S75" s="178">
        <v>-9.2125664778156428E-18</v>
      </c>
      <c r="T75" s="178">
        <v>-9.2130275441525524E-18</v>
      </c>
      <c r="U75" s="178">
        <v>-0.50000000000000011</v>
      </c>
      <c r="V75" s="178">
        <v>-0.50000000000000011</v>
      </c>
      <c r="W75" s="182">
        <v>1</v>
      </c>
      <c r="X75" s="179">
        <v>-3.5278023376521105E-2</v>
      </c>
    </row>
    <row r="76" spans="2:24" ht="14.7" thickBot="1" x14ac:dyDescent="0.55000000000000004">
      <c r="B76" s="175" t="s">
        <v>362</v>
      </c>
      <c r="C76" s="180">
        <v>0.10059238174549506</v>
      </c>
      <c r="D76" s="180">
        <v>5.9510141494053037E-2</v>
      </c>
      <c r="E76" s="180">
        <v>0.1481506791167391</v>
      </c>
      <c r="F76" s="180">
        <v>-4.3410932341529634E-3</v>
      </c>
      <c r="G76" s="180">
        <v>0.15748126202439022</v>
      </c>
      <c r="H76" s="180">
        <v>9.8453464223020828E-2</v>
      </c>
      <c r="I76" s="180">
        <v>-5.3959235391365705E-2</v>
      </c>
      <c r="J76" s="180">
        <v>4.2035066726333531E-2</v>
      </c>
      <c r="K76" s="180">
        <v>-0.17964930370371224</v>
      </c>
      <c r="L76" s="180">
        <v>-0.32832581651821291</v>
      </c>
      <c r="M76" s="180">
        <v>0.19013830220116926</v>
      </c>
      <c r="N76" s="180">
        <v>-0.23008584868375689</v>
      </c>
      <c r="O76" s="180">
        <v>-0.14591190203760662</v>
      </c>
      <c r="P76" s="180">
        <v>0.14591190203760662</v>
      </c>
      <c r="Q76" s="180">
        <v>6.4824850859495201E-2</v>
      </c>
      <c r="R76" s="180">
        <v>4.4732377231992103E-2</v>
      </c>
      <c r="S76" s="180">
        <v>-7.2350065172131994E-2</v>
      </c>
      <c r="T76" s="180">
        <v>-3.7207162919355267E-2</v>
      </c>
      <c r="U76" s="180">
        <v>-6.4978878460519016E-2</v>
      </c>
      <c r="V76" s="180">
        <v>0.10025690183704011</v>
      </c>
      <c r="W76" s="180">
        <v>-3.5278023376521105E-2</v>
      </c>
      <c r="X76" s="183">
        <v>1</v>
      </c>
    </row>
    <row r="79" spans="2:24" x14ac:dyDescent="0.5">
      <c r="B79" s="89" t="s">
        <v>1264</v>
      </c>
    </row>
    <row r="81" spans="2:3" x14ac:dyDescent="0.5">
      <c r="B81" t="s">
        <v>252</v>
      </c>
    </row>
    <row r="82" spans="2:3" ht="14.7" thickBot="1" x14ac:dyDescent="0.55000000000000004"/>
    <row r="83" spans="2:3" x14ac:dyDescent="0.5">
      <c r="B83" s="184" t="s">
        <v>221</v>
      </c>
      <c r="C83" s="185">
        <v>144</v>
      </c>
    </row>
    <row r="84" spans="2:3" x14ac:dyDescent="0.5">
      <c r="B84" s="160" t="s">
        <v>253</v>
      </c>
      <c r="C84" s="186">
        <v>144</v>
      </c>
    </row>
    <row r="85" spans="2:3" x14ac:dyDescent="0.5">
      <c r="B85" s="160" t="s">
        <v>254</v>
      </c>
      <c r="C85" s="169">
        <v>1090.0593770874352</v>
      </c>
    </row>
    <row r="86" spans="2:3" x14ac:dyDescent="0.5">
      <c r="B86" s="160" t="s">
        <v>255</v>
      </c>
      <c r="C86" s="169">
        <v>1094.0593770874352</v>
      </c>
    </row>
    <row r="87" spans="2:3" x14ac:dyDescent="0.5">
      <c r="B87" s="160" t="s">
        <v>256</v>
      </c>
      <c r="C87" s="169">
        <v>1094.1444834704139</v>
      </c>
    </row>
    <row r="88" spans="2:3" x14ac:dyDescent="0.5">
      <c r="B88" s="160" t="s">
        <v>257</v>
      </c>
      <c r="C88" s="169">
        <v>1099.9990036865872</v>
      </c>
    </row>
    <row r="89" spans="2:3" x14ac:dyDescent="0.5">
      <c r="B89" s="160" t="s">
        <v>258</v>
      </c>
      <c r="C89" s="169">
        <v>1101.9990036865872</v>
      </c>
    </row>
    <row r="90" spans="2:3" x14ac:dyDescent="0.5">
      <c r="B90" s="160" t="s">
        <v>259</v>
      </c>
      <c r="C90" s="186">
        <v>7</v>
      </c>
    </row>
    <row r="91" spans="2:3" x14ac:dyDescent="0.5">
      <c r="B91" s="160" t="s">
        <v>260</v>
      </c>
      <c r="C91" s="186">
        <v>2</v>
      </c>
    </row>
    <row r="92" spans="2:3" x14ac:dyDescent="0.5">
      <c r="B92" s="160" t="s">
        <v>261</v>
      </c>
      <c r="C92" s="186">
        <v>1</v>
      </c>
    </row>
    <row r="93" spans="2:3" x14ac:dyDescent="0.5">
      <c r="B93" s="160" t="s">
        <v>262</v>
      </c>
      <c r="C93" s="186">
        <v>0</v>
      </c>
    </row>
    <row r="94" spans="2:3" x14ac:dyDescent="0.5">
      <c r="B94" s="160" t="s">
        <v>263</v>
      </c>
      <c r="C94" s="186">
        <v>12</v>
      </c>
    </row>
    <row r="95" spans="2:3" ht="14.7" thickBot="1" x14ac:dyDescent="0.55000000000000004">
      <c r="B95" s="167" t="s">
        <v>264</v>
      </c>
      <c r="C95" s="187">
        <v>12</v>
      </c>
    </row>
    <row r="98" spans="2:6" x14ac:dyDescent="0.5">
      <c r="B98" t="s">
        <v>265</v>
      </c>
    </row>
    <row r="99" spans="2:6" ht="14.7" thickBot="1" x14ac:dyDescent="0.55000000000000004"/>
    <row r="100" spans="2:6" x14ac:dyDescent="0.5">
      <c r="B100" s="161"/>
      <c r="C100" s="162" t="s">
        <v>266</v>
      </c>
      <c r="D100" s="162" t="s">
        <v>267</v>
      </c>
      <c r="E100" s="162" t="s">
        <v>268</v>
      </c>
      <c r="F100" s="162" t="s">
        <v>269</v>
      </c>
    </row>
    <row r="101" spans="2:6" x14ac:dyDescent="0.5">
      <c r="B101" s="163" t="s">
        <v>270</v>
      </c>
      <c r="C101" s="168">
        <v>328.12068091742236</v>
      </c>
      <c r="D101" s="168">
        <v>44.243763980884488</v>
      </c>
      <c r="E101" s="168">
        <v>7.4162017738632464</v>
      </c>
      <c r="F101" s="188" t="s">
        <v>272</v>
      </c>
    </row>
    <row r="102" spans="2:6" ht="14.7" thickBot="1" x14ac:dyDescent="0.55000000000000004">
      <c r="B102" s="167" t="s">
        <v>271</v>
      </c>
      <c r="C102" s="170">
        <v>57.354218069229518</v>
      </c>
      <c r="D102" s="170">
        <v>38.056731020070394</v>
      </c>
      <c r="E102" s="170">
        <v>1.5070715884394275</v>
      </c>
      <c r="F102" s="170">
        <v>0.13179230840931672</v>
      </c>
    </row>
    <row r="105" spans="2:6" x14ac:dyDescent="0.5">
      <c r="B105" t="s">
        <v>273</v>
      </c>
    </row>
    <row r="106" spans="2:6" ht="14.7" thickBot="1" x14ac:dyDescent="0.55000000000000004"/>
    <row r="107" spans="2:6" x14ac:dyDescent="0.5">
      <c r="B107" s="162" t="s">
        <v>274</v>
      </c>
      <c r="C107" s="162" t="s">
        <v>275</v>
      </c>
      <c r="D107" s="162" t="s">
        <v>276</v>
      </c>
    </row>
    <row r="108" spans="2:6" ht="14.7" thickBot="1" x14ac:dyDescent="0.55000000000000004">
      <c r="B108" s="165">
        <v>1</v>
      </c>
      <c r="C108" s="166">
        <v>8.0252275045852457</v>
      </c>
      <c r="D108" s="166">
        <v>4.6130231007968942E-3</v>
      </c>
    </row>
    <row r="111" spans="2:6" x14ac:dyDescent="0.5">
      <c r="B111" t="s">
        <v>277</v>
      </c>
    </row>
    <row r="112" spans="2:6" ht="14.7" thickBot="1" x14ac:dyDescent="0.55000000000000004"/>
    <row r="113" spans="2:8" x14ac:dyDescent="0.5">
      <c r="B113" s="161" t="s">
        <v>278</v>
      </c>
      <c r="C113" s="162" t="s">
        <v>279</v>
      </c>
      <c r="D113" s="162" t="s">
        <v>280</v>
      </c>
      <c r="E113" s="162" t="s">
        <v>62</v>
      </c>
      <c r="F113" s="162" t="s">
        <v>281</v>
      </c>
    </row>
    <row r="114" spans="2:8" ht="14.7" thickBot="1" x14ac:dyDescent="0.55000000000000004">
      <c r="B114" s="164" t="s">
        <v>782</v>
      </c>
      <c r="C114" s="165">
        <v>23</v>
      </c>
      <c r="D114" s="165">
        <v>120</v>
      </c>
      <c r="E114" s="166">
        <v>3.5922591802336576</v>
      </c>
      <c r="F114" s="189" t="s">
        <v>272</v>
      </c>
    </row>
    <row r="117" spans="2:8" x14ac:dyDescent="0.5">
      <c r="B117" t="s">
        <v>283</v>
      </c>
    </row>
    <row r="118" spans="2:8" ht="14.7" thickBot="1" x14ac:dyDescent="0.55000000000000004"/>
    <row r="119" spans="2:8" x14ac:dyDescent="0.5">
      <c r="B119" s="161" t="s">
        <v>284</v>
      </c>
      <c r="C119" s="162" t="s">
        <v>285</v>
      </c>
      <c r="D119" s="162" t="s">
        <v>267</v>
      </c>
      <c r="E119" s="162" t="s">
        <v>286</v>
      </c>
      <c r="F119" s="162" t="s">
        <v>287</v>
      </c>
      <c r="G119" s="162" t="s">
        <v>288</v>
      </c>
      <c r="H119" s="162" t="s">
        <v>289</v>
      </c>
    </row>
    <row r="120" spans="2:8" x14ac:dyDescent="0.5">
      <c r="B120" s="163" t="s">
        <v>290</v>
      </c>
      <c r="C120" s="168">
        <v>43.58400000000006</v>
      </c>
      <c r="D120" s="168">
        <v>8.0153488069937069</v>
      </c>
      <c r="E120" s="168">
        <v>5.4375674782825802</v>
      </c>
      <c r="F120" s="188" t="s">
        <v>272</v>
      </c>
      <c r="G120" s="168">
        <v>27.741061404162586</v>
      </c>
      <c r="H120" s="168">
        <v>59.426938595837534</v>
      </c>
    </row>
    <row r="121" spans="2:8" x14ac:dyDescent="0.5">
      <c r="B121" s="160" t="s">
        <v>786</v>
      </c>
      <c r="C121" s="169">
        <v>0</v>
      </c>
      <c r="D121" s="169"/>
      <c r="E121" s="169"/>
      <c r="F121" s="169"/>
      <c r="G121" s="169"/>
      <c r="H121" s="169"/>
    </row>
    <row r="122" spans="2:8" x14ac:dyDescent="0.5">
      <c r="B122" s="160" t="s">
        <v>787</v>
      </c>
      <c r="C122" s="169">
        <v>-15.71400000000005</v>
      </c>
      <c r="D122" s="169">
        <v>10.45818150090194</v>
      </c>
      <c r="E122" s="169">
        <v>-1.5025556784078413</v>
      </c>
      <c r="F122" s="169">
        <v>0.13514347843281027</v>
      </c>
      <c r="G122" s="169">
        <v>-36.385380788611926</v>
      </c>
      <c r="H122" s="169">
        <v>4.9573807886118235</v>
      </c>
    </row>
    <row r="123" spans="2:8" x14ac:dyDescent="0.5">
      <c r="B123" s="160" t="s">
        <v>788</v>
      </c>
      <c r="C123" s="169">
        <v>-37.824000000000055</v>
      </c>
      <c r="D123" s="169">
        <v>10.45818150090194</v>
      </c>
      <c r="E123" s="169">
        <v>-3.6166899567327282</v>
      </c>
      <c r="F123" s="169">
        <v>4.1200096552190048E-4</v>
      </c>
      <c r="G123" s="169">
        <v>-58.495380788611925</v>
      </c>
      <c r="H123" s="169">
        <v>-17.152619211388181</v>
      </c>
    </row>
    <row r="124" spans="2:8" x14ac:dyDescent="0.5">
      <c r="B124" s="160" t="s">
        <v>789</v>
      </c>
      <c r="C124" s="169">
        <v>-10.104000000000051</v>
      </c>
      <c r="D124" s="169">
        <v>10.45818150090194</v>
      </c>
      <c r="E124" s="169">
        <v>-0.96613354808660146</v>
      </c>
      <c r="F124" s="169">
        <v>0.33559713009077818</v>
      </c>
      <c r="G124" s="169">
        <v>-30.775380788611926</v>
      </c>
      <c r="H124" s="169">
        <v>10.567380788611823</v>
      </c>
    </row>
    <row r="125" spans="2:8" x14ac:dyDescent="0.5">
      <c r="B125" s="160" t="s">
        <v>790</v>
      </c>
      <c r="C125" s="169">
        <v>-0.71400000000005548</v>
      </c>
      <c r="D125" s="169">
        <v>10.458181500901942</v>
      </c>
      <c r="E125" s="169">
        <v>-6.827190749543581E-2</v>
      </c>
      <c r="F125" s="169">
        <v>0.94566389424253539</v>
      </c>
      <c r="G125" s="169">
        <v>-21.385380788611933</v>
      </c>
      <c r="H125" s="169">
        <v>19.957380788611822</v>
      </c>
    </row>
    <row r="126" spans="2:8" x14ac:dyDescent="0.5">
      <c r="B126" s="160" t="s">
        <v>791</v>
      </c>
      <c r="C126" s="169">
        <v>2.7359999999999451</v>
      </c>
      <c r="D126" s="169">
        <v>10.45818150090194</v>
      </c>
      <c r="E126" s="169">
        <v>0.26161335981441758</v>
      </c>
      <c r="F126" s="169">
        <v>0.79399336622593186</v>
      </c>
      <c r="G126" s="169">
        <v>-17.93538078861193</v>
      </c>
      <c r="H126" s="169">
        <v>23.407380788611817</v>
      </c>
    </row>
    <row r="127" spans="2:8" x14ac:dyDescent="0.5">
      <c r="B127" s="160" t="s">
        <v>792</v>
      </c>
      <c r="C127" s="169">
        <v>-4.0200000000000502</v>
      </c>
      <c r="D127" s="169">
        <v>10.45818150090194</v>
      </c>
      <c r="E127" s="169">
        <v>-0.38438805060452957</v>
      </c>
      <c r="F127" s="169">
        <v>0.7012579089602986</v>
      </c>
      <c r="G127" s="169">
        <v>-24.691380788611923</v>
      </c>
      <c r="H127" s="169">
        <v>16.651380788611824</v>
      </c>
    </row>
    <row r="128" spans="2:8" x14ac:dyDescent="0.5">
      <c r="B128" s="160" t="s">
        <v>793</v>
      </c>
      <c r="C128" s="169">
        <v>-4.3440000000000483</v>
      </c>
      <c r="D128" s="169">
        <v>10.45818150090194</v>
      </c>
      <c r="E128" s="169">
        <v>-0.41536858005623739</v>
      </c>
      <c r="F128" s="169">
        <v>0.67849036698003728</v>
      </c>
      <c r="G128" s="169">
        <v>-25.015380788611921</v>
      </c>
      <c r="H128" s="169">
        <v>16.327380788611826</v>
      </c>
    </row>
    <row r="129" spans="2:8" x14ac:dyDescent="0.5">
      <c r="B129" s="160" t="s">
        <v>794</v>
      </c>
      <c r="C129" s="169">
        <v>-20.364000000000054</v>
      </c>
      <c r="D129" s="169">
        <v>10.45818150090194</v>
      </c>
      <c r="E129" s="169">
        <v>-1.9471836473906874</v>
      </c>
      <c r="F129" s="169">
        <v>5.3458625351460259E-2</v>
      </c>
      <c r="G129" s="169">
        <v>-41.035380788611931</v>
      </c>
      <c r="H129" s="169">
        <v>0.30738078861181961</v>
      </c>
    </row>
    <row r="130" spans="2:8" x14ac:dyDescent="0.5">
      <c r="B130" s="160" t="s">
        <v>795</v>
      </c>
      <c r="C130" s="169">
        <v>-14.292000000000051</v>
      </c>
      <c r="D130" s="169">
        <v>10.458181500901938</v>
      </c>
      <c r="E130" s="169">
        <v>-1.3665855769253454</v>
      </c>
      <c r="F130" s="169">
        <v>0.17388521943447002</v>
      </c>
      <c r="G130" s="169">
        <v>-34.963380788611921</v>
      </c>
      <c r="H130" s="169">
        <v>6.3793807886118188</v>
      </c>
    </row>
    <row r="131" spans="2:8" x14ac:dyDescent="0.5">
      <c r="B131" s="160" t="s">
        <v>796</v>
      </c>
      <c r="C131" s="169">
        <v>-33.61860000000005</v>
      </c>
      <c r="D131" s="169">
        <v>10.45818150090194</v>
      </c>
      <c r="E131" s="169">
        <v>-3.2145741587197256</v>
      </c>
      <c r="F131" s="169">
        <v>1.6127252713043615E-3</v>
      </c>
      <c r="G131" s="169">
        <v>-54.289980788611928</v>
      </c>
      <c r="H131" s="169">
        <v>-12.947219211388177</v>
      </c>
    </row>
    <row r="132" spans="2:8" x14ac:dyDescent="0.5">
      <c r="B132" s="160" t="s">
        <v>797</v>
      </c>
      <c r="C132" s="169">
        <v>-45.741600000000055</v>
      </c>
      <c r="D132" s="169">
        <v>10.45818150090194</v>
      </c>
      <c r="E132" s="169">
        <v>-4.3737623023711327</v>
      </c>
      <c r="F132" s="190" t="s">
        <v>272</v>
      </c>
      <c r="G132" s="169">
        <v>-66.412980788611932</v>
      </c>
      <c r="H132" s="169">
        <v>-25.070219211388181</v>
      </c>
    </row>
    <row r="133" spans="2:8" x14ac:dyDescent="0.5">
      <c r="B133" s="160" t="s">
        <v>801</v>
      </c>
      <c r="C133" s="169">
        <v>-17.256000000000064</v>
      </c>
      <c r="D133" s="169">
        <v>11.335414990001505</v>
      </c>
      <c r="E133" s="169">
        <v>-1.5223086243618658</v>
      </c>
      <c r="F133" s="169">
        <v>0.13012473539430019</v>
      </c>
      <c r="G133" s="169">
        <v>-39.661298630077567</v>
      </c>
      <c r="H133" s="169">
        <v>5.149298630077439</v>
      </c>
    </row>
    <row r="134" spans="2:8" x14ac:dyDescent="0.5">
      <c r="B134" s="160" t="s">
        <v>802</v>
      </c>
      <c r="C134" s="169">
        <v>-24.684000000000069</v>
      </c>
      <c r="D134" s="169">
        <v>11.335414990001503</v>
      </c>
      <c r="E134" s="169">
        <v>-2.177600028033627</v>
      </c>
      <c r="F134" s="169">
        <v>3.1064215116200347E-2</v>
      </c>
      <c r="G134" s="169">
        <v>-47.089298630077565</v>
      </c>
      <c r="H134" s="169">
        <v>-2.2787013699225689</v>
      </c>
    </row>
    <row r="135" spans="2:8" x14ac:dyDescent="0.5">
      <c r="B135" s="160" t="s">
        <v>803</v>
      </c>
      <c r="C135" s="169">
        <v>-36.832800000000063</v>
      </c>
      <c r="D135" s="169">
        <v>11.335414990001503</v>
      </c>
      <c r="E135" s="169">
        <v>-3.2493561137804607</v>
      </c>
      <c r="F135" s="169">
        <v>1.4398319877652927E-3</v>
      </c>
      <c r="G135" s="169">
        <v>-59.238098630077559</v>
      </c>
      <c r="H135" s="169">
        <v>-14.427501369922563</v>
      </c>
    </row>
    <row r="136" spans="2:8" x14ac:dyDescent="0.5">
      <c r="B136" s="160" t="s">
        <v>804</v>
      </c>
      <c r="C136" s="169">
        <v>-0.78000000000007019</v>
      </c>
      <c r="D136" s="169">
        <v>11.335414990001507</v>
      </c>
      <c r="E136" s="169">
        <v>-6.8810890530966479E-2</v>
      </c>
      <c r="F136" s="169">
        <v>0.94523560815579877</v>
      </c>
      <c r="G136" s="169">
        <v>-23.185298630077575</v>
      </c>
      <c r="H136" s="169">
        <v>21.625298630077438</v>
      </c>
    </row>
    <row r="137" spans="2:8" x14ac:dyDescent="0.5">
      <c r="B137" s="160" t="s">
        <v>805</v>
      </c>
      <c r="C137" s="169">
        <v>-23.759400000000081</v>
      </c>
      <c r="D137" s="169">
        <v>11.335414990001507</v>
      </c>
      <c r="E137" s="169">
        <v>-2.0960326570273122</v>
      </c>
      <c r="F137" s="169">
        <v>3.7828797983436878E-2</v>
      </c>
      <c r="G137" s="169">
        <v>-46.164698630077588</v>
      </c>
      <c r="H137" s="169">
        <v>-1.3541013699225743</v>
      </c>
    </row>
    <row r="138" spans="2:8" x14ac:dyDescent="0.5">
      <c r="B138" s="160" t="s">
        <v>806</v>
      </c>
      <c r="C138" s="169">
        <v>-33.444000000000067</v>
      </c>
      <c r="D138" s="169">
        <v>11.335414990001503</v>
      </c>
      <c r="E138" s="169">
        <v>-2.9503992601505655</v>
      </c>
      <c r="F138" s="169">
        <v>3.7055648179508071E-3</v>
      </c>
      <c r="G138" s="169">
        <v>-55.84929863007757</v>
      </c>
      <c r="H138" s="169">
        <v>-11.038701369922567</v>
      </c>
    </row>
    <row r="139" spans="2:8" x14ac:dyDescent="0.5">
      <c r="B139" s="160" t="s">
        <v>807</v>
      </c>
      <c r="C139" s="169">
        <v>-11.82000000000007</v>
      </c>
      <c r="D139" s="169">
        <v>11.335414990001503</v>
      </c>
      <c r="E139" s="169">
        <v>-1.0427496488153278</v>
      </c>
      <c r="F139" s="169">
        <v>0.29881169828796644</v>
      </c>
      <c r="G139" s="169">
        <v>-34.225298630077567</v>
      </c>
      <c r="H139" s="169">
        <v>10.58529863007743</v>
      </c>
    </row>
    <row r="140" spans="2:8" x14ac:dyDescent="0.5">
      <c r="B140" s="160" t="s">
        <v>808</v>
      </c>
      <c r="C140" s="169">
        <v>-20.454000000000068</v>
      </c>
      <c r="D140" s="169">
        <v>11.335414990001503</v>
      </c>
      <c r="E140" s="169">
        <v>-1.8044332755388037</v>
      </c>
      <c r="F140" s="169">
        <v>7.3253237890366529E-2</v>
      </c>
      <c r="G140" s="169">
        <v>-42.859298630077568</v>
      </c>
      <c r="H140" s="169">
        <v>1.9512986300774315</v>
      </c>
    </row>
    <row r="141" spans="2:8" x14ac:dyDescent="0.5">
      <c r="B141" s="160" t="s">
        <v>809</v>
      </c>
      <c r="C141" s="169">
        <v>-27.564000000000075</v>
      </c>
      <c r="D141" s="169">
        <v>11.335414990001505</v>
      </c>
      <c r="E141" s="169">
        <v>-2.4316710084556346</v>
      </c>
      <c r="F141" s="169">
        <v>1.6257316064259085E-2</v>
      </c>
      <c r="G141" s="169">
        <v>-49.969298630077574</v>
      </c>
      <c r="H141" s="169">
        <v>-5.1587013699225714</v>
      </c>
    </row>
    <row r="142" spans="2:8" x14ac:dyDescent="0.5">
      <c r="B142" s="160" t="s">
        <v>810</v>
      </c>
      <c r="C142" s="169">
        <v>-19.068000000000069</v>
      </c>
      <c r="D142" s="169">
        <v>11.335414990001503</v>
      </c>
      <c r="E142" s="169">
        <v>-1.6821616162107127</v>
      </c>
      <c r="F142" s="169">
        <v>9.4704760318969808E-2</v>
      </c>
      <c r="G142" s="169">
        <v>-41.473298630077565</v>
      </c>
      <c r="H142" s="169">
        <v>3.3372986300774308</v>
      </c>
    </row>
    <row r="143" spans="2:8" x14ac:dyDescent="0.5">
      <c r="B143" s="160" t="s">
        <v>811</v>
      </c>
      <c r="C143" s="169">
        <v>-33.384000000000071</v>
      </c>
      <c r="D143" s="169">
        <v>11.335414990001507</v>
      </c>
      <c r="E143" s="169">
        <v>-2.9451061147251067</v>
      </c>
      <c r="F143" s="169">
        <v>3.7658306964097762E-3</v>
      </c>
      <c r="G143" s="169">
        <v>-55.789298630077582</v>
      </c>
      <c r="H143" s="169">
        <v>-10.978701369922565</v>
      </c>
    </row>
    <row r="144" spans="2:8" ht="14.7" thickBot="1" x14ac:dyDescent="0.55000000000000004">
      <c r="B144" s="167" t="s">
        <v>812</v>
      </c>
      <c r="C144" s="170">
        <v>-43.824000000000076</v>
      </c>
      <c r="D144" s="170">
        <v>11.335414990001505</v>
      </c>
      <c r="E144" s="170">
        <v>-3.866113418754884</v>
      </c>
      <c r="F144" s="170">
        <v>1.6683083257199396E-4</v>
      </c>
      <c r="G144" s="170">
        <v>-66.229298630077579</v>
      </c>
      <c r="H144" s="170">
        <v>-21.418701369922573</v>
      </c>
    </row>
    <row r="147" spans="2:7" x14ac:dyDescent="0.5">
      <c r="B147" t="s">
        <v>813</v>
      </c>
    </row>
    <row r="148" spans="2:7" ht="14.7" thickBot="1" x14ac:dyDescent="0.55000000000000004"/>
    <row r="149" spans="2:7" x14ac:dyDescent="0.5">
      <c r="B149" s="161" t="s">
        <v>302</v>
      </c>
      <c r="C149" s="162" t="s">
        <v>303</v>
      </c>
      <c r="D149" s="162" t="s">
        <v>304</v>
      </c>
      <c r="E149" s="162" t="s">
        <v>286</v>
      </c>
      <c r="F149" s="162" t="s">
        <v>287</v>
      </c>
      <c r="G149" s="162" t="s">
        <v>305</v>
      </c>
    </row>
    <row r="150" spans="2:7" x14ac:dyDescent="0.5">
      <c r="B150" s="163" t="s">
        <v>1265</v>
      </c>
      <c r="C150" s="188">
        <v>48.477600000000002</v>
      </c>
      <c r="D150" s="188">
        <v>10.45818150090194</v>
      </c>
      <c r="E150" s="188">
        <v>4.6353756621855506</v>
      </c>
      <c r="F150" s="188" t="s">
        <v>272</v>
      </c>
      <c r="G150" s="192" t="s">
        <v>351</v>
      </c>
    </row>
    <row r="151" spans="2:7" x14ac:dyDescent="0.5">
      <c r="B151" s="160" t="s">
        <v>1266</v>
      </c>
      <c r="C151" s="190">
        <v>46.560000000000024</v>
      </c>
      <c r="D151" s="190">
        <v>10.45818150090194</v>
      </c>
      <c r="E151" s="190">
        <v>4.4520168249121106</v>
      </c>
      <c r="F151" s="190" t="s">
        <v>272</v>
      </c>
      <c r="G151" s="193" t="s">
        <v>351</v>
      </c>
    </row>
    <row r="152" spans="2:7" x14ac:dyDescent="0.5">
      <c r="B152" s="160" t="s">
        <v>1267</v>
      </c>
      <c r="C152" s="190">
        <v>40.56</v>
      </c>
      <c r="D152" s="190">
        <v>10.45818150090194</v>
      </c>
      <c r="E152" s="190">
        <v>3.8783033165471461</v>
      </c>
      <c r="F152" s="190">
        <v>1.7221639687471884E-4</v>
      </c>
      <c r="G152" s="193" t="s">
        <v>351</v>
      </c>
    </row>
    <row r="153" spans="2:7" x14ac:dyDescent="0.5">
      <c r="B153" s="160" t="s">
        <v>1268</v>
      </c>
      <c r="C153" s="190">
        <v>39.56880000000001</v>
      </c>
      <c r="D153" s="190">
        <v>10.45818150090194</v>
      </c>
      <c r="E153" s="190">
        <v>3.7835258449652547</v>
      </c>
      <c r="F153" s="190">
        <v>2.426817618590982E-4</v>
      </c>
      <c r="G153" s="193" t="s">
        <v>351</v>
      </c>
    </row>
    <row r="154" spans="2:7" x14ac:dyDescent="0.5">
      <c r="B154" s="160" t="s">
        <v>1269</v>
      </c>
      <c r="C154" s="190">
        <v>36.354599999999998</v>
      </c>
      <c r="D154" s="190">
        <v>10.45818150090194</v>
      </c>
      <c r="E154" s="190">
        <v>3.4761875185341435</v>
      </c>
      <c r="F154" s="190">
        <v>7.0882500400710124E-4</v>
      </c>
      <c r="G154" s="193" t="s">
        <v>351</v>
      </c>
    </row>
    <row r="155" spans="2:7" x14ac:dyDescent="0.5">
      <c r="B155" s="160" t="s">
        <v>1270</v>
      </c>
      <c r="C155" s="190">
        <v>36.180000000000014</v>
      </c>
      <c r="D155" s="190">
        <v>10.45818150090194</v>
      </c>
      <c r="E155" s="190">
        <v>3.4594924554407243</v>
      </c>
      <c r="F155" s="190">
        <v>7.4996415424796953E-4</v>
      </c>
      <c r="G155" s="199" t="s">
        <v>351</v>
      </c>
    </row>
    <row r="156" spans="2:7" x14ac:dyDescent="0.5">
      <c r="B156" s="160" t="s">
        <v>1271</v>
      </c>
      <c r="C156" s="190">
        <v>36.120000000000019</v>
      </c>
      <c r="D156" s="190">
        <v>10.45818150090194</v>
      </c>
      <c r="E156" s="190">
        <v>3.4537553203570752</v>
      </c>
      <c r="F156" s="190">
        <v>7.6461226628434398E-4</v>
      </c>
      <c r="G156" s="193" t="s">
        <v>351</v>
      </c>
    </row>
    <row r="157" spans="2:7" x14ac:dyDescent="0.5">
      <c r="B157" s="160" t="s">
        <v>1272</v>
      </c>
      <c r="C157" s="190">
        <v>30.300000000000018</v>
      </c>
      <c r="D157" s="190">
        <v>10.45818150090194</v>
      </c>
      <c r="E157" s="190">
        <v>2.8972532172430618</v>
      </c>
      <c r="F157" s="190">
        <v>4.4757523619337169E-3</v>
      </c>
      <c r="G157" s="193" t="s">
        <v>351</v>
      </c>
    </row>
    <row r="158" spans="2:7" x14ac:dyDescent="0.5">
      <c r="B158" s="160" t="s">
        <v>1273</v>
      </c>
      <c r="C158" s="190">
        <v>27.420000000000012</v>
      </c>
      <c r="D158" s="190">
        <v>10.45818150090194</v>
      </c>
      <c r="E158" s="190">
        <v>2.6218707332278792</v>
      </c>
      <c r="F158" s="190">
        <v>9.8774959153270676E-3</v>
      </c>
      <c r="G158" s="193" t="s">
        <v>351</v>
      </c>
    </row>
    <row r="159" spans="2:7" x14ac:dyDescent="0.5">
      <c r="B159" s="160" t="s">
        <v>1193</v>
      </c>
      <c r="C159" s="190">
        <v>26.495400000000025</v>
      </c>
      <c r="D159" s="190">
        <v>10.45818150090194</v>
      </c>
      <c r="E159" s="190">
        <v>2.5334614815888399</v>
      </c>
      <c r="F159" s="190">
        <v>1.2583261070531213E-2</v>
      </c>
      <c r="G159" s="193" t="s">
        <v>351</v>
      </c>
    </row>
    <row r="160" spans="2:7" x14ac:dyDescent="0.5">
      <c r="B160" s="160" t="s">
        <v>1274</v>
      </c>
      <c r="C160" s="190">
        <v>23.190000000000012</v>
      </c>
      <c r="D160" s="190">
        <v>10.45818150090194</v>
      </c>
      <c r="E160" s="190">
        <v>2.2174027098305809</v>
      </c>
      <c r="F160" s="190">
        <v>2.8478849636255459E-2</v>
      </c>
      <c r="G160" s="193" t="s">
        <v>351</v>
      </c>
    </row>
    <row r="161" spans="2:7" x14ac:dyDescent="0.5">
      <c r="B161" s="160" t="s">
        <v>1275</v>
      </c>
      <c r="C161" s="190">
        <v>23.099999999999998</v>
      </c>
      <c r="D161" s="190">
        <v>10.45818150090194</v>
      </c>
      <c r="E161" s="190">
        <v>2.2087970072051051</v>
      </c>
      <c r="F161" s="190">
        <v>2.9088000627254713E-2</v>
      </c>
      <c r="G161" s="193" t="s">
        <v>351</v>
      </c>
    </row>
    <row r="162" spans="2:7" x14ac:dyDescent="0.5">
      <c r="B162" s="160" t="s">
        <v>1276</v>
      </c>
      <c r="C162" s="190">
        <v>21.804000000000013</v>
      </c>
      <c r="D162" s="190">
        <v>10.45818150090194</v>
      </c>
      <c r="E162" s="190">
        <v>2.0848748893982747</v>
      </c>
      <c r="F162" s="190">
        <v>3.9201159559998158E-2</v>
      </c>
      <c r="G162" s="193" t="s">
        <v>351</v>
      </c>
    </row>
    <row r="163" spans="2:7" x14ac:dyDescent="0.5">
      <c r="B163" s="160" t="s">
        <v>1277</v>
      </c>
      <c r="C163" s="190">
        <v>19.992000000000008</v>
      </c>
      <c r="D163" s="190">
        <v>10.45818150090194</v>
      </c>
      <c r="E163" s="190">
        <v>1.9116134098720554</v>
      </c>
      <c r="F163" s="190">
        <v>5.8310436292927731E-2</v>
      </c>
      <c r="G163" s="193" t="s">
        <v>352</v>
      </c>
    </row>
    <row r="164" spans="2:7" x14ac:dyDescent="0.5">
      <c r="B164" s="160" t="s">
        <v>1278</v>
      </c>
      <c r="C164" s="190">
        <v>18.449999999999996</v>
      </c>
      <c r="D164" s="190">
        <v>10.45818150090194</v>
      </c>
      <c r="E164" s="190">
        <v>1.764169038222259</v>
      </c>
      <c r="F164" s="190">
        <v>8.0248157670831474E-2</v>
      </c>
      <c r="G164" s="193" t="s">
        <v>352</v>
      </c>
    </row>
    <row r="165" spans="2:7" x14ac:dyDescent="0.5">
      <c r="B165" s="160" t="s">
        <v>1279</v>
      </c>
      <c r="C165" s="190">
        <v>17.027999999999995</v>
      </c>
      <c r="D165" s="190">
        <v>10.45818150090194</v>
      </c>
      <c r="E165" s="190">
        <v>1.6281989367397627</v>
      </c>
      <c r="F165" s="190">
        <v>0.10610542777219213</v>
      </c>
      <c r="G165" s="193" t="s">
        <v>352</v>
      </c>
    </row>
    <row r="166" spans="2:7" x14ac:dyDescent="0.5">
      <c r="B166" s="160" t="s">
        <v>1280</v>
      </c>
      <c r="C166" s="190">
        <v>14.556000000000015</v>
      </c>
      <c r="D166" s="190">
        <v>10.45818150090194</v>
      </c>
      <c r="E166" s="190">
        <v>1.3918289712934002</v>
      </c>
      <c r="F166" s="190">
        <v>0.16654860456579482</v>
      </c>
      <c r="G166" s="193" t="s">
        <v>352</v>
      </c>
    </row>
    <row r="167" spans="2:7" x14ac:dyDescent="0.5">
      <c r="B167" s="160" t="s">
        <v>1186</v>
      </c>
      <c r="C167" s="190">
        <v>12.839999999999996</v>
      </c>
      <c r="D167" s="190">
        <v>10.45818150090194</v>
      </c>
      <c r="E167" s="190">
        <v>1.227746907901019</v>
      </c>
      <c r="F167" s="190">
        <v>0.22194486520044587</v>
      </c>
      <c r="G167" s="193" t="s">
        <v>352</v>
      </c>
    </row>
    <row r="168" spans="2:7" x14ac:dyDescent="0.5">
      <c r="B168" s="160" t="s">
        <v>1281</v>
      </c>
      <c r="C168" s="190">
        <v>7.079999999999993</v>
      </c>
      <c r="D168" s="190">
        <v>10.45818150090194</v>
      </c>
      <c r="E168" s="190">
        <v>0.67698193987065491</v>
      </c>
      <c r="F168" s="190">
        <v>0.49972037483692056</v>
      </c>
      <c r="G168" s="193" t="s">
        <v>352</v>
      </c>
    </row>
    <row r="169" spans="2:7" x14ac:dyDescent="0.5">
      <c r="B169" s="160" t="s">
        <v>1191</v>
      </c>
      <c r="C169" s="190">
        <v>6.7559999999999949</v>
      </c>
      <c r="D169" s="190">
        <v>10.45818150090194</v>
      </c>
      <c r="E169" s="190">
        <v>0.6460014104189471</v>
      </c>
      <c r="F169" s="190">
        <v>0.51951191239044192</v>
      </c>
      <c r="G169" s="193" t="s">
        <v>352</v>
      </c>
    </row>
    <row r="170" spans="2:7" x14ac:dyDescent="0.5">
      <c r="B170" s="160" t="s">
        <v>1187</v>
      </c>
      <c r="C170" s="190">
        <v>3.5160000000000151</v>
      </c>
      <c r="D170" s="190">
        <v>10.45818150090194</v>
      </c>
      <c r="E170" s="190">
        <v>0.33619611590186937</v>
      </c>
      <c r="F170" s="190">
        <v>0.73731013934687983</v>
      </c>
      <c r="G170" s="193" t="s">
        <v>352</v>
      </c>
    </row>
    <row r="171" spans="2:7" x14ac:dyDescent="0.5">
      <c r="B171" s="160" t="s">
        <v>1190</v>
      </c>
      <c r="C171" s="190">
        <v>3.4500000000000006</v>
      </c>
      <c r="D171" s="190">
        <v>10.45818150090194</v>
      </c>
      <c r="E171" s="190">
        <v>0.3298852673098534</v>
      </c>
      <c r="F171" s="190">
        <v>0.74206182596987391</v>
      </c>
      <c r="G171" s="193" t="s">
        <v>352</v>
      </c>
    </row>
    <row r="172" spans="2:7" x14ac:dyDescent="0.5">
      <c r="B172" s="160" t="s">
        <v>1192</v>
      </c>
      <c r="C172" s="190">
        <v>2.7359999999999451</v>
      </c>
      <c r="D172" s="190">
        <v>10.45818150090194</v>
      </c>
      <c r="E172" s="190">
        <v>0.26161335981441758</v>
      </c>
      <c r="F172" s="190">
        <v>0.79406804740834991</v>
      </c>
      <c r="G172" s="193" t="s">
        <v>352</v>
      </c>
    </row>
    <row r="173" spans="2:7" x14ac:dyDescent="0.5">
      <c r="B173" s="160" t="s">
        <v>1282</v>
      </c>
      <c r="C173" s="190">
        <v>45.741600000000055</v>
      </c>
      <c r="D173" s="190">
        <v>10.45818150090194</v>
      </c>
      <c r="E173" s="190">
        <v>4.3737623023711327</v>
      </c>
      <c r="F173" s="190" t="s">
        <v>272</v>
      </c>
      <c r="G173" s="193" t="s">
        <v>351</v>
      </c>
    </row>
    <row r="174" spans="2:7" x14ac:dyDescent="0.5">
      <c r="B174" s="160" t="s">
        <v>1283</v>
      </c>
      <c r="C174" s="190">
        <v>43.824000000000076</v>
      </c>
      <c r="D174" s="190">
        <v>10.45818150090194</v>
      </c>
      <c r="E174" s="190">
        <v>4.1904034650976927</v>
      </c>
      <c r="F174" s="190" t="s">
        <v>272</v>
      </c>
      <c r="G174" s="193" t="s">
        <v>351</v>
      </c>
    </row>
    <row r="175" spans="2:7" x14ac:dyDescent="0.5">
      <c r="B175" s="160" t="s">
        <v>1284</v>
      </c>
      <c r="C175" s="190">
        <v>37.824000000000055</v>
      </c>
      <c r="D175" s="190">
        <v>10.45818150090194</v>
      </c>
      <c r="E175" s="190">
        <v>3.6166899567327282</v>
      </c>
      <c r="F175" s="190">
        <v>4.3762852336279605E-4</v>
      </c>
      <c r="G175" s="193" t="s">
        <v>351</v>
      </c>
    </row>
    <row r="176" spans="2:7" x14ac:dyDescent="0.5">
      <c r="B176" s="160" t="s">
        <v>1285</v>
      </c>
      <c r="C176" s="190">
        <v>36.832800000000063</v>
      </c>
      <c r="D176" s="190">
        <v>10.45818150090194</v>
      </c>
      <c r="E176" s="190">
        <v>3.5219124851508372</v>
      </c>
      <c r="F176" s="190">
        <v>6.0675551682645148E-4</v>
      </c>
      <c r="G176" s="193" t="s">
        <v>351</v>
      </c>
    </row>
    <row r="177" spans="2:7" x14ac:dyDescent="0.5">
      <c r="B177" s="160" t="s">
        <v>1286</v>
      </c>
      <c r="C177" s="190">
        <v>33.61860000000005</v>
      </c>
      <c r="D177" s="190">
        <v>10.45818150090194</v>
      </c>
      <c r="E177" s="190">
        <v>3.2145741587197256</v>
      </c>
      <c r="F177" s="190">
        <v>1.6784644644714762E-3</v>
      </c>
      <c r="G177" s="193" t="s">
        <v>351</v>
      </c>
    </row>
    <row r="178" spans="2:7" x14ac:dyDescent="0.5">
      <c r="B178" s="160" t="s">
        <v>1287</v>
      </c>
      <c r="C178" s="190">
        <v>33.444000000000067</v>
      </c>
      <c r="D178" s="190">
        <v>10.45818150090194</v>
      </c>
      <c r="E178" s="190">
        <v>3.1978790956263068</v>
      </c>
      <c r="F178" s="190">
        <v>1.7705195957952446E-3</v>
      </c>
      <c r="G178" s="193" t="s">
        <v>351</v>
      </c>
    </row>
    <row r="179" spans="2:7" x14ac:dyDescent="0.5">
      <c r="B179" s="160" t="s">
        <v>1288</v>
      </c>
      <c r="C179" s="190">
        <v>33.384000000000071</v>
      </c>
      <c r="D179" s="190">
        <v>10.45818150090194</v>
      </c>
      <c r="E179" s="190">
        <v>3.1921419605426573</v>
      </c>
      <c r="F179" s="190">
        <v>1.8032237553166862E-3</v>
      </c>
      <c r="G179" s="193" t="s">
        <v>351</v>
      </c>
    </row>
    <row r="180" spans="2:7" x14ac:dyDescent="0.5">
      <c r="B180" s="160" t="s">
        <v>1289</v>
      </c>
      <c r="C180" s="190">
        <v>27.564000000000075</v>
      </c>
      <c r="D180" s="190">
        <v>10.45818150090194</v>
      </c>
      <c r="E180" s="190">
        <v>2.6356398574286444</v>
      </c>
      <c r="F180" s="190">
        <v>9.5069400529309411E-3</v>
      </c>
      <c r="G180" s="193" t="s">
        <v>351</v>
      </c>
    </row>
    <row r="181" spans="2:7" x14ac:dyDescent="0.5">
      <c r="B181" s="160" t="s">
        <v>1290</v>
      </c>
      <c r="C181" s="190">
        <v>24.684000000000069</v>
      </c>
      <c r="D181" s="190">
        <v>10.45818150090194</v>
      </c>
      <c r="E181" s="190">
        <v>2.3602573734134618</v>
      </c>
      <c r="F181" s="190">
        <v>1.9875251707293519E-2</v>
      </c>
      <c r="G181" s="193" t="s">
        <v>351</v>
      </c>
    </row>
    <row r="182" spans="2:7" x14ac:dyDescent="0.5">
      <c r="B182" s="160" t="s">
        <v>1291</v>
      </c>
      <c r="C182" s="190">
        <v>23.759400000000081</v>
      </c>
      <c r="D182" s="190">
        <v>10.45818150090194</v>
      </c>
      <c r="E182" s="190">
        <v>2.2718481217744224</v>
      </c>
      <c r="F182" s="190">
        <v>2.487677234270208E-2</v>
      </c>
      <c r="G182" s="193" t="s">
        <v>351</v>
      </c>
    </row>
    <row r="183" spans="2:7" x14ac:dyDescent="0.5">
      <c r="B183" s="160" t="s">
        <v>1292</v>
      </c>
      <c r="C183" s="190">
        <v>20.454000000000068</v>
      </c>
      <c r="D183" s="190">
        <v>10.45818150090194</v>
      </c>
      <c r="E183" s="190">
        <v>1.9557893500161632</v>
      </c>
      <c r="F183" s="190">
        <v>5.2813911645449373E-2</v>
      </c>
      <c r="G183" s="193" t="s">
        <v>352</v>
      </c>
    </row>
    <row r="184" spans="2:7" x14ac:dyDescent="0.5">
      <c r="B184" s="160" t="s">
        <v>1293</v>
      </c>
      <c r="C184" s="190">
        <v>20.364000000000054</v>
      </c>
      <c r="D184" s="190">
        <v>10.45818150090194</v>
      </c>
      <c r="E184" s="190">
        <v>1.9471836473906874</v>
      </c>
      <c r="F184" s="190">
        <v>5.3848887574597243E-2</v>
      </c>
      <c r="G184" s="193" t="s">
        <v>352</v>
      </c>
    </row>
    <row r="185" spans="2:7" x14ac:dyDescent="0.5">
      <c r="B185" s="160" t="s">
        <v>1294</v>
      </c>
      <c r="C185" s="190">
        <v>19.068000000000069</v>
      </c>
      <c r="D185" s="190">
        <v>10.45818150090194</v>
      </c>
      <c r="E185" s="190">
        <v>1.823261529583857</v>
      </c>
      <c r="F185" s="190">
        <v>7.0752858931111814E-2</v>
      </c>
      <c r="G185" s="193" t="s">
        <v>352</v>
      </c>
    </row>
    <row r="186" spans="2:7" x14ac:dyDescent="0.5">
      <c r="B186" s="160" t="s">
        <v>1295</v>
      </c>
      <c r="C186" s="190">
        <v>17.256000000000064</v>
      </c>
      <c r="D186" s="190">
        <v>10.45818150090194</v>
      </c>
      <c r="E186" s="190">
        <v>1.6500000500576379</v>
      </c>
      <c r="F186" s="190">
        <v>0.10155809028802973</v>
      </c>
      <c r="G186" s="199" t="s">
        <v>352</v>
      </c>
    </row>
    <row r="187" spans="2:7" x14ac:dyDescent="0.5">
      <c r="B187" s="160" t="s">
        <v>1296</v>
      </c>
      <c r="C187" s="190">
        <v>15.71400000000005</v>
      </c>
      <c r="D187" s="190">
        <v>10.45818150090194</v>
      </c>
      <c r="E187" s="190">
        <v>1.5025556784078413</v>
      </c>
      <c r="F187" s="190">
        <v>0.13558071010392114</v>
      </c>
      <c r="G187" s="193" t="s">
        <v>352</v>
      </c>
    </row>
    <row r="188" spans="2:7" x14ac:dyDescent="0.5">
      <c r="B188" s="160" t="s">
        <v>1297</v>
      </c>
      <c r="C188" s="190">
        <v>14.292000000000051</v>
      </c>
      <c r="D188" s="190">
        <v>10.45818150090194</v>
      </c>
      <c r="E188" s="190">
        <v>1.3665855769253452</v>
      </c>
      <c r="F188" s="190">
        <v>0.17431032204828514</v>
      </c>
      <c r="G188" s="193" t="s">
        <v>352</v>
      </c>
    </row>
    <row r="189" spans="2:7" x14ac:dyDescent="0.5">
      <c r="B189" s="160" t="s">
        <v>1298</v>
      </c>
      <c r="C189" s="190">
        <v>11.82000000000007</v>
      </c>
      <c r="D189" s="190">
        <v>10.45818150090194</v>
      </c>
      <c r="E189" s="190">
        <v>1.1302156114789825</v>
      </c>
      <c r="F189" s="190">
        <v>0.26063936387655173</v>
      </c>
      <c r="G189" s="193" t="s">
        <v>352</v>
      </c>
    </row>
    <row r="190" spans="2:7" x14ac:dyDescent="0.5">
      <c r="B190" s="160" t="s">
        <v>1207</v>
      </c>
      <c r="C190" s="190">
        <v>10.104000000000051</v>
      </c>
      <c r="D190" s="190">
        <v>10.45818150090194</v>
      </c>
      <c r="E190" s="190">
        <v>0.96613354808660146</v>
      </c>
      <c r="F190" s="190">
        <v>0.33592042221689394</v>
      </c>
      <c r="G190" s="193" t="s">
        <v>352</v>
      </c>
    </row>
    <row r="191" spans="2:7" x14ac:dyDescent="0.5">
      <c r="B191" s="160" t="s">
        <v>1299</v>
      </c>
      <c r="C191" s="190">
        <v>4.3440000000000483</v>
      </c>
      <c r="D191" s="190">
        <v>10.45818150090194</v>
      </c>
      <c r="E191" s="190">
        <v>0.41536858005623739</v>
      </c>
      <c r="F191" s="190">
        <v>0.67861386878331909</v>
      </c>
      <c r="G191" s="193" t="s">
        <v>352</v>
      </c>
    </row>
    <row r="192" spans="2:7" x14ac:dyDescent="0.5">
      <c r="B192" s="160" t="s">
        <v>1212</v>
      </c>
      <c r="C192" s="190">
        <v>4.0200000000000502</v>
      </c>
      <c r="D192" s="190">
        <v>10.45818150090194</v>
      </c>
      <c r="E192" s="190">
        <v>0.38438805060452957</v>
      </c>
      <c r="F192" s="190">
        <v>0.70137118428530676</v>
      </c>
      <c r="G192" s="193" t="s">
        <v>352</v>
      </c>
    </row>
    <row r="193" spans="2:7" x14ac:dyDescent="0.5">
      <c r="B193" s="160" t="s">
        <v>1208</v>
      </c>
      <c r="C193" s="190">
        <v>0.78000000000007019</v>
      </c>
      <c r="D193" s="190">
        <v>10.45818150090194</v>
      </c>
      <c r="E193" s="190">
        <v>7.4582756087451824E-2</v>
      </c>
      <c r="F193" s="190">
        <v>0.94067088250005026</v>
      </c>
      <c r="G193" s="193" t="s">
        <v>352</v>
      </c>
    </row>
    <row r="194" spans="2:7" x14ac:dyDescent="0.5">
      <c r="B194" s="160" t="s">
        <v>1211</v>
      </c>
      <c r="C194" s="190">
        <v>0.71400000000005548</v>
      </c>
      <c r="D194" s="190">
        <v>10.45818150090194</v>
      </c>
      <c r="E194" s="190">
        <v>6.8271907495435824E-2</v>
      </c>
      <c r="F194" s="190">
        <v>0.94568281560475254</v>
      </c>
      <c r="G194" s="193" t="s">
        <v>352</v>
      </c>
    </row>
    <row r="195" spans="2:7" x14ac:dyDescent="0.5">
      <c r="B195" s="160" t="s">
        <v>1300</v>
      </c>
      <c r="C195" s="190">
        <v>45.0276</v>
      </c>
      <c r="D195" s="190">
        <v>10.45818150090194</v>
      </c>
      <c r="E195" s="190">
        <v>4.3054903948756964</v>
      </c>
      <c r="F195" s="190" t="s">
        <v>272</v>
      </c>
      <c r="G195" s="193" t="s">
        <v>351</v>
      </c>
    </row>
    <row r="196" spans="2:7" x14ac:dyDescent="0.5">
      <c r="B196" s="160" t="s">
        <v>1301</v>
      </c>
      <c r="C196" s="190">
        <v>43.110000000000021</v>
      </c>
      <c r="D196" s="190">
        <v>10.45818150090194</v>
      </c>
      <c r="E196" s="190">
        <v>4.1221315576022564</v>
      </c>
      <c r="F196" s="190" t="s">
        <v>272</v>
      </c>
      <c r="G196" s="193" t="s">
        <v>351</v>
      </c>
    </row>
    <row r="197" spans="2:7" x14ac:dyDescent="0.5">
      <c r="B197" s="160" t="s">
        <v>1302</v>
      </c>
      <c r="C197" s="190">
        <v>37.11</v>
      </c>
      <c r="D197" s="190">
        <v>10.45818150090194</v>
      </c>
      <c r="E197" s="190">
        <v>3.5484180492372923</v>
      </c>
      <c r="F197" s="190">
        <v>5.5410325317791366E-4</v>
      </c>
      <c r="G197" s="193" t="s">
        <v>351</v>
      </c>
    </row>
    <row r="198" spans="2:7" x14ac:dyDescent="0.5">
      <c r="B198" s="160" t="s">
        <v>1303</v>
      </c>
      <c r="C198" s="190">
        <v>36.118800000000007</v>
      </c>
      <c r="D198" s="190">
        <v>10.45818150090194</v>
      </c>
      <c r="E198" s="190">
        <v>3.4536405776554013</v>
      </c>
      <c r="F198" s="190">
        <v>7.6490795357740356E-4</v>
      </c>
      <c r="G198" s="193" t="s">
        <v>351</v>
      </c>
    </row>
    <row r="199" spans="2:7" x14ac:dyDescent="0.5">
      <c r="B199" s="160" t="s">
        <v>1304</v>
      </c>
      <c r="C199" s="190">
        <v>32.904599999999995</v>
      </c>
      <c r="D199" s="190">
        <v>10.45818150090194</v>
      </c>
      <c r="E199" s="190">
        <v>3.1463022512242897</v>
      </c>
      <c r="F199" s="190">
        <v>2.0854420575080659E-3</v>
      </c>
      <c r="G199" s="193" t="s">
        <v>351</v>
      </c>
    </row>
    <row r="200" spans="2:7" x14ac:dyDescent="0.5">
      <c r="B200" s="160" t="s">
        <v>1305</v>
      </c>
      <c r="C200" s="190">
        <v>32.730000000000011</v>
      </c>
      <c r="D200" s="190">
        <v>10.45818150090194</v>
      </c>
      <c r="E200" s="190">
        <v>3.1296071881308709</v>
      </c>
      <c r="F200" s="190">
        <v>2.198043853097644E-3</v>
      </c>
      <c r="G200" s="193" t="s">
        <v>351</v>
      </c>
    </row>
    <row r="201" spans="2:7" x14ac:dyDescent="0.5">
      <c r="B201" s="160" t="s">
        <v>1306</v>
      </c>
      <c r="C201" s="190">
        <v>32.670000000000016</v>
      </c>
      <c r="D201" s="190">
        <v>10.45818150090194</v>
      </c>
      <c r="E201" s="190">
        <v>3.1238700530472219</v>
      </c>
      <c r="F201" s="190">
        <v>2.2380235972479013E-3</v>
      </c>
      <c r="G201" s="193" t="s">
        <v>351</v>
      </c>
    </row>
    <row r="202" spans="2:7" x14ac:dyDescent="0.5">
      <c r="B202" s="160" t="s">
        <v>1307</v>
      </c>
      <c r="C202" s="190">
        <v>26.850000000000019</v>
      </c>
      <c r="D202" s="190">
        <v>10.45818150090194</v>
      </c>
      <c r="E202" s="190">
        <v>2.5673679499332085</v>
      </c>
      <c r="F202" s="190">
        <v>1.1475480395871408E-2</v>
      </c>
      <c r="G202" s="193" t="s">
        <v>351</v>
      </c>
    </row>
    <row r="203" spans="2:7" x14ac:dyDescent="0.5">
      <c r="B203" s="160" t="s">
        <v>1308</v>
      </c>
      <c r="C203" s="190">
        <v>23.970000000000013</v>
      </c>
      <c r="D203" s="190">
        <v>10.45818150090194</v>
      </c>
      <c r="E203" s="190">
        <v>2.2919854659180259</v>
      </c>
      <c r="F203" s="190">
        <v>2.3649415394274023E-2</v>
      </c>
      <c r="G203" s="193" t="s">
        <v>351</v>
      </c>
    </row>
    <row r="204" spans="2:7" x14ac:dyDescent="0.5">
      <c r="B204" s="160" t="s">
        <v>1309</v>
      </c>
      <c r="C204" s="190">
        <v>23.045400000000026</v>
      </c>
      <c r="D204" s="190">
        <v>10.45818150090194</v>
      </c>
      <c r="E204" s="190">
        <v>2.2035762142789865</v>
      </c>
      <c r="F204" s="190">
        <v>2.9463059880505321E-2</v>
      </c>
      <c r="G204" s="199" t="s">
        <v>351</v>
      </c>
    </row>
    <row r="205" spans="2:7" x14ac:dyDescent="0.5">
      <c r="B205" s="160" t="s">
        <v>1310</v>
      </c>
      <c r="C205" s="190">
        <v>19.740000000000013</v>
      </c>
      <c r="D205" s="190">
        <v>10.45818150090194</v>
      </c>
      <c r="E205" s="190">
        <v>1.8875174425207275</v>
      </c>
      <c r="F205" s="190">
        <v>6.1506235473073177E-2</v>
      </c>
      <c r="G205" s="193" t="s">
        <v>352</v>
      </c>
    </row>
    <row r="206" spans="2:7" x14ac:dyDescent="0.5">
      <c r="B206" s="160" t="s">
        <v>1311</v>
      </c>
      <c r="C206" s="190">
        <v>19.649999999999999</v>
      </c>
      <c r="D206" s="190">
        <v>10.45818150090194</v>
      </c>
      <c r="E206" s="190">
        <v>1.8789117398952517</v>
      </c>
      <c r="F206" s="190">
        <v>6.2682618935982717E-2</v>
      </c>
      <c r="G206" s="193" t="s">
        <v>352</v>
      </c>
    </row>
    <row r="207" spans="2:7" x14ac:dyDescent="0.5">
      <c r="B207" s="160" t="s">
        <v>1312</v>
      </c>
      <c r="C207" s="190">
        <v>18.354000000000013</v>
      </c>
      <c r="D207" s="190">
        <v>10.45818150090194</v>
      </c>
      <c r="E207" s="190">
        <v>1.7549896220884211</v>
      </c>
      <c r="F207" s="190">
        <v>8.1813231996229308E-2</v>
      </c>
      <c r="G207" s="193" t="s">
        <v>352</v>
      </c>
    </row>
    <row r="208" spans="2:7" x14ac:dyDescent="0.5">
      <c r="B208" s="160" t="s">
        <v>1313</v>
      </c>
      <c r="C208" s="190">
        <v>16.542000000000009</v>
      </c>
      <c r="D208" s="190">
        <v>10.45818150090194</v>
      </c>
      <c r="E208" s="190">
        <v>1.5817281425622021</v>
      </c>
      <c r="F208" s="190">
        <v>0.11634383038559297</v>
      </c>
      <c r="G208" s="193" t="s">
        <v>352</v>
      </c>
    </row>
    <row r="209" spans="2:7" x14ac:dyDescent="0.5">
      <c r="B209" s="160" t="s">
        <v>1314</v>
      </c>
      <c r="C209" s="190">
        <v>14.999999999999995</v>
      </c>
      <c r="D209" s="190">
        <v>10.45818150090194</v>
      </c>
      <c r="E209" s="190">
        <v>1.4342837709124054</v>
      </c>
      <c r="F209" s="190">
        <v>0.1540921309636529</v>
      </c>
      <c r="G209" s="193" t="s">
        <v>352</v>
      </c>
    </row>
    <row r="210" spans="2:7" x14ac:dyDescent="0.5">
      <c r="B210" s="160" t="s">
        <v>1315</v>
      </c>
      <c r="C210" s="190">
        <v>13.577999999999996</v>
      </c>
      <c r="D210" s="190">
        <v>10.45818150090194</v>
      </c>
      <c r="E210" s="190">
        <v>1.2983136694299096</v>
      </c>
      <c r="F210" s="190">
        <v>0.19666923851618281</v>
      </c>
      <c r="G210" s="193" t="s">
        <v>352</v>
      </c>
    </row>
    <row r="211" spans="2:7" x14ac:dyDescent="0.5">
      <c r="B211" s="160" t="s">
        <v>1316</v>
      </c>
      <c r="C211" s="190">
        <v>11.106000000000014</v>
      </c>
      <c r="D211" s="190">
        <v>10.45818150090194</v>
      </c>
      <c r="E211" s="190">
        <v>1.0619437039835466</v>
      </c>
      <c r="F211" s="190">
        <v>0.29039376346526058</v>
      </c>
      <c r="G211" s="193" t="s">
        <v>352</v>
      </c>
    </row>
    <row r="212" spans="2:7" x14ac:dyDescent="0.5">
      <c r="B212" s="160" t="s">
        <v>1224</v>
      </c>
      <c r="C212" s="190">
        <v>9.3899999999999952</v>
      </c>
      <c r="D212" s="190">
        <v>10.45818150090194</v>
      </c>
      <c r="E212" s="190">
        <v>0.89786164059116569</v>
      </c>
      <c r="F212" s="190">
        <v>0.37105723881034064</v>
      </c>
      <c r="G212" s="193" t="s">
        <v>352</v>
      </c>
    </row>
    <row r="213" spans="2:7" x14ac:dyDescent="0.5">
      <c r="B213" s="160" t="s">
        <v>1317</v>
      </c>
      <c r="C213" s="190">
        <v>3.6299999999999928</v>
      </c>
      <c r="D213" s="190">
        <v>10.45818150090194</v>
      </c>
      <c r="E213" s="190">
        <v>0.34709667256080157</v>
      </c>
      <c r="F213" s="190">
        <v>0.72912667206513848</v>
      </c>
      <c r="G213" s="193" t="s">
        <v>352</v>
      </c>
    </row>
    <row r="214" spans="2:7" x14ac:dyDescent="0.5">
      <c r="B214" s="160" t="s">
        <v>1318</v>
      </c>
      <c r="C214" s="190">
        <v>3.3059999999999947</v>
      </c>
      <c r="D214" s="190">
        <v>10.45818150090194</v>
      </c>
      <c r="E214" s="190">
        <v>0.31611614310909375</v>
      </c>
      <c r="F214" s="190">
        <v>0.75246353743922156</v>
      </c>
      <c r="G214" s="193" t="s">
        <v>352</v>
      </c>
    </row>
    <row r="215" spans="2:7" x14ac:dyDescent="0.5">
      <c r="B215" s="160" t="s">
        <v>1225</v>
      </c>
      <c r="C215" s="190">
        <v>6.6000000000014714E-2</v>
      </c>
      <c r="D215" s="190">
        <v>10.45818150090194</v>
      </c>
      <c r="E215" s="190">
        <v>6.3108485920159926E-3</v>
      </c>
      <c r="F215" s="190">
        <v>0.99497518420204922</v>
      </c>
      <c r="G215" s="193" t="s">
        <v>352</v>
      </c>
    </row>
    <row r="216" spans="2:7" x14ac:dyDescent="0.5">
      <c r="B216" s="160" t="s">
        <v>1319</v>
      </c>
      <c r="C216" s="190">
        <v>44.961599999999983</v>
      </c>
      <c r="D216" s="190">
        <v>10.45818150090194</v>
      </c>
      <c r="E216" s="190">
        <v>4.2991795462836802</v>
      </c>
      <c r="F216" s="190" t="s">
        <v>272</v>
      </c>
      <c r="G216" s="193" t="s">
        <v>351</v>
      </c>
    </row>
    <row r="217" spans="2:7" x14ac:dyDescent="0.5">
      <c r="B217" s="160" t="s">
        <v>1320</v>
      </c>
      <c r="C217" s="190">
        <v>43.044000000000004</v>
      </c>
      <c r="D217" s="190">
        <v>10.45818150090194</v>
      </c>
      <c r="E217" s="190">
        <v>4.1158207090102401</v>
      </c>
      <c r="F217" s="190" t="s">
        <v>272</v>
      </c>
      <c r="G217" s="193" t="s">
        <v>351</v>
      </c>
    </row>
    <row r="218" spans="2:7" x14ac:dyDescent="0.5">
      <c r="B218" s="160" t="s">
        <v>1321</v>
      </c>
      <c r="C218" s="190">
        <v>37.043999999999983</v>
      </c>
      <c r="D218" s="190">
        <v>10.45818150090194</v>
      </c>
      <c r="E218" s="190">
        <v>3.5421072006452761</v>
      </c>
      <c r="F218" s="190">
        <v>5.6623373422598315E-4</v>
      </c>
      <c r="G218" s="193" t="s">
        <v>351</v>
      </c>
    </row>
    <row r="219" spans="2:7" x14ac:dyDescent="0.5">
      <c r="B219" s="160" t="s">
        <v>1322</v>
      </c>
      <c r="C219" s="190">
        <v>36.052799999999991</v>
      </c>
      <c r="D219" s="190">
        <v>10.45818150090194</v>
      </c>
      <c r="E219" s="190">
        <v>3.4473297290633851</v>
      </c>
      <c r="F219" s="190">
        <v>7.8133729356016132E-4</v>
      </c>
      <c r="G219" s="193" t="s">
        <v>351</v>
      </c>
    </row>
    <row r="220" spans="2:7" x14ac:dyDescent="0.5">
      <c r="B220" s="160" t="s">
        <v>1323</v>
      </c>
      <c r="C220" s="190">
        <v>32.838599999999978</v>
      </c>
      <c r="D220" s="190">
        <v>10.45818150090194</v>
      </c>
      <c r="E220" s="190">
        <v>3.1399914026322735</v>
      </c>
      <c r="F220" s="190">
        <v>2.127361274491361E-3</v>
      </c>
      <c r="G220" s="193" t="s">
        <v>351</v>
      </c>
    </row>
    <row r="221" spans="2:7" x14ac:dyDescent="0.5">
      <c r="B221" s="160" t="s">
        <v>1324</v>
      </c>
      <c r="C221" s="190">
        <v>32.663999999999994</v>
      </c>
      <c r="D221" s="190">
        <v>10.45818150090194</v>
      </c>
      <c r="E221" s="190">
        <v>3.1232963395388547</v>
      </c>
      <c r="F221" s="190">
        <v>2.2420584604094969E-3</v>
      </c>
      <c r="G221" s="193" t="s">
        <v>351</v>
      </c>
    </row>
    <row r="222" spans="2:7" x14ac:dyDescent="0.5">
      <c r="B222" s="160" t="s">
        <v>1325</v>
      </c>
      <c r="C222" s="190">
        <v>32.603999999999999</v>
      </c>
      <c r="D222" s="190">
        <v>10.45818150090194</v>
      </c>
      <c r="E222" s="190">
        <v>3.1175592044552056</v>
      </c>
      <c r="F222" s="190">
        <v>2.2827799124950352E-3</v>
      </c>
      <c r="G222" s="193" t="s">
        <v>351</v>
      </c>
    </row>
    <row r="223" spans="2:7" x14ac:dyDescent="0.5">
      <c r="B223" s="160" t="s">
        <v>1326</v>
      </c>
      <c r="C223" s="190">
        <v>26.784000000000006</v>
      </c>
      <c r="D223" s="190">
        <v>10.45818150090194</v>
      </c>
      <c r="E223" s="190">
        <v>2.5610571013411927</v>
      </c>
      <c r="F223" s="190">
        <v>1.1674778622890857E-2</v>
      </c>
      <c r="G223" s="193" t="s">
        <v>351</v>
      </c>
    </row>
    <row r="224" spans="2:7" x14ac:dyDescent="0.5">
      <c r="B224" s="160" t="s">
        <v>1327</v>
      </c>
      <c r="C224" s="190">
        <v>23.904</v>
      </c>
      <c r="D224" s="190">
        <v>10.45818150090194</v>
      </c>
      <c r="E224" s="190">
        <v>2.2856746173260101</v>
      </c>
      <c r="F224" s="190">
        <v>2.4028206682017807E-2</v>
      </c>
      <c r="G224" s="193" t="s">
        <v>351</v>
      </c>
    </row>
    <row r="225" spans="2:7" x14ac:dyDescent="0.5">
      <c r="B225" s="160" t="s">
        <v>1328</v>
      </c>
      <c r="C225" s="190">
        <v>22.979400000000012</v>
      </c>
      <c r="D225" s="190">
        <v>10.45818150090194</v>
      </c>
      <c r="E225" s="190">
        <v>2.1972653656869707</v>
      </c>
      <c r="F225" s="190">
        <v>2.9922045291862136E-2</v>
      </c>
      <c r="G225" s="193" t="s">
        <v>351</v>
      </c>
    </row>
    <row r="226" spans="2:7" x14ac:dyDescent="0.5">
      <c r="B226" s="160" t="s">
        <v>1329</v>
      </c>
      <c r="C226" s="190">
        <v>19.673999999999999</v>
      </c>
      <c r="D226" s="190">
        <v>10.45818150090194</v>
      </c>
      <c r="E226" s="190">
        <v>1.8812065939287115</v>
      </c>
      <c r="F226" s="190">
        <v>6.2367089345860542E-2</v>
      </c>
      <c r="G226" s="193" t="s">
        <v>352</v>
      </c>
    </row>
    <row r="227" spans="2:7" x14ac:dyDescent="0.5">
      <c r="B227" s="160" t="s">
        <v>1330</v>
      </c>
      <c r="C227" s="190">
        <v>19.583999999999985</v>
      </c>
      <c r="D227" s="190">
        <v>10.45818150090194</v>
      </c>
      <c r="E227" s="190">
        <v>1.8726008913032357</v>
      </c>
      <c r="F227" s="190">
        <v>6.3557223618244896E-2</v>
      </c>
      <c r="G227" s="193" t="s">
        <v>352</v>
      </c>
    </row>
    <row r="228" spans="2:7" x14ac:dyDescent="0.5">
      <c r="B228" s="160" t="s">
        <v>1331</v>
      </c>
      <c r="C228" s="190">
        <v>18.288</v>
      </c>
      <c r="D228" s="190">
        <v>10.45818150090194</v>
      </c>
      <c r="E228" s="190">
        <v>1.7486787734964053</v>
      </c>
      <c r="F228" s="190">
        <v>8.2903696893797479E-2</v>
      </c>
      <c r="G228" s="193" t="s">
        <v>352</v>
      </c>
    </row>
    <row r="229" spans="2:7" x14ac:dyDescent="0.5">
      <c r="B229" s="160" t="s">
        <v>1332</v>
      </c>
      <c r="C229" s="190">
        <v>16.475999999999996</v>
      </c>
      <c r="D229" s="190">
        <v>10.45818150090194</v>
      </c>
      <c r="E229" s="190">
        <v>1.5754172939701863</v>
      </c>
      <c r="F229" s="190">
        <v>0.1177929202118157</v>
      </c>
      <c r="G229" s="193" t="s">
        <v>352</v>
      </c>
    </row>
    <row r="230" spans="2:7" x14ac:dyDescent="0.5">
      <c r="B230" s="160" t="s">
        <v>1333</v>
      </c>
      <c r="C230" s="190">
        <v>14.93399999999998</v>
      </c>
      <c r="D230" s="190">
        <v>10.45818150090194</v>
      </c>
      <c r="E230" s="190">
        <v>1.4279729223203894</v>
      </c>
      <c r="F230" s="190">
        <v>0.15589704371506122</v>
      </c>
      <c r="G230" s="193" t="s">
        <v>352</v>
      </c>
    </row>
    <row r="231" spans="2:7" x14ac:dyDescent="0.5">
      <c r="B231" s="160" t="s">
        <v>1334</v>
      </c>
      <c r="C231" s="190">
        <v>13.511999999999981</v>
      </c>
      <c r="D231" s="190">
        <v>10.45818150090194</v>
      </c>
      <c r="E231" s="190">
        <v>1.2920028208378935</v>
      </c>
      <c r="F231" s="190">
        <v>0.1988388460269338</v>
      </c>
      <c r="G231" s="193" t="s">
        <v>352</v>
      </c>
    </row>
    <row r="232" spans="2:7" x14ac:dyDescent="0.5">
      <c r="B232" s="160" t="s">
        <v>1335</v>
      </c>
      <c r="C232" s="190">
        <v>11.04</v>
      </c>
      <c r="D232" s="190">
        <v>10.45818150090194</v>
      </c>
      <c r="E232" s="190">
        <v>1.0556328553915306</v>
      </c>
      <c r="F232" s="190">
        <v>0.29325665483919161</v>
      </c>
      <c r="G232" s="193" t="s">
        <v>352</v>
      </c>
    </row>
    <row r="233" spans="2:7" x14ac:dyDescent="0.5">
      <c r="B233" s="160" t="s">
        <v>1242</v>
      </c>
      <c r="C233" s="190">
        <v>9.3239999999999803</v>
      </c>
      <c r="D233" s="190">
        <v>10.45818150090194</v>
      </c>
      <c r="E233" s="190">
        <v>0.89155079199914966</v>
      </c>
      <c r="F233" s="190">
        <v>0.37441794231344161</v>
      </c>
      <c r="G233" s="193" t="s">
        <v>352</v>
      </c>
    </row>
    <row r="234" spans="2:7" x14ac:dyDescent="0.5">
      <c r="B234" s="160" t="s">
        <v>1336</v>
      </c>
      <c r="C234" s="190">
        <v>3.5639999999999779</v>
      </c>
      <c r="D234" s="190">
        <v>10.45818150090194</v>
      </c>
      <c r="E234" s="190">
        <v>0.34078582396878554</v>
      </c>
      <c r="F234" s="190">
        <v>0.73386072980697692</v>
      </c>
      <c r="G234" s="193" t="s">
        <v>352</v>
      </c>
    </row>
    <row r="235" spans="2:7" x14ac:dyDescent="0.5">
      <c r="B235" s="160" t="s">
        <v>1337</v>
      </c>
      <c r="C235" s="190">
        <v>3.2399999999999798</v>
      </c>
      <c r="D235" s="190">
        <v>10.45818150090194</v>
      </c>
      <c r="E235" s="190">
        <v>0.30980529451707778</v>
      </c>
      <c r="F235" s="190">
        <v>0.7572463741225457</v>
      </c>
      <c r="G235" s="193" t="s">
        <v>352</v>
      </c>
    </row>
    <row r="236" spans="2:7" x14ac:dyDescent="0.5">
      <c r="B236" s="160" t="s">
        <v>1338</v>
      </c>
      <c r="C236" s="190">
        <v>41.721600000000002</v>
      </c>
      <c r="D236" s="190">
        <v>10.45818150090194</v>
      </c>
      <c r="E236" s="190">
        <v>3.9893742517666024</v>
      </c>
      <c r="F236" s="190">
        <v>1.1437980609817535E-4</v>
      </c>
      <c r="G236" s="193" t="s">
        <v>351</v>
      </c>
    </row>
    <row r="237" spans="2:7" x14ac:dyDescent="0.5">
      <c r="B237" s="160" t="s">
        <v>1339</v>
      </c>
      <c r="C237" s="190">
        <v>39.804000000000023</v>
      </c>
      <c r="D237" s="190">
        <v>10.45818150090194</v>
      </c>
      <c r="E237" s="190">
        <v>3.8060154144931628</v>
      </c>
      <c r="F237" s="190">
        <v>2.2382917887302605E-4</v>
      </c>
      <c r="G237" s="193" t="s">
        <v>351</v>
      </c>
    </row>
    <row r="238" spans="2:7" x14ac:dyDescent="0.5">
      <c r="B238" s="160" t="s">
        <v>1340</v>
      </c>
      <c r="C238" s="190">
        <v>33.804000000000002</v>
      </c>
      <c r="D238" s="190">
        <v>10.45818150090194</v>
      </c>
      <c r="E238" s="190">
        <v>3.2323019061281983</v>
      </c>
      <c r="F238" s="190">
        <v>1.5856084509772289E-3</v>
      </c>
      <c r="G238" s="193" t="s">
        <v>351</v>
      </c>
    </row>
    <row r="239" spans="2:7" x14ac:dyDescent="0.5">
      <c r="B239" s="160" t="s">
        <v>1341</v>
      </c>
      <c r="C239" s="190">
        <v>32.81280000000001</v>
      </c>
      <c r="D239" s="190">
        <v>10.45818150090194</v>
      </c>
      <c r="E239" s="190">
        <v>3.1375244345463074</v>
      </c>
      <c r="F239" s="190">
        <v>2.1439595270643843E-3</v>
      </c>
      <c r="G239" s="193" t="s">
        <v>351</v>
      </c>
    </row>
    <row r="240" spans="2:7" x14ac:dyDescent="0.5">
      <c r="B240" s="160" t="s">
        <v>1342</v>
      </c>
      <c r="C240" s="190">
        <v>29.598600000000001</v>
      </c>
      <c r="D240" s="190">
        <v>10.45818150090194</v>
      </c>
      <c r="E240" s="190">
        <v>2.8301861081151962</v>
      </c>
      <c r="F240" s="190">
        <v>5.4555348293209259E-3</v>
      </c>
      <c r="G240" s="193" t="s">
        <v>351</v>
      </c>
    </row>
    <row r="241" spans="2:7" x14ac:dyDescent="0.5">
      <c r="B241" s="160" t="s">
        <v>1343</v>
      </c>
      <c r="C241" s="190">
        <v>29.424000000000017</v>
      </c>
      <c r="D241" s="190">
        <v>10.45818150090194</v>
      </c>
      <c r="E241" s="190">
        <v>2.8134910450217769</v>
      </c>
      <c r="F241" s="190">
        <v>5.72815632381288E-3</v>
      </c>
      <c r="G241" s="193" t="s">
        <v>351</v>
      </c>
    </row>
    <row r="242" spans="2:7" x14ac:dyDescent="0.5">
      <c r="B242" s="160" t="s">
        <v>1344</v>
      </c>
      <c r="C242" s="190">
        <v>29.364000000000022</v>
      </c>
      <c r="D242" s="190">
        <v>10.45818150090194</v>
      </c>
      <c r="E242" s="190">
        <v>2.8077539099381279</v>
      </c>
      <c r="F242" s="190">
        <v>5.824675580262062E-3</v>
      </c>
      <c r="G242" s="193" t="s">
        <v>351</v>
      </c>
    </row>
    <row r="243" spans="2:7" x14ac:dyDescent="0.5">
      <c r="B243" s="160" t="s">
        <v>1345</v>
      </c>
      <c r="C243" s="190">
        <v>23.544000000000025</v>
      </c>
      <c r="D243" s="190">
        <v>10.45818150090194</v>
      </c>
      <c r="E243" s="190">
        <v>2.251251806824115</v>
      </c>
      <c r="F243" s="190">
        <v>2.6189530941867382E-2</v>
      </c>
      <c r="G243" s="193" t="s">
        <v>351</v>
      </c>
    </row>
    <row r="244" spans="2:7" x14ac:dyDescent="0.5">
      <c r="B244" s="160" t="s">
        <v>1346</v>
      </c>
      <c r="C244" s="190">
        <v>20.664000000000019</v>
      </c>
      <c r="D244" s="190">
        <v>10.45818150090194</v>
      </c>
      <c r="E244" s="190">
        <v>1.9758693228089323</v>
      </c>
      <c r="F244" s="190">
        <v>5.046426504272386E-2</v>
      </c>
      <c r="G244" s="193" t="s">
        <v>352</v>
      </c>
    </row>
    <row r="245" spans="2:7" x14ac:dyDescent="0.5">
      <c r="B245" s="160" t="s">
        <v>1347</v>
      </c>
      <c r="C245" s="190">
        <v>19.739400000000032</v>
      </c>
      <c r="D245" s="190">
        <v>10.45818150090194</v>
      </c>
      <c r="E245" s="190">
        <v>1.8874600711698928</v>
      </c>
      <c r="F245" s="190">
        <v>6.1514016322486646E-2</v>
      </c>
      <c r="G245" s="193" t="s">
        <v>352</v>
      </c>
    </row>
    <row r="246" spans="2:7" x14ac:dyDescent="0.5">
      <c r="B246" s="160" t="s">
        <v>1348</v>
      </c>
      <c r="C246" s="190">
        <v>16.434000000000019</v>
      </c>
      <c r="D246" s="190">
        <v>10.45818150090194</v>
      </c>
      <c r="E246" s="190">
        <v>1.5714012994116338</v>
      </c>
      <c r="F246" s="190">
        <v>0.11872250987081563</v>
      </c>
      <c r="G246" s="193" t="s">
        <v>352</v>
      </c>
    </row>
    <row r="247" spans="2:7" x14ac:dyDescent="0.5">
      <c r="B247" s="160" t="s">
        <v>1349</v>
      </c>
      <c r="C247" s="190">
        <v>16.344000000000005</v>
      </c>
      <c r="D247" s="190">
        <v>10.45818150090194</v>
      </c>
      <c r="E247" s="190">
        <v>1.562795596786158</v>
      </c>
      <c r="F247" s="190">
        <v>0.12073409403540866</v>
      </c>
      <c r="G247" s="193" t="s">
        <v>352</v>
      </c>
    </row>
    <row r="248" spans="2:7" x14ac:dyDescent="0.5">
      <c r="B248" s="160" t="s">
        <v>1350</v>
      </c>
      <c r="C248" s="190">
        <v>15.04800000000002</v>
      </c>
      <c r="D248" s="190">
        <v>10.45818150090194</v>
      </c>
      <c r="E248" s="190">
        <v>1.4388734789793276</v>
      </c>
      <c r="F248" s="190">
        <v>0.15278959849862905</v>
      </c>
      <c r="G248" s="193" t="s">
        <v>352</v>
      </c>
    </row>
    <row r="249" spans="2:7" x14ac:dyDescent="0.5">
      <c r="B249" s="160" t="s">
        <v>1351</v>
      </c>
      <c r="C249" s="190">
        <v>13.236000000000015</v>
      </c>
      <c r="D249" s="190">
        <v>10.45818150090194</v>
      </c>
      <c r="E249" s="190">
        <v>1.2656119994531083</v>
      </c>
      <c r="F249" s="190">
        <v>0.20810380871214082</v>
      </c>
      <c r="G249" s="193" t="s">
        <v>352</v>
      </c>
    </row>
    <row r="250" spans="2:7" x14ac:dyDescent="0.5">
      <c r="B250" s="160" t="s">
        <v>1352</v>
      </c>
      <c r="C250" s="190">
        <v>11.693999999999999</v>
      </c>
      <c r="D250" s="190">
        <v>10.45818150090194</v>
      </c>
      <c r="E250" s="190">
        <v>1.1181676278033117</v>
      </c>
      <c r="F250" s="190">
        <v>0.26572890140201694</v>
      </c>
      <c r="G250" s="193" t="s">
        <v>352</v>
      </c>
    </row>
    <row r="251" spans="2:7" x14ac:dyDescent="0.5">
      <c r="B251" s="160" t="s">
        <v>1353</v>
      </c>
      <c r="C251" s="190">
        <v>10.272000000000002</v>
      </c>
      <c r="D251" s="190">
        <v>10.45818150090194</v>
      </c>
      <c r="E251" s="190">
        <v>0.98219752632081581</v>
      </c>
      <c r="F251" s="190">
        <v>0.32797867812793002</v>
      </c>
      <c r="G251" s="193" t="s">
        <v>352</v>
      </c>
    </row>
    <row r="252" spans="2:7" x14ac:dyDescent="0.5">
      <c r="B252" s="160" t="s">
        <v>1354</v>
      </c>
      <c r="C252" s="190">
        <v>7.8000000000000194</v>
      </c>
      <c r="D252" s="190">
        <v>10.45818150090194</v>
      </c>
      <c r="E252" s="190">
        <v>0.7458275608744529</v>
      </c>
      <c r="F252" s="190">
        <v>0.45723008614212135</v>
      </c>
      <c r="G252" s="199" t="s">
        <v>352</v>
      </c>
    </row>
    <row r="253" spans="2:7" x14ac:dyDescent="0.5">
      <c r="B253" s="160" t="s">
        <v>1216</v>
      </c>
      <c r="C253" s="190">
        <v>6.0840000000000005</v>
      </c>
      <c r="D253" s="190">
        <v>10.45818150090194</v>
      </c>
      <c r="E253" s="190">
        <v>0.58174549748207194</v>
      </c>
      <c r="F253" s="190">
        <v>0.56182938081718181</v>
      </c>
      <c r="G253" s="193" t="s">
        <v>352</v>
      </c>
    </row>
    <row r="254" spans="2:7" x14ac:dyDescent="0.5">
      <c r="B254" s="160" t="s">
        <v>1355</v>
      </c>
      <c r="C254" s="190">
        <v>0.32399999999999807</v>
      </c>
      <c r="D254" s="190">
        <v>10.45818150090194</v>
      </c>
      <c r="E254" s="190">
        <v>3.0980529451707782E-2</v>
      </c>
      <c r="F254" s="190">
        <v>0.97533653557987166</v>
      </c>
      <c r="G254" s="193" t="s">
        <v>352</v>
      </c>
    </row>
    <row r="255" spans="2:7" x14ac:dyDescent="0.5">
      <c r="B255" s="160" t="s">
        <v>1356</v>
      </c>
      <c r="C255" s="190">
        <v>41.397600000000004</v>
      </c>
      <c r="D255" s="190">
        <v>10.45818150090194</v>
      </c>
      <c r="E255" s="190">
        <v>3.9583937223148946</v>
      </c>
      <c r="F255" s="190">
        <v>1.2830992461355611E-4</v>
      </c>
      <c r="G255" s="193" t="s">
        <v>351</v>
      </c>
    </row>
    <row r="256" spans="2:7" x14ac:dyDescent="0.5">
      <c r="B256" s="160" t="s">
        <v>1357</v>
      </c>
      <c r="C256" s="190">
        <v>39.480000000000025</v>
      </c>
      <c r="D256" s="190">
        <v>10.45818150090194</v>
      </c>
      <c r="E256" s="190">
        <v>3.775034885041455</v>
      </c>
      <c r="F256" s="190">
        <v>2.5018427655279485E-4</v>
      </c>
      <c r="G256" s="193" t="s">
        <v>351</v>
      </c>
    </row>
    <row r="257" spans="2:7" x14ac:dyDescent="0.5">
      <c r="B257" s="160" t="s">
        <v>1358</v>
      </c>
      <c r="C257" s="190">
        <v>33.480000000000004</v>
      </c>
      <c r="D257" s="190">
        <v>10.45818150090194</v>
      </c>
      <c r="E257" s="190">
        <v>3.2013213766764905</v>
      </c>
      <c r="F257" s="190">
        <v>1.7511629808732384E-3</v>
      </c>
      <c r="G257" s="193" t="s">
        <v>351</v>
      </c>
    </row>
    <row r="258" spans="2:7" x14ac:dyDescent="0.5">
      <c r="B258" s="160" t="s">
        <v>1359</v>
      </c>
      <c r="C258" s="190">
        <v>32.488800000000012</v>
      </c>
      <c r="D258" s="190">
        <v>10.45818150090194</v>
      </c>
      <c r="E258" s="190">
        <v>3.1065439050945995</v>
      </c>
      <c r="F258" s="190">
        <v>2.3628944761823487E-3</v>
      </c>
      <c r="G258" s="193" t="s">
        <v>351</v>
      </c>
    </row>
    <row r="259" spans="2:7" x14ac:dyDescent="0.5">
      <c r="B259" s="160" t="s">
        <v>1360</v>
      </c>
      <c r="C259" s="190">
        <v>29.274600000000003</v>
      </c>
      <c r="D259" s="190">
        <v>10.45818150090194</v>
      </c>
      <c r="E259" s="190">
        <v>2.7992055786634884</v>
      </c>
      <c r="F259" s="190">
        <v>5.971245178130075E-3</v>
      </c>
      <c r="G259" s="193" t="s">
        <v>351</v>
      </c>
    </row>
    <row r="260" spans="2:7" x14ac:dyDescent="0.5">
      <c r="B260" s="160" t="s">
        <v>1361</v>
      </c>
      <c r="C260" s="190">
        <v>29.100000000000019</v>
      </c>
      <c r="D260" s="190">
        <v>10.45818150090194</v>
      </c>
      <c r="E260" s="190">
        <v>2.7825105155700696</v>
      </c>
      <c r="F260" s="190">
        <v>6.2672423988618647E-3</v>
      </c>
      <c r="G260" s="193" t="s">
        <v>351</v>
      </c>
    </row>
    <row r="261" spans="2:7" x14ac:dyDescent="0.5">
      <c r="B261" s="160" t="s">
        <v>1362</v>
      </c>
      <c r="C261" s="190">
        <v>29.040000000000024</v>
      </c>
      <c r="D261" s="190">
        <v>10.45818150090194</v>
      </c>
      <c r="E261" s="190">
        <v>2.7767733804864201</v>
      </c>
      <c r="F261" s="190">
        <v>6.3720075459680822E-3</v>
      </c>
      <c r="G261" s="193" t="s">
        <v>351</v>
      </c>
    </row>
    <row r="262" spans="2:7" x14ac:dyDescent="0.5">
      <c r="B262" s="160" t="s">
        <v>1363</v>
      </c>
      <c r="C262" s="190">
        <v>23.220000000000027</v>
      </c>
      <c r="D262" s="190">
        <v>10.45818150090194</v>
      </c>
      <c r="E262" s="190">
        <v>2.2202712773724071</v>
      </c>
      <c r="F262" s="190">
        <v>2.8278286632768251E-2</v>
      </c>
      <c r="G262" s="193" t="s">
        <v>351</v>
      </c>
    </row>
    <row r="263" spans="2:7" x14ac:dyDescent="0.5">
      <c r="B263" s="160" t="s">
        <v>1364</v>
      </c>
      <c r="C263" s="190">
        <v>20.340000000000021</v>
      </c>
      <c r="D263" s="190">
        <v>10.45818150090194</v>
      </c>
      <c r="E263" s="190">
        <v>1.9448887933572245</v>
      </c>
      <c r="F263" s="190">
        <v>5.412775906575211E-2</v>
      </c>
      <c r="G263" s="193" t="s">
        <v>352</v>
      </c>
    </row>
    <row r="264" spans="2:7" x14ac:dyDescent="0.5">
      <c r="B264" s="160" t="s">
        <v>1123</v>
      </c>
      <c r="C264" s="190">
        <v>19.415400000000034</v>
      </c>
      <c r="D264" s="190">
        <v>10.45818150090194</v>
      </c>
      <c r="E264" s="190">
        <v>1.856479541718185</v>
      </c>
      <c r="F264" s="190">
        <v>6.5837883130183267E-2</v>
      </c>
      <c r="G264" s="193" t="s">
        <v>352</v>
      </c>
    </row>
    <row r="265" spans="2:7" x14ac:dyDescent="0.5">
      <c r="B265" s="160" t="s">
        <v>1365</v>
      </c>
      <c r="C265" s="190">
        <v>16.110000000000021</v>
      </c>
      <c r="D265" s="190">
        <v>10.45818150090194</v>
      </c>
      <c r="E265" s="190">
        <v>1.5404207699599259</v>
      </c>
      <c r="F265" s="190">
        <v>0.12609070306787967</v>
      </c>
      <c r="G265" s="199" t="s">
        <v>352</v>
      </c>
    </row>
    <row r="266" spans="2:7" x14ac:dyDescent="0.5">
      <c r="B266" s="160" t="s">
        <v>1366</v>
      </c>
      <c r="C266" s="190">
        <v>16.020000000000007</v>
      </c>
      <c r="D266" s="190">
        <v>10.45818150090194</v>
      </c>
      <c r="E266" s="190">
        <v>1.5318150673344502</v>
      </c>
      <c r="F266" s="190">
        <v>0.12820017805869866</v>
      </c>
      <c r="G266" s="193" t="s">
        <v>352</v>
      </c>
    </row>
    <row r="267" spans="2:7" x14ac:dyDescent="0.5">
      <c r="B267" s="160" t="s">
        <v>1367</v>
      </c>
      <c r="C267" s="190">
        <v>14.724000000000022</v>
      </c>
      <c r="D267" s="190">
        <v>10.45818150090194</v>
      </c>
      <c r="E267" s="190">
        <v>1.4078929495276198</v>
      </c>
      <c r="F267" s="190">
        <v>0.16174808187710651</v>
      </c>
      <c r="G267" s="193" t="s">
        <v>352</v>
      </c>
    </row>
    <row r="268" spans="2:7" x14ac:dyDescent="0.5">
      <c r="B268" s="160" t="s">
        <v>1127</v>
      </c>
      <c r="C268" s="190">
        <v>12.912000000000017</v>
      </c>
      <c r="D268" s="190">
        <v>10.45818150090194</v>
      </c>
      <c r="E268" s="190">
        <v>1.2346314700014007</v>
      </c>
      <c r="F268" s="190">
        <v>0.21937984814885553</v>
      </c>
      <c r="G268" s="193" t="s">
        <v>352</v>
      </c>
    </row>
    <row r="269" spans="2:7" x14ac:dyDescent="0.5">
      <c r="B269" s="160" t="s">
        <v>1368</v>
      </c>
      <c r="C269" s="190">
        <v>11.370000000000001</v>
      </c>
      <c r="D269" s="190">
        <v>10.45818150090194</v>
      </c>
      <c r="E269" s="190">
        <v>1.0871870983516039</v>
      </c>
      <c r="F269" s="190">
        <v>0.27913304029113251</v>
      </c>
      <c r="G269" s="193" t="s">
        <v>352</v>
      </c>
    </row>
    <row r="270" spans="2:7" x14ac:dyDescent="0.5">
      <c r="B270" s="160" t="s">
        <v>1128</v>
      </c>
      <c r="C270" s="190">
        <v>9.948000000000004</v>
      </c>
      <c r="D270" s="190">
        <v>10.45818150090194</v>
      </c>
      <c r="E270" s="190">
        <v>0.95121699686910799</v>
      </c>
      <c r="F270" s="190">
        <v>0.34340618546722995</v>
      </c>
      <c r="G270" s="193" t="s">
        <v>352</v>
      </c>
    </row>
    <row r="271" spans="2:7" x14ac:dyDescent="0.5">
      <c r="B271" s="160" t="s">
        <v>1125</v>
      </c>
      <c r="C271" s="190">
        <v>7.4760000000000213</v>
      </c>
      <c r="D271" s="190">
        <v>10.45818150090194</v>
      </c>
      <c r="E271" s="190">
        <v>0.71484703142274519</v>
      </c>
      <c r="F271" s="190">
        <v>0.47609196917588403</v>
      </c>
      <c r="G271" s="193" t="s">
        <v>352</v>
      </c>
    </row>
    <row r="272" spans="2:7" x14ac:dyDescent="0.5">
      <c r="B272" s="160" t="s">
        <v>1116</v>
      </c>
      <c r="C272" s="190">
        <v>5.7600000000000025</v>
      </c>
      <c r="D272" s="190">
        <v>10.45818150090194</v>
      </c>
      <c r="E272" s="190">
        <v>0.55076496803036412</v>
      </c>
      <c r="F272" s="190">
        <v>0.58281871281954678</v>
      </c>
      <c r="G272" s="193" t="s">
        <v>352</v>
      </c>
    </row>
    <row r="273" spans="2:7" x14ac:dyDescent="0.5">
      <c r="B273" s="160" t="s">
        <v>1369</v>
      </c>
      <c r="C273" s="190">
        <v>35.637600000000006</v>
      </c>
      <c r="D273" s="190">
        <v>10.45818150090194</v>
      </c>
      <c r="E273" s="190">
        <v>3.4076287542845312</v>
      </c>
      <c r="F273" s="190">
        <v>8.9254272720146871E-4</v>
      </c>
      <c r="G273" s="193" t="s">
        <v>351</v>
      </c>
    </row>
    <row r="274" spans="2:7" x14ac:dyDescent="0.5">
      <c r="B274" s="160" t="s">
        <v>1370</v>
      </c>
      <c r="C274" s="190">
        <v>33.720000000000027</v>
      </c>
      <c r="D274" s="190">
        <v>10.45818150090194</v>
      </c>
      <c r="E274" s="190">
        <v>3.2242699170110911</v>
      </c>
      <c r="F274" s="190">
        <v>1.6270695529431558E-3</v>
      </c>
      <c r="G274" s="193" t="s">
        <v>351</v>
      </c>
    </row>
    <row r="275" spans="2:7" x14ac:dyDescent="0.5">
      <c r="B275" s="160" t="s">
        <v>1371</v>
      </c>
      <c r="C275" s="190">
        <v>27.720000000000006</v>
      </c>
      <c r="D275" s="190">
        <v>10.45818150090194</v>
      </c>
      <c r="E275" s="190">
        <v>2.6505564086461266</v>
      </c>
      <c r="F275" s="190">
        <v>9.1197097125034245E-3</v>
      </c>
      <c r="G275" s="193" t="s">
        <v>351</v>
      </c>
    </row>
    <row r="276" spans="2:7" x14ac:dyDescent="0.5">
      <c r="B276" s="160" t="s">
        <v>1372</v>
      </c>
      <c r="C276" s="190">
        <v>26.728800000000014</v>
      </c>
      <c r="D276" s="190">
        <v>10.45818150090194</v>
      </c>
      <c r="E276" s="190">
        <v>2.5557789370642356</v>
      </c>
      <c r="F276" s="190">
        <v>1.1843846022264088E-2</v>
      </c>
      <c r="G276" s="193" t="s">
        <v>351</v>
      </c>
    </row>
    <row r="277" spans="2:7" x14ac:dyDescent="0.5">
      <c r="B277" s="160" t="s">
        <v>1373</v>
      </c>
      <c r="C277" s="190">
        <v>23.514600000000002</v>
      </c>
      <c r="D277" s="190">
        <v>10.45818150090194</v>
      </c>
      <c r="E277" s="190">
        <v>2.2484406106331241</v>
      </c>
      <c r="F277" s="190">
        <v>2.6373331939747491E-2</v>
      </c>
      <c r="G277" s="193" t="s">
        <v>351</v>
      </c>
    </row>
    <row r="278" spans="2:7" x14ac:dyDescent="0.5">
      <c r="B278" s="160" t="s">
        <v>1374</v>
      </c>
      <c r="C278" s="190">
        <v>23.340000000000018</v>
      </c>
      <c r="D278" s="190">
        <v>10.45818150090194</v>
      </c>
      <c r="E278" s="190">
        <v>2.2317455475397052</v>
      </c>
      <c r="F278" s="190">
        <v>2.7488307374845918E-2</v>
      </c>
      <c r="G278" s="193" t="s">
        <v>351</v>
      </c>
    </row>
    <row r="279" spans="2:7" x14ac:dyDescent="0.5">
      <c r="B279" s="160" t="s">
        <v>1375</v>
      </c>
      <c r="C279" s="190">
        <v>23.280000000000022</v>
      </c>
      <c r="D279" s="190">
        <v>10.45818150090194</v>
      </c>
      <c r="E279" s="190">
        <v>2.2260084124560562</v>
      </c>
      <c r="F279" s="190">
        <v>2.7880854685526434E-2</v>
      </c>
      <c r="G279" s="193" t="s">
        <v>351</v>
      </c>
    </row>
    <row r="280" spans="2:7" x14ac:dyDescent="0.5">
      <c r="B280" s="160" t="s">
        <v>1376</v>
      </c>
      <c r="C280" s="190">
        <v>17.460000000000022</v>
      </c>
      <c r="D280" s="190">
        <v>10.45818150090194</v>
      </c>
      <c r="E280" s="190">
        <v>1.6695063093420426</v>
      </c>
      <c r="F280" s="190">
        <v>9.7623834970362713E-2</v>
      </c>
      <c r="G280" s="193" t="s">
        <v>352</v>
      </c>
    </row>
    <row r="281" spans="2:7" x14ac:dyDescent="0.5">
      <c r="B281" s="160" t="s">
        <v>1377</v>
      </c>
      <c r="C281" s="190">
        <v>14.580000000000018</v>
      </c>
      <c r="D281" s="190">
        <v>10.45818150090194</v>
      </c>
      <c r="E281" s="190">
        <v>1.3941238253268602</v>
      </c>
      <c r="F281" s="190">
        <v>0.16585624974661387</v>
      </c>
      <c r="G281" s="193" t="s">
        <v>352</v>
      </c>
    </row>
    <row r="282" spans="2:7" x14ac:dyDescent="0.5">
      <c r="B282" s="160" t="s">
        <v>1378</v>
      </c>
      <c r="C282" s="190">
        <v>13.65540000000003</v>
      </c>
      <c r="D282" s="190">
        <v>10.45818150090194</v>
      </c>
      <c r="E282" s="190">
        <v>1.3057145736878208</v>
      </c>
      <c r="F282" s="190">
        <v>0.19414730453966603</v>
      </c>
      <c r="G282" s="193" t="s">
        <v>352</v>
      </c>
    </row>
    <row r="283" spans="2:7" x14ac:dyDescent="0.5">
      <c r="B283" s="160" t="s">
        <v>1379</v>
      </c>
      <c r="C283" s="190">
        <v>10.350000000000017</v>
      </c>
      <c r="D283" s="190">
        <v>10.45818150090194</v>
      </c>
      <c r="E283" s="190">
        <v>0.98965580192956182</v>
      </c>
      <c r="F283" s="190">
        <v>0.32433370899422687</v>
      </c>
      <c r="G283" s="193" t="s">
        <v>352</v>
      </c>
    </row>
    <row r="284" spans="2:7" x14ac:dyDescent="0.5">
      <c r="B284" s="160" t="s">
        <v>1380</v>
      </c>
      <c r="C284" s="190">
        <v>10.260000000000003</v>
      </c>
      <c r="D284" s="190">
        <v>10.45818150090194</v>
      </c>
      <c r="E284" s="190">
        <v>0.98105009930408593</v>
      </c>
      <c r="F284" s="190">
        <v>0.32854182202764715</v>
      </c>
      <c r="G284" s="193" t="s">
        <v>352</v>
      </c>
    </row>
    <row r="285" spans="2:7" x14ac:dyDescent="0.5">
      <c r="B285" s="160" t="s">
        <v>1381</v>
      </c>
      <c r="C285" s="190">
        <v>8.9640000000000182</v>
      </c>
      <c r="D285" s="190">
        <v>10.45818150090194</v>
      </c>
      <c r="E285" s="190">
        <v>0.85712798149725555</v>
      </c>
      <c r="F285" s="190">
        <v>0.39308268526809359</v>
      </c>
      <c r="G285" s="193" t="s">
        <v>352</v>
      </c>
    </row>
    <row r="286" spans="2:7" x14ac:dyDescent="0.5">
      <c r="B286" s="160" t="s">
        <v>1382</v>
      </c>
      <c r="C286" s="190">
        <v>7.1520000000000135</v>
      </c>
      <c r="D286" s="190">
        <v>10.45818150090194</v>
      </c>
      <c r="E286" s="190">
        <v>0.68386650197103649</v>
      </c>
      <c r="F286" s="190">
        <v>0.49537793088027676</v>
      </c>
      <c r="G286" s="193" t="s">
        <v>352</v>
      </c>
    </row>
    <row r="287" spans="2:7" x14ac:dyDescent="0.5">
      <c r="B287" s="160" t="s">
        <v>1383</v>
      </c>
      <c r="C287" s="190">
        <v>5.6099999999999994</v>
      </c>
      <c r="D287" s="190">
        <v>10.45818150090194</v>
      </c>
      <c r="E287" s="190">
        <v>0.53642213032123975</v>
      </c>
      <c r="F287" s="190">
        <v>0.59265988621605437</v>
      </c>
      <c r="G287" s="193" t="s">
        <v>352</v>
      </c>
    </row>
    <row r="288" spans="2:7" x14ac:dyDescent="0.5">
      <c r="B288" s="160" t="s">
        <v>1384</v>
      </c>
      <c r="C288" s="190">
        <v>4.1880000000000006</v>
      </c>
      <c r="D288" s="190">
        <v>10.45818150090194</v>
      </c>
      <c r="E288" s="190">
        <v>0.40045202883874381</v>
      </c>
      <c r="F288" s="190">
        <v>0.68953564278865365</v>
      </c>
      <c r="G288" s="193" t="s">
        <v>352</v>
      </c>
    </row>
    <row r="289" spans="2:7" x14ac:dyDescent="0.5">
      <c r="B289" s="160" t="s">
        <v>1385</v>
      </c>
      <c r="C289" s="190">
        <v>1.7160000000000188</v>
      </c>
      <c r="D289" s="190">
        <v>10.45818150090194</v>
      </c>
      <c r="E289" s="190">
        <v>0.16408206339238104</v>
      </c>
      <c r="F289" s="190">
        <v>0.86994259044339273</v>
      </c>
      <c r="G289" s="193" t="s">
        <v>352</v>
      </c>
    </row>
    <row r="290" spans="2:7" x14ac:dyDescent="0.5">
      <c r="B290" s="160" t="s">
        <v>1386</v>
      </c>
      <c r="C290" s="190">
        <v>33.921599999999984</v>
      </c>
      <c r="D290" s="190">
        <v>10.45818150090194</v>
      </c>
      <c r="E290" s="190">
        <v>3.2435466908921495</v>
      </c>
      <c r="F290" s="190">
        <v>1.5292154269084515E-3</v>
      </c>
      <c r="G290" s="193" t="s">
        <v>351</v>
      </c>
    </row>
    <row r="291" spans="2:7" x14ac:dyDescent="0.5">
      <c r="B291" s="160" t="s">
        <v>1387</v>
      </c>
      <c r="C291" s="190">
        <v>32.004000000000005</v>
      </c>
      <c r="D291" s="190">
        <v>10.45818150090194</v>
      </c>
      <c r="E291" s="190">
        <v>3.0601878536187099</v>
      </c>
      <c r="F291" s="190">
        <v>2.7294401571825422E-3</v>
      </c>
      <c r="G291" s="193" t="s">
        <v>351</v>
      </c>
    </row>
    <row r="292" spans="2:7" x14ac:dyDescent="0.5">
      <c r="B292" s="160" t="s">
        <v>1388</v>
      </c>
      <c r="C292" s="190">
        <v>26.003999999999984</v>
      </c>
      <c r="D292" s="190">
        <v>10.45818150090194</v>
      </c>
      <c r="E292" s="190">
        <v>2.4864743452537454</v>
      </c>
      <c r="F292" s="190">
        <v>1.4276764836688891E-2</v>
      </c>
      <c r="G292" s="193" t="s">
        <v>351</v>
      </c>
    </row>
    <row r="293" spans="2:7" x14ac:dyDescent="0.5">
      <c r="B293" s="160" t="s">
        <v>1389</v>
      </c>
      <c r="C293" s="190">
        <v>25.012799999999991</v>
      </c>
      <c r="D293" s="190">
        <v>10.45818150090194</v>
      </c>
      <c r="E293" s="190">
        <v>2.3916968736718545</v>
      </c>
      <c r="F293" s="190">
        <v>1.8323889769506926E-2</v>
      </c>
      <c r="G293" s="193" t="s">
        <v>351</v>
      </c>
    </row>
    <row r="294" spans="2:7" x14ac:dyDescent="0.5">
      <c r="B294" s="160" t="s">
        <v>1390</v>
      </c>
      <c r="C294" s="190">
        <v>21.798599999999979</v>
      </c>
      <c r="D294" s="190">
        <v>10.45818150090194</v>
      </c>
      <c r="E294" s="190">
        <v>2.0843585472407429</v>
      </c>
      <c r="F294" s="190">
        <v>3.9248944611172357E-2</v>
      </c>
      <c r="G294" s="193" t="s">
        <v>351</v>
      </c>
    </row>
    <row r="295" spans="2:7" x14ac:dyDescent="0.5">
      <c r="B295" s="160" t="s">
        <v>1391</v>
      </c>
      <c r="C295" s="190">
        <v>21.623999999999995</v>
      </c>
      <c r="D295" s="190">
        <v>10.45818150090194</v>
      </c>
      <c r="E295" s="190">
        <v>2.067663484147324</v>
      </c>
      <c r="F295" s="190">
        <v>4.0821208451297213E-2</v>
      </c>
      <c r="G295" s="193" t="s">
        <v>351</v>
      </c>
    </row>
    <row r="296" spans="2:7" x14ac:dyDescent="0.5">
      <c r="B296" s="160" t="s">
        <v>1392</v>
      </c>
      <c r="C296" s="190">
        <v>21.564</v>
      </c>
      <c r="D296" s="190">
        <v>10.45818150090194</v>
      </c>
      <c r="E296" s="190">
        <v>2.061926349063675</v>
      </c>
      <c r="F296" s="190">
        <v>4.1373841317935645E-2</v>
      </c>
      <c r="G296" s="193" t="s">
        <v>351</v>
      </c>
    </row>
    <row r="297" spans="2:7" x14ac:dyDescent="0.5">
      <c r="B297" s="160" t="s">
        <v>1393</v>
      </c>
      <c r="C297" s="190">
        <v>15.744000000000005</v>
      </c>
      <c r="D297" s="190">
        <v>10.45818150090194</v>
      </c>
      <c r="E297" s="190">
        <v>1.5054242459496618</v>
      </c>
      <c r="F297" s="190">
        <v>0.13484274895583154</v>
      </c>
      <c r="G297" s="193" t="s">
        <v>352</v>
      </c>
    </row>
    <row r="298" spans="2:7" x14ac:dyDescent="0.5">
      <c r="B298" s="160" t="s">
        <v>1394</v>
      </c>
      <c r="C298" s="190">
        <v>12.863999999999999</v>
      </c>
      <c r="D298" s="190">
        <v>10.45818150090194</v>
      </c>
      <c r="E298" s="190">
        <v>1.2300417619344792</v>
      </c>
      <c r="F298" s="190">
        <v>0.22108745364567736</v>
      </c>
      <c r="G298" s="193" t="s">
        <v>352</v>
      </c>
    </row>
    <row r="299" spans="2:7" x14ac:dyDescent="0.5">
      <c r="B299" s="160" t="s">
        <v>1181</v>
      </c>
      <c r="C299" s="190">
        <v>11.939400000000012</v>
      </c>
      <c r="D299" s="190">
        <v>10.45818150090194</v>
      </c>
      <c r="E299" s="190">
        <v>1.1416325102954397</v>
      </c>
      <c r="F299" s="190">
        <v>0.25587979932384614</v>
      </c>
      <c r="G299" s="193" t="s">
        <v>352</v>
      </c>
    </row>
    <row r="300" spans="2:7" x14ac:dyDescent="0.5">
      <c r="B300" s="160" t="s">
        <v>1395</v>
      </c>
      <c r="C300" s="190">
        <v>8.6339999999999986</v>
      </c>
      <c r="D300" s="190">
        <v>10.45818150090194</v>
      </c>
      <c r="E300" s="190">
        <v>0.82557373853718075</v>
      </c>
      <c r="F300" s="190">
        <v>0.4106842043787442</v>
      </c>
      <c r="G300" s="193" t="s">
        <v>352</v>
      </c>
    </row>
    <row r="301" spans="2:7" x14ac:dyDescent="0.5">
      <c r="B301" s="160" t="s">
        <v>1396</v>
      </c>
      <c r="C301" s="190">
        <v>8.5439999999999845</v>
      </c>
      <c r="D301" s="190">
        <v>10.45818150090194</v>
      </c>
      <c r="E301" s="190">
        <v>0.81696803591170497</v>
      </c>
      <c r="F301" s="190">
        <v>0.4155656834542818</v>
      </c>
      <c r="G301" s="193" t="s">
        <v>352</v>
      </c>
    </row>
    <row r="302" spans="2:7" x14ac:dyDescent="0.5">
      <c r="B302" s="160" t="s">
        <v>1397</v>
      </c>
      <c r="C302" s="190">
        <v>7.2479999999999993</v>
      </c>
      <c r="D302" s="190">
        <v>10.45818150090194</v>
      </c>
      <c r="E302" s="190">
        <v>0.69304591810487448</v>
      </c>
      <c r="F302" s="190">
        <v>0.48961989202628742</v>
      </c>
      <c r="G302" s="193" t="s">
        <v>352</v>
      </c>
    </row>
    <row r="303" spans="2:7" x14ac:dyDescent="0.5">
      <c r="B303" s="160" t="s">
        <v>1398</v>
      </c>
      <c r="C303" s="190">
        <v>5.4359999999999946</v>
      </c>
      <c r="D303" s="190">
        <v>10.45818150090194</v>
      </c>
      <c r="E303" s="190">
        <v>0.51978443857865542</v>
      </c>
      <c r="F303" s="190">
        <v>0.60417133746643559</v>
      </c>
      <c r="G303" s="193" t="s">
        <v>352</v>
      </c>
    </row>
    <row r="304" spans="2:7" x14ac:dyDescent="0.5">
      <c r="B304" s="160" t="s">
        <v>1399</v>
      </c>
      <c r="C304" s="190">
        <v>3.8939999999999806</v>
      </c>
      <c r="D304" s="190">
        <v>10.45818150090194</v>
      </c>
      <c r="E304" s="190">
        <v>0.37234006692885874</v>
      </c>
      <c r="F304" s="190">
        <v>0.71029643391208686</v>
      </c>
      <c r="G304" s="193" t="s">
        <v>352</v>
      </c>
    </row>
    <row r="305" spans="2:7" x14ac:dyDescent="0.5">
      <c r="B305" s="160" t="s">
        <v>1400</v>
      </c>
      <c r="C305" s="190">
        <v>2.4719999999999818</v>
      </c>
      <c r="D305" s="190">
        <v>10.45818150090194</v>
      </c>
      <c r="E305" s="190">
        <v>0.23636996544636277</v>
      </c>
      <c r="F305" s="190">
        <v>0.81354858936174335</v>
      </c>
      <c r="G305" s="193" t="s">
        <v>352</v>
      </c>
    </row>
    <row r="306" spans="2:7" x14ac:dyDescent="0.5">
      <c r="B306" s="160" t="s">
        <v>1401</v>
      </c>
      <c r="C306" s="190">
        <v>31.449600000000004</v>
      </c>
      <c r="D306" s="190">
        <v>10.45818150090194</v>
      </c>
      <c r="E306" s="190">
        <v>3.0071767254457873</v>
      </c>
      <c r="F306" s="190">
        <v>3.2127199734392365E-3</v>
      </c>
      <c r="G306" s="193" t="s">
        <v>351</v>
      </c>
    </row>
    <row r="307" spans="2:7" x14ac:dyDescent="0.5">
      <c r="B307" s="160" t="s">
        <v>1402</v>
      </c>
      <c r="C307" s="190">
        <v>29.532000000000025</v>
      </c>
      <c r="D307" s="190">
        <v>10.45818150090194</v>
      </c>
      <c r="E307" s="190">
        <v>2.8238178881723472</v>
      </c>
      <c r="F307" s="190">
        <v>5.5580940439026779E-3</v>
      </c>
      <c r="G307" s="193" t="s">
        <v>351</v>
      </c>
    </row>
    <row r="308" spans="2:7" x14ac:dyDescent="0.5">
      <c r="B308" s="160" t="s">
        <v>1403</v>
      </c>
      <c r="C308" s="190">
        <v>23.532000000000004</v>
      </c>
      <c r="D308" s="190">
        <v>10.45818150090194</v>
      </c>
      <c r="E308" s="190">
        <v>2.2501043798073828</v>
      </c>
      <c r="F308" s="190">
        <v>2.6264415928528292E-2</v>
      </c>
      <c r="G308" s="193" t="s">
        <v>351</v>
      </c>
    </row>
    <row r="309" spans="2:7" x14ac:dyDescent="0.5">
      <c r="B309" s="160" t="s">
        <v>1404</v>
      </c>
      <c r="C309" s="190">
        <v>22.540800000000011</v>
      </c>
      <c r="D309" s="190">
        <v>10.45818150090194</v>
      </c>
      <c r="E309" s="190">
        <v>2.1553269082254918</v>
      </c>
      <c r="F309" s="190">
        <v>3.3133234860115782E-2</v>
      </c>
      <c r="G309" s="193" t="s">
        <v>351</v>
      </c>
    </row>
    <row r="310" spans="2:7" x14ac:dyDescent="0.5">
      <c r="B310" s="160" t="s">
        <v>1405</v>
      </c>
      <c r="C310" s="190">
        <v>19.326599999999999</v>
      </c>
      <c r="D310" s="190">
        <v>10.45818150090194</v>
      </c>
      <c r="E310" s="190">
        <v>1.8479885817943802</v>
      </c>
      <c r="F310" s="190">
        <v>6.7066290264530634E-2</v>
      </c>
      <c r="G310" s="193" t="s">
        <v>352</v>
      </c>
    </row>
    <row r="311" spans="2:7" x14ac:dyDescent="0.5">
      <c r="B311" s="160" t="s">
        <v>1406</v>
      </c>
      <c r="C311" s="190">
        <v>19.152000000000015</v>
      </c>
      <c r="D311" s="190">
        <v>10.45818150090194</v>
      </c>
      <c r="E311" s="190">
        <v>1.8312935187009614</v>
      </c>
      <c r="F311" s="190">
        <v>6.9537336496837784E-2</v>
      </c>
      <c r="G311" s="193" t="s">
        <v>352</v>
      </c>
    </row>
    <row r="312" spans="2:7" x14ac:dyDescent="0.5">
      <c r="B312" s="160" t="s">
        <v>1407</v>
      </c>
      <c r="C312" s="190">
        <v>19.09200000000002</v>
      </c>
      <c r="D312" s="190">
        <v>10.45818150090194</v>
      </c>
      <c r="E312" s="190">
        <v>1.8255563836173121</v>
      </c>
      <c r="F312" s="190">
        <v>7.0403779641288175E-2</v>
      </c>
      <c r="G312" s="193" t="s">
        <v>352</v>
      </c>
    </row>
    <row r="313" spans="2:7" x14ac:dyDescent="0.5">
      <c r="B313" s="160" t="s">
        <v>1408</v>
      </c>
      <c r="C313" s="190">
        <v>13.272000000000023</v>
      </c>
      <c r="D313" s="190">
        <v>10.45818150090194</v>
      </c>
      <c r="E313" s="190">
        <v>1.2690542805032989</v>
      </c>
      <c r="F313" s="190">
        <v>0.20687766709943042</v>
      </c>
      <c r="G313" s="193" t="s">
        <v>352</v>
      </c>
    </row>
    <row r="314" spans="2:7" x14ac:dyDescent="0.5">
      <c r="B314" s="160" t="s">
        <v>1409</v>
      </c>
      <c r="C314" s="190">
        <v>10.392000000000017</v>
      </c>
      <c r="D314" s="190">
        <v>10.45818150090194</v>
      </c>
      <c r="E314" s="190">
        <v>0.99367179648811643</v>
      </c>
      <c r="F314" s="190">
        <v>0.32238213774020658</v>
      </c>
      <c r="G314" s="193" t="s">
        <v>352</v>
      </c>
    </row>
    <row r="315" spans="2:7" x14ac:dyDescent="0.5">
      <c r="B315" s="160" t="s">
        <v>1139</v>
      </c>
      <c r="C315" s="190">
        <v>9.4674000000000298</v>
      </c>
      <c r="D315" s="190">
        <v>10.45818150090194</v>
      </c>
      <c r="E315" s="190">
        <v>0.90526254484907698</v>
      </c>
      <c r="F315" s="190">
        <v>0.36714028239235291</v>
      </c>
      <c r="G315" s="193" t="s">
        <v>352</v>
      </c>
    </row>
    <row r="316" spans="2:7" x14ac:dyDescent="0.5">
      <c r="B316" s="160" t="s">
        <v>1410</v>
      </c>
      <c r="C316" s="190">
        <v>6.1620000000000168</v>
      </c>
      <c r="D316" s="190">
        <v>10.45818150090194</v>
      </c>
      <c r="E316" s="190">
        <v>0.58920377309081795</v>
      </c>
      <c r="F316" s="190">
        <v>0.55683219012540375</v>
      </c>
      <c r="G316" s="193" t="s">
        <v>352</v>
      </c>
    </row>
    <row r="317" spans="2:7" x14ac:dyDescent="0.5">
      <c r="B317" s="160" t="s">
        <v>1411</v>
      </c>
      <c r="C317" s="190">
        <v>6.0720000000000027</v>
      </c>
      <c r="D317" s="190">
        <v>10.45818150090194</v>
      </c>
      <c r="E317" s="190">
        <v>0.58059807046534218</v>
      </c>
      <c r="F317" s="190">
        <v>0.5626001232015444</v>
      </c>
      <c r="G317" s="193" t="s">
        <v>352</v>
      </c>
    </row>
    <row r="318" spans="2:7" x14ac:dyDescent="0.5">
      <c r="B318" s="160" t="s">
        <v>1412</v>
      </c>
      <c r="C318" s="190">
        <v>4.7760000000000176</v>
      </c>
      <c r="D318" s="190">
        <v>10.45818150090194</v>
      </c>
      <c r="E318" s="190">
        <v>0.45667595265851174</v>
      </c>
      <c r="F318" s="190">
        <v>0.64872952635286463</v>
      </c>
      <c r="G318" s="199" t="s">
        <v>352</v>
      </c>
    </row>
    <row r="319" spans="2:7" x14ac:dyDescent="0.5">
      <c r="B319" s="160" t="s">
        <v>1143</v>
      </c>
      <c r="C319" s="190">
        <v>2.9640000000000128</v>
      </c>
      <c r="D319" s="190">
        <v>10.45818150090194</v>
      </c>
      <c r="E319" s="190">
        <v>0.28341447313229262</v>
      </c>
      <c r="F319" s="190">
        <v>0.77734750297405786</v>
      </c>
      <c r="G319" s="193" t="s">
        <v>352</v>
      </c>
    </row>
    <row r="320" spans="2:7" x14ac:dyDescent="0.5">
      <c r="B320" s="160" t="s">
        <v>1413</v>
      </c>
      <c r="C320" s="190">
        <v>1.4219999999999988</v>
      </c>
      <c r="D320" s="190">
        <v>10.45818150090194</v>
      </c>
      <c r="E320" s="190">
        <v>0.13597010148249597</v>
      </c>
      <c r="F320" s="190">
        <v>0.89207275196836688</v>
      </c>
      <c r="G320" s="193" t="s">
        <v>352</v>
      </c>
    </row>
    <row r="321" spans="2:7" x14ac:dyDescent="0.5">
      <c r="B321" s="160" t="s">
        <v>1414</v>
      </c>
      <c r="C321" s="190">
        <v>30.027600000000007</v>
      </c>
      <c r="D321" s="190">
        <v>10.45818150090194</v>
      </c>
      <c r="E321" s="190">
        <v>2.8712066239632912</v>
      </c>
      <c r="F321" s="190">
        <v>4.8353140846464759E-3</v>
      </c>
      <c r="G321" s="193" t="s">
        <v>351</v>
      </c>
    </row>
    <row r="322" spans="2:7" x14ac:dyDescent="0.5">
      <c r="B322" s="160" t="s">
        <v>1415</v>
      </c>
      <c r="C322" s="190">
        <v>28.110000000000028</v>
      </c>
      <c r="D322" s="190">
        <v>10.45818150090194</v>
      </c>
      <c r="E322" s="190">
        <v>2.6878477866898516</v>
      </c>
      <c r="F322" s="190">
        <v>8.2132442647921688E-3</v>
      </c>
      <c r="G322" s="193" t="s">
        <v>351</v>
      </c>
    </row>
    <row r="323" spans="2:7" x14ac:dyDescent="0.5">
      <c r="B323" s="160" t="s">
        <v>1416</v>
      </c>
      <c r="C323" s="190">
        <v>22.110000000000007</v>
      </c>
      <c r="D323" s="190">
        <v>10.45818150090194</v>
      </c>
      <c r="E323" s="190">
        <v>2.1141342783248871</v>
      </c>
      <c r="F323" s="190">
        <v>3.6573852280328473E-2</v>
      </c>
      <c r="G323" s="193" t="s">
        <v>351</v>
      </c>
    </row>
    <row r="324" spans="2:7" x14ac:dyDescent="0.5">
      <c r="B324" s="160" t="s">
        <v>1417</v>
      </c>
      <c r="C324" s="190">
        <v>21.118800000000014</v>
      </c>
      <c r="D324" s="190">
        <v>10.45818150090194</v>
      </c>
      <c r="E324" s="190">
        <v>2.0193568067429961</v>
      </c>
      <c r="F324" s="190">
        <v>4.5678253144042211E-2</v>
      </c>
      <c r="G324" s="193" t="s">
        <v>351</v>
      </c>
    </row>
    <row r="325" spans="2:7" x14ac:dyDescent="0.5">
      <c r="B325" s="160" t="s">
        <v>1418</v>
      </c>
      <c r="C325" s="190">
        <v>17.904600000000002</v>
      </c>
      <c r="D325" s="190">
        <v>10.45818150090194</v>
      </c>
      <c r="E325" s="190">
        <v>1.7120184803118845</v>
      </c>
      <c r="F325" s="190">
        <v>8.9476401045737355E-2</v>
      </c>
      <c r="G325" s="193" t="s">
        <v>352</v>
      </c>
    </row>
    <row r="326" spans="2:7" x14ac:dyDescent="0.5">
      <c r="B326" s="160" t="s">
        <v>1056</v>
      </c>
      <c r="C326" s="190">
        <v>17.730000000000018</v>
      </c>
      <c r="D326" s="190">
        <v>10.45818150090194</v>
      </c>
      <c r="E326" s="190">
        <v>1.6953234172184655</v>
      </c>
      <c r="F326" s="190">
        <v>9.2607349722634957E-2</v>
      </c>
      <c r="G326" s="193" t="s">
        <v>352</v>
      </c>
    </row>
    <row r="327" spans="2:7" x14ac:dyDescent="0.5">
      <c r="B327" s="160" t="s">
        <v>1419</v>
      </c>
      <c r="C327" s="190">
        <v>17.670000000000023</v>
      </c>
      <c r="D327" s="190">
        <v>10.45818150090194</v>
      </c>
      <c r="E327" s="190">
        <v>1.6895862821348164</v>
      </c>
      <c r="F327" s="190">
        <v>9.3703624032624111E-2</v>
      </c>
      <c r="G327" s="193" t="s">
        <v>352</v>
      </c>
    </row>
    <row r="328" spans="2:7" x14ac:dyDescent="0.5">
      <c r="B328" s="160" t="s">
        <v>1420</v>
      </c>
      <c r="C328" s="190">
        <v>11.850000000000025</v>
      </c>
      <c r="D328" s="190">
        <v>10.45818150090194</v>
      </c>
      <c r="E328" s="190">
        <v>1.1330841790208031</v>
      </c>
      <c r="F328" s="190">
        <v>0.2594376997335236</v>
      </c>
      <c r="G328" s="193" t="s">
        <v>352</v>
      </c>
    </row>
    <row r="329" spans="2:7" x14ac:dyDescent="0.5">
      <c r="B329" s="160" t="s">
        <v>1421</v>
      </c>
      <c r="C329" s="190">
        <v>8.9700000000000184</v>
      </c>
      <c r="D329" s="190">
        <v>10.45818150090194</v>
      </c>
      <c r="E329" s="190">
        <v>0.85770169500562055</v>
      </c>
      <c r="F329" s="190">
        <v>0.39276700087806732</v>
      </c>
      <c r="G329" s="199" t="s">
        <v>352</v>
      </c>
    </row>
    <row r="330" spans="2:7" x14ac:dyDescent="0.5">
      <c r="B330" s="160" t="s">
        <v>1049</v>
      </c>
      <c r="C330" s="190">
        <v>8.045400000000031</v>
      </c>
      <c r="D330" s="190">
        <v>10.45818150090194</v>
      </c>
      <c r="E330" s="190">
        <v>0.76929244336658098</v>
      </c>
      <c r="F330" s="190">
        <v>0.44323130028898255</v>
      </c>
      <c r="G330" s="193" t="s">
        <v>352</v>
      </c>
    </row>
    <row r="331" spans="2:7" x14ac:dyDescent="0.5">
      <c r="B331" s="160" t="s">
        <v>1057</v>
      </c>
      <c r="C331" s="190">
        <v>4.740000000000018</v>
      </c>
      <c r="D331" s="190">
        <v>10.45818150090194</v>
      </c>
      <c r="E331" s="190">
        <v>0.45323367160832201</v>
      </c>
      <c r="F331" s="190">
        <v>0.65119897477773447</v>
      </c>
      <c r="G331" s="193" t="s">
        <v>352</v>
      </c>
    </row>
    <row r="332" spans="2:7" x14ac:dyDescent="0.5">
      <c r="B332" s="160" t="s">
        <v>1422</v>
      </c>
      <c r="C332" s="190">
        <v>4.6500000000000039</v>
      </c>
      <c r="D332" s="190">
        <v>10.45818150090194</v>
      </c>
      <c r="E332" s="190">
        <v>0.44462796898284623</v>
      </c>
      <c r="F332" s="190">
        <v>0.65738952515302884</v>
      </c>
      <c r="G332" s="193" t="s">
        <v>352</v>
      </c>
    </row>
    <row r="333" spans="2:7" x14ac:dyDescent="0.5">
      <c r="B333" s="160" t="s">
        <v>1058</v>
      </c>
      <c r="C333" s="190">
        <v>3.3540000000000187</v>
      </c>
      <c r="D333" s="190">
        <v>10.45818150090194</v>
      </c>
      <c r="E333" s="190">
        <v>0.32070585117601574</v>
      </c>
      <c r="F333" s="190">
        <v>0.74899113282874952</v>
      </c>
      <c r="G333" s="193" t="s">
        <v>352</v>
      </c>
    </row>
    <row r="334" spans="2:7" x14ac:dyDescent="0.5">
      <c r="B334" s="160" t="s">
        <v>1053</v>
      </c>
      <c r="C334" s="190">
        <v>1.542000000000014</v>
      </c>
      <c r="D334" s="190">
        <v>10.45818150090194</v>
      </c>
      <c r="E334" s="190">
        <v>0.14744437164979668</v>
      </c>
      <c r="F334" s="190">
        <v>0.88302873184654662</v>
      </c>
      <c r="G334" s="193" t="s">
        <v>352</v>
      </c>
    </row>
    <row r="335" spans="2:7" x14ac:dyDescent="0.5">
      <c r="B335" s="160" t="s">
        <v>1423</v>
      </c>
      <c r="C335" s="190">
        <v>28.485599999999991</v>
      </c>
      <c r="D335" s="190">
        <v>10.45818150090194</v>
      </c>
      <c r="E335" s="190">
        <v>2.7237622523134943</v>
      </c>
      <c r="F335" s="190">
        <v>7.4182322121432503E-3</v>
      </c>
      <c r="G335" s="193" t="s">
        <v>351</v>
      </c>
    </row>
    <row r="336" spans="2:7" x14ac:dyDescent="0.5">
      <c r="B336" s="160" t="s">
        <v>1424</v>
      </c>
      <c r="C336" s="190">
        <v>26.568000000000012</v>
      </c>
      <c r="D336" s="190">
        <v>10.45818150090194</v>
      </c>
      <c r="E336" s="190">
        <v>2.5404034150400547</v>
      </c>
      <c r="F336" s="190">
        <v>1.2348946218185355E-2</v>
      </c>
      <c r="G336" s="193" t="s">
        <v>351</v>
      </c>
    </row>
    <row r="337" spans="2:7" x14ac:dyDescent="0.5">
      <c r="B337" s="160" t="s">
        <v>1425</v>
      </c>
      <c r="C337" s="190">
        <v>20.567999999999991</v>
      </c>
      <c r="D337" s="190">
        <v>10.45818150090194</v>
      </c>
      <c r="E337" s="190">
        <v>1.9666899066750902</v>
      </c>
      <c r="F337" s="190">
        <v>5.1527151935624217E-2</v>
      </c>
      <c r="G337" s="193" t="s">
        <v>352</v>
      </c>
    </row>
    <row r="338" spans="2:7" x14ac:dyDescent="0.5">
      <c r="B338" s="160" t="s">
        <v>1426</v>
      </c>
      <c r="C338" s="190">
        <v>19.576799999999999</v>
      </c>
      <c r="D338" s="190">
        <v>10.45818150090194</v>
      </c>
      <c r="E338" s="190">
        <v>1.871912435093199</v>
      </c>
      <c r="F338" s="190">
        <v>6.3653249643029014E-2</v>
      </c>
      <c r="G338" s="193" t="s">
        <v>352</v>
      </c>
    </row>
    <row r="339" spans="2:7" x14ac:dyDescent="0.5">
      <c r="B339" s="160" t="s">
        <v>1427</v>
      </c>
      <c r="C339" s="190">
        <v>16.362599999999986</v>
      </c>
      <c r="D339" s="190">
        <v>10.45818150090194</v>
      </c>
      <c r="E339" s="190">
        <v>1.5645741086620877</v>
      </c>
      <c r="F339" s="190">
        <v>0.12031616745274178</v>
      </c>
      <c r="G339" s="193" t="s">
        <v>352</v>
      </c>
    </row>
    <row r="340" spans="2:7" x14ac:dyDescent="0.5">
      <c r="B340" s="160" t="s">
        <v>1428</v>
      </c>
      <c r="C340" s="190">
        <v>16.188000000000002</v>
      </c>
      <c r="D340" s="190">
        <v>10.45818150090194</v>
      </c>
      <c r="E340" s="190">
        <v>1.5478790455686686</v>
      </c>
      <c r="F340" s="190">
        <v>0.12428471901781454</v>
      </c>
      <c r="G340" s="193" t="s">
        <v>352</v>
      </c>
    </row>
    <row r="341" spans="2:7" x14ac:dyDescent="0.5">
      <c r="B341" s="160" t="s">
        <v>1429</v>
      </c>
      <c r="C341" s="190">
        <v>16.128000000000007</v>
      </c>
      <c r="D341" s="190">
        <v>10.45818150090194</v>
      </c>
      <c r="E341" s="190">
        <v>1.5421419104850196</v>
      </c>
      <c r="F341" s="190">
        <v>0.12567211124066396</v>
      </c>
      <c r="G341" s="193" t="s">
        <v>352</v>
      </c>
    </row>
    <row r="342" spans="2:7" x14ac:dyDescent="0.5">
      <c r="B342" s="160" t="s">
        <v>1430</v>
      </c>
      <c r="C342" s="190">
        <v>10.30800000000001</v>
      </c>
      <c r="D342" s="190">
        <v>10.45818150090194</v>
      </c>
      <c r="E342" s="190">
        <v>0.98563980737100632</v>
      </c>
      <c r="F342" s="190">
        <v>0.32629305342334003</v>
      </c>
      <c r="G342" s="193" t="s">
        <v>352</v>
      </c>
    </row>
    <row r="343" spans="2:7" x14ac:dyDescent="0.5">
      <c r="B343" s="160" t="s">
        <v>1431</v>
      </c>
      <c r="C343" s="190">
        <v>7.4280000000000044</v>
      </c>
      <c r="D343" s="190">
        <v>10.45818150090194</v>
      </c>
      <c r="E343" s="190">
        <v>0.71025732335582381</v>
      </c>
      <c r="F343" s="190">
        <v>0.47892260257559888</v>
      </c>
      <c r="G343" s="193" t="s">
        <v>352</v>
      </c>
    </row>
    <row r="344" spans="2:7" x14ac:dyDescent="0.5">
      <c r="B344" s="160" t="s">
        <v>1154</v>
      </c>
      <c r="C344" s="190">
        <v>6.5034000000000169</v>
      </c>
      <c r="D344" s="190">
        <v>10.45818150090194</v>
      </c>
      <c r="E344" s="190">
        <v>0.62184807171678436</v>
      </c>
      <c r="F344" s="190">
        <v>0.53522143932485144</v>
      </c>
      <c r="G344" s="193" t="s">
        <v>352</v>
      </c>
    </row>
    <row r="345" spans="2:7" x14ac:dyDescent="0.5">
      <c r="B345" s="160" t="s">
        <v>1432</v>
      </c>
      <c r="C345" s="190">
        <v>3.198000000000004</v>
      </c>
      <c r="D345" s="190">
        <v>10.45818150090194</v>
      </c>
      <c r="E345" s="190">
        <v>0.30578929995852533</v>
      </c>
      <c r="F345" s="190">
        <v>0.76029491862505993</v>
      </c>
      <c r="G345" s="193" t="s">
        <v>352</v>
      </c>
    </row>
    <row r="346" spans="2:7" x14ac:dyDescent="0.5">
      <c r="B346" s="160" t="s">
        <v>1433</v>
      </c>
      <c r="C346" s="190">
        <v>3.1079999999999899</v>
      </c>
      <c r="D346" s="190">
        <v>10.45818150090194</v>
      </c>
      <c r="E346" s="190">
        <v>0.29718359733304955</v>
      </c>
      <c r="F346" s="190">
        <v>0.76684016590332249</v>
      </c>
      <c r="G346" s="193" t="s">
        <v>352</v>
      </c>
    </row>
    <row r="347" spans="2:7" x14ac:dyDescent="0.5">
      <c r="B347" s="160" t="s">
        <v>1434</v>
      </c>
      <c r="C347" s="190">
        <v>1.8120000000000047</v>
      </c>
      <c r="D347" s="190">
        <v>10.45818150090194</v>
      </c>
      <c r="E347" s="190">
        <v>0.17326147952621909</v>
      </c>
      <c r="F347" s="190">
        <v>0.86273781849507514</v>
      </c>
      <c r="G347" s="193" t="s">
        <v>352</v>
      </c>
    </row>
    <row r="348" spans="2:7" x14ac:dyDescent="0.5">
      <c r="B348" s="160" t="s">
        <v>1435</v>
      </c>
      <c r="C348" s="190">
        <v>26.673599999999986</v>
      </c>
      <c r="D348" s="190">
        <v>10.45818150090194</v>
      </c>
      <c r="E348" s="190">
        <v>2.5505007727872755</v>
      </c>
      <c r="F348" s="190">
        <v>1.2015108521811669E-2</v>
      </c>
      <c r="G348" s="193" t="s">
        <v>351</v>
      </c>
    </row>
    <row r="349" spans="2:7" x14ac:dyDescent="0.5">
      <c r="B349" s="160" t="s">
        <v>1436</v>
      </c>
      <c r="C349" s="190">
        <v>24.756000000000007</v>
      </c>
      <c r="D349" s="190">
        <v>10.45818150090194</v>
      </c>
      <c r="E349" s="190">
        <v>2.3671419355138354</v>
      </c>
      <c r="F349" s="190">
        <v>1.9525941507848549E-2</v>
      </c>
      <c r="G349" s="193" t="s">
        <v>351</v>
      </c>
    </row>
    <row r="350" spans="2:7" x14ac:dyDescent="0.5">
      <c r="B350" s="160" t="s">
        <v>1437</v>
      </c>
      <c r="C350" s="190">
        <v>18.755999999999986</v>
      </c>
      <c r="D350" s="190">
        <v>10.45818150090194</v>
      </c>
      <c r="E350" s="190">
        <v>1.793428427148871</v>
      </c>
      <c r="F350" s="190">
        <v>7.54230928420484E-2</v>
      </c>
      <c r="G350" s="193" t="s">
        <v>352</v>
      </c>
    </row>
    <row r="351" spans="2:7" x14ac:dyDescent="0.5">
      <c r="B351" s="160" t="s">
        <v>1438</v>
      </c>
      <c r="C351" s="190">
        <v>17.764799999999994</v>
      </c>
      <c r="D351" s="190">
        <v>10.45818150090194</v>
      </c>
      <c r="E351" s="190">
        <v>1.69865095556698</v>
      </c>
      <c r="F351" s="190">
        <v>9.1976303029205189E-2</v>
      </c>
      <c r="G351" s="193" t="s">
        <v>352</v>
      </c>
    </row>
    <row r="352" spans="2:7" x14ac:dyDescent="0.5">
      <c r="B352" s="160" t="s">
        <v>1439</v>
      </c>
      <c r="C352" s="190">
        <v>14.550599999999982</v>
      </c>
      <c r="D352" s="190">
        <v>10.45818150090194</v>
      </c>
      <c r="E352" s="190">
        <v>1.3913126291358684</v>
      </c>
      <c r="F352" s="190">
        <v>0.166704687174553</v>
      </c>
      <c r="G352" s="193" t="s">
        <v>352</v>
      </c>
    </row>
    <row r="353" spans="2:7" x14ac:dyDescent="0.5">
      <c r="B353" s="160" t="s">
        <v>1076</v>
      </c>
      <c r="C353" s="190">
        <v>14.375999999999998</v>
      </c>
      <c r="D353" s="190">
        <v>10.45818150090194</v>
      </c>
      <c r="E353" s="190">
        <v>1.3746175660424496</v>
      </c>
      <c r="F353" s="190">
        <v>0.17181156086605728</v>
      </c>
      <c r="G353" s="193" t="s">
        <v>352</v>
      </c>
    </row>
    <row r="354" spans="2:7" x14ac:dyDescent="0.5">
      <c r="B354" s="160" t="s">
        <v>1440</v>
      </c>
      <c r="C354" s="190">
        <v>14.316000000000003</v>
      </c>
      <c r="D354" s="190">
        <v>10.45818150090194</v>
      </c>
      <c r="E354" s="190">
        <v>1.3688804309588005</v>
      </c>
      <c r="F354" s="190">
        <v>0.17359360254272571</v>
      </c>
      <c r="G354" s="193" t="s">
        <v>352</v>
      </c>
    </row>
    <row r="355" spans="2:7" x14ac:dyDescent="0.5">
      <c r="B355" s="160" t="s">
        <v>1441</v>
      </c>
      <c r="C355" s="190">
        <v>8.4960000000000058</v>
      </c>
      <c r="D355" s="190">
        <v>10.45818150090194</v>
      </c>
      <c r="E355" s="190">
        <v>0.81237832784478725</v>
      </c>
      <c r="F355" s="190">
        <v>0.41818326763497948</v>
      </c>
      <c r="G355" s="193" t="s">
        <v>352</v>
      </c>
    </row>
    <row r="356" spans="2:7" x14ac:dyDescent="0.5">
      <c r="B356" s="160" t="s">
        <v>1442</v>
      </c>
      <c r="C356" s="190">
        <v>5.6159999999999997</v>
      </c>
      <c r="D356" s="190">
        <v>10.45818150090194</v>
      </c>
      <c r="E356" s="190">
        <v>0.53699584382960475</v>
      </c>
      <c r="F356" s="190">
        <v>0.5922647616739134</v>
      </c>
      <c r="G356" s="193" t="s">
        <v>352</v>
      </c>
    </row>
    <row r="357" spans="2:7" x14ac:dyDescent="0.5">
      <c r="B357" s="160" t="s">
        <v>1069</v>
      </c>
      <c r="C357" s="190">
        <v>4.6914000000000122</v>
      </c>
      <c r="D357" s="190">
        <v>10.45818150090194</v>
      </c>
      <c r="E357" s="190">
        <v>0.44858659219056524</v>
      </c>
      <c r="F357" s="190">
        <v>0.65453888244992919</v>
      </c>
      <c r="G357" s="193" t="s">
        <v>352</v>
      </c>
    </row>
    <row r="358" spans="2:7" x14ac:dyDescent="0.5">
      <c r="B358" s="160" t="s">
        <v>1077</v>
      </c>
      <c r="C358" s="190">
        <v>1.3859999999999992</v>
      </c>
      <c r="D358" s="190">
        <v>10.45818150090194</v>
      </c>
      <c r="E358" s="190">
        <v>0.13252782043230624</v>
      </c>
      <c r="F358" s="190">
        <v>0.89478878777384141</v>
      </c>
      <c r="G358" s="193" t="s">
        <v>352</v>
      </c>
    </row>
    <row r="359" spans="2:7" x14ac:dyDescent="0.5">
      <c r="B359" s="160" t="s">
        <v>1443</v>
      </c>
      <c r="C359" s="190">
        <v>1.2959999999999852</v>
      </c>
      <c r="D359" s="190">
        <v>10.45818150090194</v>
      </c>
      <c r="E359" s="190">
        <v>0.12392211780683045</v>
      </c>
      <c r="F359" s="190">
        <v>0.90158427398050234</v>
      </c>
      <c r="G359" s="193" t="s">
        <v>352</v>
      </c>
    </row>
    <row r="360" spans="2:7" x14ac:dyDescent="0.5">
      <c r="B360" s="160" t="s">
        <v>1444</v>
      </c>
      <c r="C360" s="190">
        <v>25.377600000000001</v>
      </c>
      <c r="D360" s="190">
        <v>10.45818150090194</v>
      </c>
      <c r="E360" s="190">
        <v>2.4265786549804451</v>
      </c>
      <c r="F360" s="190">
        <v>1.6729128684524239E-2</v>
      </c>
      <c r="G360" s="193" t="s">
        <v>351</v>
      </c>
    </row>
    <row r="361" spans="2:7" x14ac:dyDescent="0.5">
      <c r="B361" s="160" t="s">
        <v>1445</v>
      </c>
      <c r="C361" s="190">
        <v>23.460000000000022</v>
      </c>
      <c r="D361" s="190">
        <v>10.45818150090194</v>
      </c>
      <c r="E361" s="190">
        <v>2.2432198177070051</v>
      </c>
      <c r="F361" s="190">
        <v>2.6717672330937938E-2</v>
      </c>
      <c r="G361" s="193" t="s">
        <v>351</v>
      </c>
    </row>
    <row r="362" spans="2:7" x14ac:dyDescent="0.5">
      <c r="B362" s="160" t="s">
        <v>1446</v>
      </c>
      <c r="C362" s="190">
        <v>17.46</v>
      </c>
      <c r="D362" s="190">
        <v>10.45818150090194</v>
      </c>
      <c r="E362" s="190">
        <v>1.6695063093420406</v>
      </c>
      <c r="F362" s="190">
        <v>9.7623834970362713E-2</v>
      </c>
      <c r="G362" s="193" t="s">
        <v>352</v>
      </c>
    </row>
    <row r="363" spans="2:7" x14ac:dyDescent="0.5">
      <c r="B363" s="160" t="s">
        <v>1447</v>
      </c>
      <c r="C363" s="190">
        <v>16.468800000000009</v>
      </c>
      <c r="D363" s="190">
        <v>10.45818150090194</v>
      </c>
      <c r="E363" s="190">
        <v>1.5747288377601496</v>
      </c>
      <c r="F363" s="190">
        <v>0.11795186647057436</v>
      </c>
      <c r="G363" s="193" t="s">
        <v>352</v>
      </c>
    </row>
    <row r="364" spans="2:7" x14ac:dyDescent="0.5">
      <c r="B364" s="160" t="s">
        <v>1448</v>
      </c>
      <c r="C364" s="190">
        <v>13.254599999999996</v>
      </c>
      <c r="D364" s="190">
        <v>10.45818150090194</v>
      </c>
      <c r="E364" s="190">
        <v>1.267390511329038</v>
      </c>
      <c r="F364" s="190">
        <v>0.20746963765795459</v>
      </c>
      <c r="G364" s="193" t="s">
        <v>352</v>
      </c>
    </row>
    <row r="365" spans="2:7" x14ac:dyDescent="0.5">
      <c r="B365" s="160" t="s">
        <v>1013</v>
      </c>
      <c r="C365" s="190">
        <v>13.080000000000013</v>
      </c>
      <c r="D365" s="190">
        <v>10.45818150090194</v>
      </c>
      <c r="E365" s="190">
        <v>1.2506954482356192</v>
      </c>
      <c r="F365" s="190">
        <v>0.2134787584399003</v>
      </c>
      <c r="G365" s="193" t="s">
        <v>352</v>
      </c>
    </row>
    <row r="366" spans="2:7" x14ac:dyDescent="0.5">
      <c r="B366" s="160" t="s">
        <v>1449</v>
      </c>
      <c r="C366" s="190">
        <v>13.020000000000017</v>
      </c>
      <c r="D366" s="190">
        <v>10.45818150090194</v>
      </c>
      <c r="E366" s="190">
        <v>1.2449583131519699</v>
      </c>
      <c r="F366" s="190">
        <v>0.21557283312401199</v>
      </c>
      <c r="G366" s="193" t="s">
        <v>352</v>
      </c>
    </row>
    <row r="367" spans="2:7" x14ac:dyDescent="0.5">
      <c r="B367" s="160" t="s">
        <v>1450</v>
      </c>
      <c r="C367" s="190">
        <v>7.2000000000000206</v>
      </c>
      <c r="D367" s="190">
        <v>10.45818150090194</v>
      </c>
      <c r="E367" s="190">
        <v>0.68845621003795687</v>
      </c>
      <c r="F367" s="190">
        <v>0.49249434302339734</v>
      </c>
      <c r="G367" s="199" t="s">
        <v>352</v>
      </c>
    </row>
    <row r="368" spans="2:7" x14ac:dyDescent="0.5">
      <c r="B368" s="160" t="s">
        <v>1017</v>
      </c>
      <c r="C368" s="190">
        <v>4.3200000000000145</v>
      </c>
      <c r="D368" s="190">
        <v>10.45818150090194</v>
      </c>
      <c r="E368" s="190">
        <v>0.41307372602277431</v>
      </c>
      <c r="F368" s="190">
        <v>0.68028977104648536</v>
      </c>
      <c r="G368" s="193" t="s">
        <v>352</v>
      </c>
    </row>
    <row r="369" spans="2:7" x14ac:dyDescent="0.5">
      <c r="B369" s="160" t="s">
        <v>1006</v>
      </c>
      <c r="C369" s="190">
        <v>3.3954000000000271</v>
      </c>
      <c r="D369" s="190">
        <v>10.45818150090194</v>
      </c>
      <c r="E369" s="190">
        <v>0.3246644743837348</v>
      </c>
      <c r="F369" s="190">
        <v>0.74600031434870628</v>
      </c>
      <c r="G369" s="193" t="s">
        <v>352</v>
      </c>
    </row>
    <row r="370" spans="2:7" x14ac:dyDescent="0.5">
      <c r="B370" s="160" t="s">
        <v>1014</v>
      </c>
      <c r="C370" s="190">
        <v>9.0000000000014069E-2</v>
      </c>
      <c r="D370" s="190">
        <v>10.45818150090194</v>
      </c>
      <c r="E370" s="190">
        <v>8.6057026254757803E-3</v>
      </c>
      <c r="F370" s="190">
        <v>0.99314801787466545</v>
      </c>
      <c r="G370" s="193" t="s">
        <v>352</v>
      </c>
    </row>
    <row r="371" spans="2:7" x14ac:dyDescent="0.5">
      <c r="B371" s="160" t="s">
        <v>1451</v>
      </c>
      <c r="C371" s="190">
        <v>25.287599999999987</v>
      </c>
      <c r="D371" s="190">
        <v>10.45818150090194</v>
      </c>
      <c r="E371" s="190">
        <v>2.4179729523549693</v>
      </c>
      <c r="F371" s="190">
        <v>1.7110665647020188E-2</v>
      </c>
      <c r="G371" s="193" t="s">
        <v>351</v>
      </c>
    </row>
    <row r="372" spans="2:7" x14ac:dyDescent="0.5">
      <c r="B372" s="160" t="s">
        <v>1452</v>
      </c>
      <c r="C372" s="190">
        <v>23.370000000000008</v>
      </c>
      <c r="D372" s="190">
        <v>10.45818150090194</v>
      </c>
      <c r="E372" s="190">
        <v>2.2346141150815293</v>
      </c>
      <c r="F372" s="190">
        <v>2.7293850239644743E-2</v>
      </c>
      <c r="G372" s="193" t="s">
        <v>351</v>
      </c>
    </row>
    <row r="373" spans="2:7" x14ac:dyDescent="0.5">
      <c r="B373" s="160" t="s">
        <v>1453</v>
      </c>
      <c r="C373" s="190">
        <v>17.369999999999987</v>
      </c>
      <c r="D373" s="190">
        <v>10.45818150090194</v>
      </c>
      <c r="E373" s="190">
        <v>1.6609006067165648</v>
      </c>
      <c r="F373" s="190">
        <v>9.9344065671767845E-2</v>
      </c>
      <c r="G373" s="193" t="s">
        <v>352</v>
      </c>
    </row>
    <row r="374" spans="2:7" x14ac:dyDescent="0.5">
      <c r="B374" s="160" t="s">
        <v>1454</v>
      </c>
      <c r="C374" s="190">
        <v>16.378799999999995</v>
      </c>
      <c r="D374" s="190">
        <v>10.45818150090194</v>
      </c>
      <c r="E374" s="190">
        <v>1.5661231351346738</v>
      </c>
      <c r="F374" s="190">
        <v>0.11995310198330951</v>
      </c>
      <c r="G374" s="193" t="s">
        <v>352</v>
      </c>
    </row>
    <row r="375" spans="2:7" x14ac:dyDescent="0.5">
      <c r="B375" s="160" t="s">
        <v>1455</v>
      </c>
      <c r="C375" s="190">
        <v>13.164599999999982</v>
      </c>
      <c r="D375" s="190">
        <v>10.45818150090194</v>
      </c>
      <c r="E375" s="190">
        <v>1.2587848087035622</v>
      </c>
      <c r="F375" s="190">
        <v>0.21055142439066032</v>
      </c>
      <c r="G375" s="193" t="s">
        <v>352</v>
      </c>
    </row>
    <row r="376" spans="2:7" x14ac:dyDescent="0.5">
      <c r="B376" s="160" t="s">
        <v>1095</v>
      </c>
      <c r="C376" s="190">
        <v>12.989999999999998</v>
      </c>
      <c r="D376" s="190">
        <v>10.45818150090194</v>
      </c>
      <c r="E376" s="190">
        <v>1.2420897456101434</v>
      </c>
      <c r="F376" s="190">
        <v>0.21662547137416632</v>
      </c>
      <c r="G376" s="193" t="s">
        <v>352</v>
      </c>
    </row>
    <row r="377" spans="2:7" x14ac:dyDescent="0.5">
      <c r="B377" s="160" t="s">
        <v>1456</v>
      </c>
      <c r="C377" s="190">
        <v>12.930000000000003</v>
      </c>
      <c r="D377" s="190">
        <v>10.45818150090194</v>
      </c>
      <c r="E377" s="190">
        <v>1.2363526105264941</v>
      </c>
      <c r="F377" s="190">
        <v>0.21874197404320703</v>
      </c>
      <c r="G377" s="193" t="s">
        <v>352</v>
      </c>
    </row>
    <row r="378" spans="2:7" x14ac:dyDescent="0.5">
      <c r="B378" s="160" t="s">
        <v>1457</v>
      </c>
      <c r="C378" s="190">
        <v>7.1100000000000065</v>
      </c>
      <c r="D378" s="190">
        <v>10.45818150090194</v>
      </c>
      <c r="E378" s="190">
        <v>0.6798505074124811</v>
      </c>
      <c r="F378" s="190">
        <v>0.49790854044055671</v>
      </c>
      <c r="G378" s="193" t="s">
        <v>352</v>
      </c>
    </row>
    <row r="379" spans="2:7" x14ac:dyDescent="0.5">
      <c r="B379" s="160" t="s">
        <v>1458</v>
      </c>
      <c r="C379" s="190">
        <v>4.2300000000000004</v>
      </c>
      <c r="D379" s="190">
        <v>10.45818150090194</v>
      </c>
      <c r="E379" s="190">
        <v>0.40446802339729854</v>
      </c>
      <c r="F379" s="190">
        <v>0.68658859789819671</v>
      </c>
      <c r="G379" s="193" t="s">
        <v>352</v>
      </c>
    </row>
    <row r="380" spans="2:7" x14ac:dyDescent="0.5">
      <c r="B380" s="160" t="s">
        <v>1088</v>
      </c>
      <c r="C380" s="190">
        <v>3.305400000000013</v>
      </c>
      <c r="D380" s="190">
        <v>10.45818150090194</v>
      </c>
      <c r="E380" s="190">
        <v>0.31605877175825903</v>
      </c>
      <c r="F380" s="190">
        <v>0.75250697477849615</v>
      </c>
      <c r="G380" s="193" t="s">
        <v>352</v>
      </c>
    </row>
    <row r="381" spans="2:7" x14ac:dyDescent="0.5">
      <c r="B381" s="160" t="s">
        <v>1459</v>
      </c>
      <c r="C381" s="190">
        <v>21.982199999999974</v>
      </c>
      <c r="D381" s="190">
        <v>10.45818150090194</v>
      </c>
      <c r="E381" s="190">
        <v>2.1019141805967103</v>
      </c>
      <c r="F381" s="190">
        <v>3.7652076125302171E-2</v>
      </c>
      <c r="G381" s="193" t="s">
        <v>351</v>
      </c>
    </row>
    <row r="382" spans="2:7" x14ac:dyDescent="0.5">
      <c r="B382" s="160" t="s">
        <v>1460</v>
      </c>
      <c r="C382" s="190">
        <v>20.064599999999995</v>
      </c>
      <c r="D382" s="190">
        <v>10.45818150090194</v>
      </c>
      <c r="E382" s="190">
        <v>1.9185553433232703</v>
      </c>
      <c r="F382" s="190">
        <v>5.7416080191948875E-2</v>
      </c>
      <c r="G382" s="193" t="s">
        <v>352</v>
      </c>
    </row>
    <row r="383" spans="2:7" x14ac:dyDescent="0.5">
      <c r="B383" s="160" t="s">
        <v>1461</v>
      </c>
      <c r="C383" s="190">
        <v>14.064599999999974</v>
      </c>
      <c r="D383" s="190">
        <v>10.45818150090194</v>
      </c>
      <c r="E383" s="190">
        <v>1.3448418349583058</v>
      </c>
      <c r="F383" s="190">
        <v>0.18121262269086497</v>
      </c>
      <c r="G383" s="193" t="s">
        <v>352</v>
      </c>
    </row>
    <row r="384" spans="2:7" x14ac:dyDescent="0.5">
      <c r="B384" s="160" t="s">
        <v>1462</v>
      </c>
      <c r="C384" s="190">
        <v>13.073399999999982</v>
      </c>
      <c r="D384" s="190">
        <v>10.45818150090194</v>
      </c>
      <c r="E384" s="190">
        <v>1.2500643633764148</v>
      </c>
      <c r="F384" s="190">
        <v>0.21370837644314819</v>
      </c>
      <c r="G384" s="193" t="s">
        <v>352</v>
      </c>
    </row>
    <row r="385" spans="2:7" x14ac:dyDescent="0.5">
      <c r="B385" s="160" t="s">
        <v>1463</v>
      </c>
      <c r="C385" s="190">
        <v>9.8591999999999693</v>
      </c>
      <c r="D385" s="190">
        <v>10.45818150090194</v>
      </c>
      <c r="E385" s="190">
        <v>0.94272603694530321</v>
      </c>
      <c r="F385" s="190">
        <v>0.34771513468284621</v>
      </c>
      <c r="G385" s="193" t="s">
        <v>352</v>
      </c>
    </row>
    <row r="386" spans="2:7" x14ac:dyDescent="0.5">
      <c r="B386" s="160" t="s">
        <v>1464</v>
      </c>
      <c r="C386" s="190">
        <v>9.6845999999999854</v>
      </c>
      <c r="D386" s="190">
        <v>10.45818150090194</v>
      </c>
      <c r="E386" s="190">
        <v>0.92603097385188438</v>
      </c>
      <c r="F386" s="190">
        <v>0.35628850772252052</v>
      </c>
      <c r="G386" s="193" t="s">
        <v>352</v>
      </c>
    </row>
    <row r="387" spans="2:7" x14ac:dyDescent="0.5">
      <c r="B387" s="160" t="s">
        <v>1465</v>
      </c>
      <c r="C387" s="190">
        <v>9.6245999999999903</v>
      </c>
      <c r="D387" s="190">
        <v>10.45818150090194</v>
      </c>
      <c r="E387" s="190">
        <v>0.92029383876823523</v>
      </c>
      <c r="F387" s="190">
        <v>0.35926557385432834</v>
      </c>
      <c r="G387" s="193" t="s">
        <v>352</v>
      </c>
    </row>
    <row r="388" spans="2:7" x14ac:dyDescent="0.5">
      <c r="B388" s="160" t="s">
        <v>1466</v>
      </c>
      <c r="C388" s="190">
        <v>3.8045999999999935</v>
      </c>
      <c r="D388" s="190">
        <v>10.45818150090194</v>
      </c>
      <c r="E388" s="190">
        <v>0.36379173565422201</v>
      </c>
      <c r="F388" s="190">
        <v>0.71665368833846022</v>
      </c>
      <c r="G388" s="193" t="s">
        <v>352</v>
      </c>
    </row>
    <row r="389" spans="2:7" x14ac:dyDescent="0.5">
      <c r="B389" s="160" t="s">
        <v>1467</v>
      </c>
      <c r="C389" s="190">
        <v>0.92459999999998743</v>
      </c>
      <c r="D389" s="190">
        <v>10.45818150090194</v>
      </c>
      <c r="E389" s="190">
        <v>8.8409251639039496E-2</v>
      </c>
      <c r="F389" s="190">
        <v>0.92969878235573966</v>
      </c>
      <c r="G389" s="193" t="s">
        <v>352</v>
      </c>
    </row>
    <row r="390" spans="2:7" x14ac:dyDescent="0.5">
      <c r="B390" s="160" t="s">
        <v>1468</v>
      </c>
      <c r="C390" s="190">
        <v>21.057599999999987</v>
      </c>
      <c r="D390" s="190">
        <v>10.45818150090194</v>
      </c>
      <c r="E390" s="190">
        <v>2.0135049289576705</v>
      </c>
      <c r="F390" s="190">
        <v>4.6298844797902854E-2</v>
      </c>
      <c r="G390" s="193" t="s">
        <v>351</v>
      </c>
    </row>
    <row r="391" spans="2:7" x14ac:dyDescent="0.5">
      <c r="B391" s="160" t="s">
        <v>1469</v>
      </c>
      <c r="C391" s="190">
        <v>19.140000000000008</v>
      </c>
      <c r="D391" s="190">
        <v>10.45818150090194</v>
      </c>
      <c r="E391" s="190">
        <v>1.8301460916842307</v>
      </c>
      <c r="F391" s="190">
        <v>6.9709912349358694E-2</v>
      </c>
      <c r="G391" s="193" t="s">
        <v>352</v>
      </c>
    </row>
    <row r="392" spans="2:7" x14ac:dyDescent="0.5">
      <c r="B392" s="160" t="s">
        <v>1470</v>
      </c>
      <c r="C392" s="190">
        <v>13.139999999999986</v>
      </c>
      <c r="D392" s="190">
        <v>10.45818150090194</v>
      </c>
      <c r="E392" s="190">
        <v>1.2564325833192662</v>
      </c>
      <c r="F392" s="190">
        <v>0.21139958653172836</v>
      </c>
      <c r="G392" s="193" t="s">
        <v>352</v>
      </c>
    </row>
    <row r="393" spans="2:7" x14ac:dyDescent="0.5">
      <c r="B393" s="160" t="s">
        <v>1471</v>
      </c>
      <c r="C393" s="190">
        <v>12.148799999999994</v>
      </c>
      <c r="D393" s="190">
        <v>10.45818150090194</v>
      </c>
      <c r="E393" s="190">
        <v>1.1616551117373752</v>
      </c>
      <c r="F393" s="190">
        <v>0.24768095631495476</v>
      </c>
      <c r="G393" s="193" t="s">
        <v>352</v>
      </c>
    </row>
    <row r="394" spans="2:7" x14ac:dyDescent="0.5">
      <c r="B394" s="160" t="s">
        <v>1472</v>
      </c>
      <c r="C394" s="190">
        <v>8.9345999999999819</v>
      </c>
      <c r="D394" s="190">
        <v>10.45818150090194</v>
      </c>
      <c r="E394" s="190">
        <v>0.85431678530626376</v>
      </c>
      <c r="F394" s="190">
        <v>0.39463178771341073</v>
      </c>
      <c r="G394" s="193" t="s">
        <v>352</v>
      </c>
    </row>
    <row r="395" spans="2:7" x14ac:dyDescent="0.5">
      <c r="B395" s="160" t="s">
        <v>1035</v>
      </c>
      <c r="C395" s="190">
        <v>8.759999999999998</v>
      </c>
      <c r="D395" s="190">
        <v>10.45818150090194</v>
      </c>
      <c r="E395" s="190">
        <v>0.83762172221284492</v>
      </c>
      <c r="F395" s="190">
        <v>0.40390836804638369</v>
      </c>
      <c r="G395" s="193" t="s">
        <v>352</v>
      </c>
    </row>
    <row r="396" spans="2:7" x14ac:dyDescent="0.5">
      <c r="B396" s="160" t="s">
        <v>1473</v>
      </c>
      <c r="C396" s="190">
        <v>8.7000000000000028</v>
      </c>
      <c r="D396" s="190">
        <v>10.45818150090194</v>
      </c>
      <c r="E396" s="190">
        <v>0.83188458712919577</v>
      </c>
      <c r="F396" s="190">
        <v>0.40712646818491655</v>
      </c>
      <c r="G396" s="193" t="s">
        <v>352</v>
      </c>
    </row>
    <row r="397" spans="2:7" x14ac:dyDescent="0.5">
      <c r="B397" s="160" t="s">
        <v>1474</v>
      </c>
      <c r="C397" s="190">
        <v>2.8800000000000061</v>
      </c>
      <c r="D397" s="190">
        <v>10.45818150090194</v>
      </c>
      <c r="E397" s="190">
        <v>0.2753824840151825</v>
      </c>
      <c r="F397" s="190">
        <v>0.78349601945691749</v>
      </c>
      <c r="G397" s="193" t="s">
        <v>352</v>
      </c>
    </row>
    <row r="398" spans="2:7" x14ac:dyDescent="0.5">
      <c r="B398" s="160" t="s">
        <v>1475</v>
      </c>
      <c r="C398" s="190">
        <v>18.17759999999998</v>
      </c>
      <c r="D398" s="190">
        <v>10.45818150090194</v>
      </c>
      <c r="E398" s="190">
        <v>1.7381224449424881</v>
      </c>
      <c r="F398" s="190">
        <v>8.4754386060683182E-2</v>
      </c>
      <c r="G398" s="193" t="s">
        <v>352</v>
      </c>
    </row>
    <row r="399" spans="2:7" x14ac:dyDescent="0.5">
      <c r="B399" s="160" t="s">
        <v>1476</v>
      </c>
      <c r="C399" s="190">
        <v>16.260000000000002</v>
      </c>
      <c r="D399" s="190">
        <v>10.45818150090194</v>
      </c>
      <c r="E399" s="190">
        <v>1.5547636076690481</v>
      </c>
      <c r="F399" s="190">
        <v>0.12263585005606843</v>
      </c>
      <c r="G399" s="193" t="s">
        <v>352</v>
      </c>
    </row>
    <row r="400" spans="2:7" x14ac:dyDescent="0.5">
      <c r="B400" s="160" t="s">
        <v>972</v>
      </c>
      <c r="C400" s="190">
        <v>10.25999999999998</v>
      </c>
      <c r="D400" s="190">
        <v>10.45818150090194</v>
      </c>
      <c r="E400" s="190">
        <v>0.98105009930408382</v>
      </c>
      <c r="F400" s="190">
        <v>0.32854182202765025</v>
      </c>
      <c r="G400" s="193" t="s">
        <v>352</v>
      </c>
    </row>
    <row r="401" spans="2:7" x14ac:dyDescent="0.5">
      <c r="B401" s="160" t="s">
        <v>1477</v>
      </c>
      <c r="C401" s="190">
        <v>9.2687999999999882</v>
      </c>
      <c r="D401" s="190">
        <v>10.45818150090194</v>
      </c>
      <c r="E401" s="190">
        <v>0.88627262772219273</v>
      </c>
      <c r="F401" s="190">
        <v>0.37724329999032175</v>
      </c>
      <c r="G401" s="193" t="s">
        <v>352</v>
      </c>
    </row>
    <row r="402" spans="2:7" x14ac:dyDescent="0.5">
      <c r="B402" s="160" t="s">
        <v>1478</v>
      </c>
      <c r="C402" s="190">
        <v>6.0545999999999758</v>
      </c>
      <c r="D402" s="190">
        <v>10.45818150090194</v>
      </c>
      <c r="E402" s="190">
        <v>0.57893430129108125</v>
      </c>
      <c r="F402" s="190">
        <v>0.56371861685197755</v>
      </c>
      <c r="G402" s="193" t="s">
        <v>352</v>
      </c>
    </row>
    <row r="403" spans="2:7" x14ac:dyDescent="0.5">
      <c r="B403" s="160" t="s">
        <v>966</v>
      </c>
      <c r="C403" s="190">
        <v>5.8799999999999919</v>
      </c>
      <c r="D403" s="190">
        <v>10.45818150090194</v>
      </c>
      <c r="E403" s="190">
        <v>0.56223923819766231</v>
      </c>
      <c r="F403" s="190">
        <v>0.5750017807167761</v>
      </c>
      <c r="G403" s="193" t="s">
        <v>352</v>
      </c>
    </row>
    <row r="404" spans="2:7" x14ac:dyDescent="0.5">
      <c r="B404" s="160" t="s">
        <v>1479</v>
      </c>
      <c r="C404" s="190">
        <v>5.8199999999999967</v>
      </c>
      <c r="D404" s="190">
        <v>10.45818150090194</v>
      </c>
      <c r="E404" s="190">
        <v>0.55650210311401316</v>
      </c>
      <c r="F404" s="190">
        <v>0.57890397165797935</v>
      </c>
      <c r="G404" s="193" t="s">
        <v>352</v>
      </c>
    </row>
    <row r="405" spans="2:7" x14ac:dyDescent="0.5">
      <c r="B405" s="160" t="s">
        <v>1480</v>
      </c>
      <c r="C405" s="190">
        <v>12.357599999999984</v>
      </c>
      <c r="D405" s="190">
        <v>10.45818150090194</v>
      </c>
      <c r="E405" s="190">
        <v>1.181620341828475</v>
      </c>
      <c r="F405" s="190">
        <v>0.23969275603530868</v>
      </c>
      <c r="G405" s="193" t="s">
        <v>352</v>
      </c>
    </row>
    <row r="406" spans="2:7" x14ac:dyDescent="0.5">
      <c r="B406" s="160" t="s">
        <v>1481</v>
      </c>
      <c r="C406" s="190">
        <v>10.440000000000005</v>
      </c>
      <c r="D406" s="190">
        <v>10.45818150090194</v>
      </c>
      <c r="E406" s="190">
        <v>0.99826150455503504</v>
      </c>
      <c r="F406" s="190">
        <v>0.32016128876347283</v>
      </c>
      <c r="G406" s="193" t="s">
        <v>352</v>
      </c>
    </row>
    <row r="407" spans="2:7" x14ac:dyDescent="0.5">
      <c r="B407" s="160" t="s">
        <v>894</v>
      </c>
      <c r="C407" s="190">
        <v>4.4399999999999835</v>
      </c>
      <c r="D407" s="190">
        <v>10.45818150090194</v>
      </c>
      <c r="E407" s="190">
        <v>0.42454799619007061</v>
      </c>
      <c r="F407" s="190">
        <v>0.67192640977032725</v>
      </c>
      <c r="G407" s="193" t="s">
        <v>352</v>
      </c>
    </row>
    <row r="408" spans="2:7" x14ac:dyDescent="0.5">
      <c r="B408" s="160" t="s">
        <v>896</v>
      </c>
      <c r="C408" s="190">
        <v>3.4487999999999914</v>
      </c>
      <c r="D408" s="190">
        <v>10.45818150090194</v>
      </c>
      <c r="E408" s="190">
        <v>0.32977052460817957</v>
      </c>
      <c r="F408" s="190">
        <v>0.74214831312704588</v>
      </c>
      <c r="G408" s="193" t="s">
        <v>352</v>
      </c>
    </row>
    <row r="409" spans="2:7" x14ac:dyDescent="0.5">
      <c r="B409" s="160" t="s">
        <v>897</v>
      </c>
      <c r="C409" s="190">
        <v>0.23459999999997905</v>
      </c>
      <c r="D409" s="190">
        <v>10.45818150090194</v>
      </c>
      <c r="E409" s="190">
        <v>2.2432198177068024E-2</v>
      </c>
      <c r="F409" s="190">
        <v>0.98214045462260602</v>
      </c>
      <c r="G409" s="199" t="s">
        <v>352</v>
      </c>
    </row>
    <row r="410" spans="2:7" x14ac:dyDescent="0.5">
      <c r="B410" s="160" t="s">
        <v>888</v>
      </c>
      <c r="C410" s="190">
        <v>5.9999999999995168E-2</v>
      </c>
      <c r="D410" s="190">
        <v>10.45818150090194</v>
      </c>
      <c r="E410" s="190">
        <v>5.7371350836491614E-3</v>
      </c>
      <c r="F410" s="190">
        <v>0.99543198033132685</v>
      </c>
      <c r="G410" s="193" t="s">
        <v>352</v>
      </c>
    </row>
    <row r="411" spans="2:7" x14ac:dyDescent="0.5">
      <c r="B411" s="160" t="s">
        <v>1482</v>
      </c>
      <c r="C411" s="190">
        <v>12.297599999999989</v>
      </c>
      <c r="D411" s="190">
        <v>10.45818150090194</v>
      </c>
      <c r="E411" s="190">
        <v>1.1758832067448257</v>
      </c>
      <c r="F411" s="190">
        <v>0.24196915122136331</v>
      </c>
      <c r="G411" s="193" t="s">
        <v>352</v>
      </c>
    </row>
    <row r="412" spans="2:7" x14ac:dyDescent="0.5">
      <c r="B412" s="160" t="s">
        <v>1483</v>
      </c>
      <c r="C412" s="190">
        <v>10.38000000000001</v>
      </c>
      <c r="D412" s="190">
        <v>10.45818150090194</v>
      </c>
      <c r="E412" s="190">
        <v>0.99252436947138589</v>
      </c>
      <c r="F412" s="190">
        <v>0.32293893634080417</v>
      </c>
      <c r="G412" s="193" t="s">
        <v>352</v>
      </c>
    </row>
    <row r="413" spans="2:7" x14ac:dyDescent="0.5">
      <c r="B413" s="160" t="s">
        <v>1484</v>
      </c>
      <c r="C413" s="190">
        <v>4.3799999999999883</v>
      </c>
      <c r="D413" s="190">
        <v>10.45818150090194</v>
      </c>
      <c r="E413" s="190">
        <v>0.41881086110642141</v>
      </c>
      <c r="F413" s="190">
        <v>0.67610303213621925</v>
      </c>
      <c r="G413" s="193" t="s">
        <v>352</v>
      </c>
    </row>
    <row r="414" spans="2:7" x14ac:dyDescent="0.5">
      <c r="B414" s="160" t="s">
        <v>1485</v>
      </c>
      <c r="C414" s="190">
        <v>3.3887999999999963</v>
      </c>
      <c r="D414" s="190">
        <v>10.45818150090194</v>
      </c>
      <c r="E414" s="190">
        <v>0.32403338952453037</v>
      </c>
      <c r="F414" s="190">
        <v>0.74647685328784252</v>
      </c>
      <c r="G414" s="193" t="s">
        <v>352</v>
      </c>
    </row>
    <row r="415" spans="2:7" x14ac:dyDescent="0.5">
      <c r="B415" s="160" t="s">
        <v>1486</v>
      </c>
      <c r="C415" s="190">
        <v>0.17459999999998388</v>
      </c>
      <c r="D415" s="190">
        <v>10.45818150090194</v>
      </c>
      <c r="E415" s="190">
        <v>1.6695063093418862E-2</v>
      </c>
      <c r="F415" s="190">
        <v>0.98670761187053069</v>
      </c>
      <c r="G415" s="193" t="s">
        <v>352</v>
      </c>
    </row>
    <row r="416" spans="2:7" x14ac:dyDescent="0.5">
      <c r="B416" s="160" t="s">
        <v>1487</v>
      </c>
      <c r="C416" s="190">
        <v>12.123000000000005</v>
      </c>
      <c r="D416" s="190">
        <v>10.45818150090194</v>
      </c>
      <c r="E416" s="190">
        <v>1.1591881436514069</v>
      </c>
      <c r="F416" s="190">
        <v>0.24868095260098078</v>
      </c>
      <c r="G416" s="193" t="s">
        <v>352</v>
      </c>
    </row>
    <row r="417" spans="2:11" x14ac:dyDescent="0.5">
      <c r="B417" s="160" t="s">
        <v>1488</v>
      </c>
      <c r="C417" s="190">
        <v>10.205400000000026</v>
      </c>
      <c r="D417" s="190">
        <v>10.45818150090194</v>
      </c>
      <c r="E417" s="190">
        <v>0.97582930637796694</v>
      </c>
      <c r="F417" s="190">
        <v>0.33111213755284907</v>
      </c>
      <c r="G417" s="193" t="s">
        <v>352</v>
      </c>
    </row>
    <row r="418" spans="2:11" x14ac:dyDescent="0.5">
      <c r="B418" s="160" t="s">
        <v>921</v>
      </c>
      <c r="C418" s="190">
        <v>4.2054000000000045</v>
      </c>
      <c r="D418" s="190">
        <v>10.45818150090194</v>
      </c>
      <c r="E418" s="190">
        <v>0.40211579801300257</v>
      </c>
      <c r="F418" s="190">
        <v>0.68831414239183986</v>
      </c>
      <c r="G418" s="193" t="s">
        <v>352</v>
      </c>
    </row>
    <row r="419" spans="2:11" x14ac:dyDescent="0.5">
      <c r="B419" s="160" t="s">
        <v>923</v>
      </c>
      <c r="C419" s="190">
        <v>3.2142000000000124</v>
      </c>
      <c r="D419" s="190">
        <v>10.45818150090194</v>
      </c>
      <c r="E419" s="190">
        <v>0.30733832643111153</v>
      </c>
      <c r="F419" s="190">
        <v>0.75911860186340185</v>
      </c>
      <c r="G419" s="193" t="s">
        <v>352</v>
      </c>
    </row>
    <row r="420" spans="2:11" x14ac:dyDescent="0.5">
      <c r="B420" s="160" t="s">
        <v>1489</v>
      </c>
      <c r="C420" s="190">
        <v>8.9087999999999923</v>
      </c>
      <c r="D420" s="190">
        <v>10.45818150090194</v>
      </c>
      <c r="E420" s="190">
        <v>0.8518498172202954</v>
      </c>
      <c r="F420" s="190">
        <v>0.39599427976417817</v>
      </c>
      <c r="G420" s="193" t="s">
        <v>352</v>
      </c>
    </row>
    <row r="421" spans="2:11" x14ac:dyDescent="0.5">
      <c r="B421" s="160" t="s">
        <v>1490</v>
      </c>
      <c r="C421" s="190">
        <v>6.9912000000000134</v>
      </c>
      <c r="D421" s="190">
        <v>10.45818150090194</v>
      </c>
      <c r="E421" s="190">
        <v>0.66849097994685547</v>
      </c>
      <c r="F421" s="190">
        <v>0.50510410820678586</v>
      </c>
      <c r="G421" s="193" t="s">
        <v>352</v>
      </c>
    </row>
    <row r="422" spans="2:11" x14ac:dyDescent="0.5">
      <c r="B422" s="160" t="s">
        <v>947</v>
      </c>
      <c r="C422" s="190">
        <v>0.99119999999999209</v>
      </c>
      <c r="D422" s="190">
        <v>10.45818150090194</v>
      </c>
      <c r="E422" s="190">
        <v>9.4777471581891023E-2</v>
      </c>
      <c r="F422" s="190">
        <v>0.9246496614196571</v>
      </c>
      <c r="G422" s="199" t="s">
        <v>352</v>
      </c>
    </row>
    <row r="423" spans="2:11" x14ac:dyDescent="0.5">
      <c r="B423" s="160" t="s">
        <v>1491</v>
      </c>
      <c r="C423" s="190">
        <v>7.9176000000000002</v>
      </c>
      <c r="D423" s="190">
        <v>10.45818150090194</v>
      </c>
      <c r="E423" s="190">
        <v>0.75707234563840442</v>
      </c>
      <c r="F423" s="190">
        <v>0.4504904634834565</v>
      </c>
      <c r="G423" s="193" t="s">
        <v>352</v>
      </c>
    </row>
    <row r="424" spans="2:11" x14ac:dyDescent="0.5">
      <c r="B424" s="160" t="s">
        <v>1492</v>
      </c>
      <c r="C424" s="190">
        <v>6.0000000000000213</v>
      </c>
      <c r="D424" s="190">
        <v>10.45818150090194</v>
      </c>
      <c r="E424" s="190">
        <v>0.57371350836496438</v>
      </c>
      <c r="F424" s="190">
        <v>0.56723539976784798</v>
      </c>
      <c r="G424" s="193" t="s">
        <v>352</v>
      </c>
    </row>
    <row r="425" spans="2:11" ht="14.7" thickBot="1" x14ac:dyDescent="0.55000000000000004">
      <c r="B425" s="167" t="s">
        <v>842</v>
      </c>
      <c r="C425" s="191">
        <v>1.9175999999999789</v>
      </c>
      <c r="D425" s="191">
        <v>10.45818150090194</v>
      </c>
      <c r="E425" s="191">
        <v>0.18335883727343996</v>
      </c>
      <c r="F425" s="191">
        <v>0.8548259231615235</v>
      </c>
      <c r="G425" s="200" t="s">
        <v>352</v>
      </c>
    </row>
    <row r="426" spans="2:11" x14ac:dyDescent="0.5">
      <c r="B426" s="194" t="s">
        <v>353</v>
      </c>
      <c r="E426" s="195">
        <v>5.2662518183339602</v>
      </c>
    </row>
    <row r="428" spans="2:11" ht="14.7" thickBot="1" x14ac:dyDescent="0.55000000000000004"/>
    <row r="429" spans="2:11" x14ac:dyDescent="0.5">
      <c r="B429" s="161" t="s">
        <v>354</v>
      </c>
      <c r="C429" s="162" t="s">
        <v>355</v>
      </c>
      <c r="D429" s="315" t="s">
        <v>360</v>
      </c>
      <c r="E429" s="316"/>
      <c r="F429" s="316"/>
      <c r="G429" s="316"/>
      <c r="H429" s="316"/>
      <c r="I429" s="316"/>
      <c r="J429" s="316"/>
      <c r="K429" s="316"/>
    </row>
    <row r="430" spans="2:11" x14ac:dyDescent="0.5">
      <c r="B430" s="163" t="s">
        <v>791</v>
      </c>
      <c r="C430" s="168">
        <v>46.320000000000007</v>
      </c>
      <c r="D430" s="196" t="s">
        <v>356</v>
      </c>
      <c r="E430" s="196"/>
      <c r="F430" s="196"/>
      <c r="G430" s="196"/>
      <c r="H430" s="196"/>
      <c r="I430" s="196"/>
      <c r="J430" s="196"/>
      <c r="K430" s="196"/>
    </row>
    <row r="431" spans="2:11" x14ac:dyDescent="0.5">
      <c r="B431" s="160" t="s">
        <v>786</v>
      </c>
      <c r="C431" s="169">
        <v>43.58400000000006</v>
      </c>
      <c r="D431" s="197" t="s">
        <v>356</v>
      </c>
      <c r="E431" s="197" t="s">
        <v>357</v>
      </c>
      <c r="F431" s="197"/>
      <c r="G431" s="197"/>
      <c r="H431" s="197"/>
      <c r="I431" s="197"/>
      <c r="J431" s="197"/>
      <c r="K431" s="197"/>
    </row>
    <row r="432" spans="2:11" x14ac:dyDescent="0.5">
      <c r="B432" s="160" t="s">
        <v>790</v>
      </c>
      <c r="C432" s="169">
        <v>42.870000000000005</v>
      </c>
      <c r="D432" s="197" t="s">
        <v>356</v>
      </c>
      <c r="E432" s="197" t="s">
        <v>357</v>
      </c>
      <c r="F432" s="197"/>
      <c r="G432" s="197"/>
      <c r="H432" s="197"/>
      <c r="I432" s="197"/>
      <c r="J432" s="197"/>
      <c r="K432" s="197"/>
    </row>
    <row r="433" spans="2:11" x14ac:dyDescent="0.5">
      <c r="B433" s="160" t="s">
        <v>804</v>
      </c>
      <c r="C433" s="169">
        <v>42.803999999999988</v>
      </c>
      <c r="D433" s="197" t="s">
        <v>356</v>
      </c>
      <c r="E433" s="197" t="s">
        <v>357</v>
      </c>
      <c r="F433" s="197"/>
      <c r="G433" s="197"/>
      <c r="H433" s="197"/>
      <c r="I433" s="197"/>
      <c r="J433" s="197"/>
      <c r="K433" s="197"/>
    </row>
    <row r="434" spans="2:11" x14ac:dyDescent="0.5">
      <c r="B434" s="160" t="s">
        <v>792</v>
      </c>
      <c r="C434" s="169">
        <v>39.564000000000007</v>
      </c>
      <c r="D434" s="197" t="s">
        <v>356</v>
      </c>
      <c r="E434" s="197" t="s">
        <v>357</v>
      </c>
      <c r="F434" s="197" t="s">
        <v>358</v>
      </c>
      <c r="G434" s="197"/>
      <c r="H434" s="197"/>
      <c r="I434" s="197"/>
      <c r="J434" s="197"/>
      <c r="K434" s="197"/>
    </row>
    <row r="435" spans="2:11" x14ac:dyDescent="0.5">
      <c r="B435" s="160" t="s">
        <v>793</v>
      </c>
      <c r="C435" s="169">
        <v>39.240000000000009</v>
      </c>
      <c r="D435" s="197" t="s">
        <v>356</v>
      </c>
      <c r="E435" s="197" t="s">
        <v>357</v>
      </c>
      <c r="F435" s="197" t="s">
        <v>358</v>
      </c>
      <c r="G435" s="197"/>
      <c r="H435" s="197"/>
      <c r="I435" s="197"/>
      <c r="J435" s="197"/>
      <c r="K435" s="197"/>
    </row>
    <row r="436" spans="2:11" x14ac:dyDescent="0.5">
      <c r="B436" s="160" t="s">
        <v>789</v>
      </c>
      <c r="C436" s="169">
        <v>33.480000000000011</v>
      </c>
      <c r="D436" s="197" t="s">
        <v>356</v>
      </c>
      <c r="E436" s="197" t="s">
        <v>357</v>
      </c>
      <c r="F436" s="197" t="s">
        <v>358</v>
      </c>
      <c r="G436" s="197" t="s">
        <v>2</v>
      </c>
      <c r="H436" s="197"/>
      <c r="I436" s="197"/>
      <c r="J436" s="197"/>
      <c r="K436" s="197"/>
    </row>
    <row r="437" spans="2:11" x14ac:dyDescent="0.5">
      <c r="B437" s="160" t="s">
        <v>807</v>
      </c>
      <c r="C437" s="169">
        <v>31.763999999999989</v>
      </c>
      <c r="D437" s="197" t="s">
        <v>356</v>
      </c>
      <c r="E437" s="197" t="s">
        <v>357</v>
      </c>
      <c r="F437" s="197" t="s">
        <v>358</v>
      </c>
      <c r="G437" s="197" t="s">
        <v>2</v>
      </c>
      <c r="H437" s="197"/>
      <c r="I437" s="197"/>
      <c r="J437" s="197"/>
      <c r="K437" s="197"/>
    </row>
    <row r="438" spans="2:11" x14ac:dyDescent="0.5">
      <c r="B438" s="160" t="s">
        <v>795</v>
      </c>
      <c r="C438" s="169">
        <v>29.292000000000009</v>
      </c>
      <c r="D438" s="197" t="s">
        <v>356</v>
      </c>
      <c r="E438" s="197" t="s">
        <v>357</v>
      </c>
      <c r="F438" s="197" t="s">
        <v>358</v>
      </c>
      <c r="G438" s="197" t="s">
        <v>2</v>
      </c>
      <c r="H438" s="197" t="s">
        <v>359</v>
      </c>
      <c r="I438" s="197"/>
      <c r="J438" s="197"/>
      <c r="K438" s="197"/>
    </row>
    <row r="439" spans="2:11" x14ac:dyDescent="0.5">
      <c r="B439" s="160" t="s">
        <v>787</v>
      </c>
      <c r="C439" s="169">
        <v>27.870000000000012</v>
      </c>
      <c r="D439" s="197" t="s">
        <v>356</v>
      </c>
      <c r="E439" s="197" t="s">
        <v>357</v>
      </c>
      <c r="F439" s="197" t="s">
        <v>358</v>
      </c>
      <c r="G439" s="197" t="s">
        <v>2</v>
      </c>
      <c r="H439" s="197" t="s">
        <v>359</v>
      </c>
      <c r="I439" s="197"/>
      <c r="J439" s="197"/>
      <c r="K439" s="197"/>
    </row>
    <row r="440" spans="2:11" x14ac:dyDescent="0.5">
      <c r="B440" s="160" t="s">
        <v>801</v>
      </c>
      <c r="C440" s="169">
        <v>26.327999999999996</v>
      </c>
      <c r="D440" s="197" t="s">
        <v>356</v>
      </c>
      <c r="E440" s="197" t="s">
        <v>357</v>
      </c>
      <c r="F440" s="197" t="s">
        <v>358</v>
      </c>
      <c r="G440" s="197" t="s">
        <v>2</v>
      </c>
      <c r="H440" s="197" t="s">
        <v>359</v>
      </c>
      <c r="I440" s="197" t="s">
        <v>62</v>
      </c>
      <c r="J440" s="197"/>
      <c r="K440" s="197"/>
    </row>
    <row r="441" spans="2:11" x14ac:dyDescent="0.5">
      <c r="B441" s="160" t="s">
        <v>810</v>
      </c>
      <c r="C441" s="169">
        <v>24.515999999999991</v>
      </c>
      <c r="D441" s="197"/>
      <c r="E441" s="197" t="s">
        <v>357</v>
      </c>
      <c r="F441" s="197" t="s">
        <v>358</v>
      </c>
      <c r="G441" s="197" t="s">
        <v>2</v>
      </c>
      <c r="H441" s="197" t="s">
        <v>359</v>
      </c>
      <c r="I441" s="197" t="s">
        <v>62</v>
      </c>
      <c r="J441" s="197"/>
      <c r="K441" s="197"/>
    </row>
    <row r="442" spans="2:11" x14ac:dyDescent="0.5">
      <c r="B442" s="160" t="s">
        <v>794</v>
      </c>
      <c r="C442" s="169">
        <v>23.220000000000006</v>
      </c>
      <c r="D442" s="197"/>
      <c r="E442" s="197" t="s">
        <v>357</v>
      </c>
      <c r="F442" s="197" t="s">
        <v>358</v>
      </c>
      <c r="G442" s="197" t="s">
        <v>2</v>
      </c>
      <c r="H442" s="197" t="s">
        <v>359</v>
      </c>
      <c r="I442" s="197" t="s">
        <v>62</v>
      </c>
      <c r="J442" s="197"/>
      <c r="K442" s="197"/>
    </row>
    <row r="443" spans="2:11" x14ac:dyDescent="0.5">
      <c r="B443" s="160" t="s">
        <v>808</v>
      </c>
      <c r="C443" s="169">
        <v>23.129999999999992</v>
      </c>
      <c r="D443" s="197"/>
      <c r="E443" s="197" t="s">
        <v>357</v>
      </c>
      <c r="F443" s="197" t="s">
        <v>358</v>
      </c>
      <c r="G443" s="197" t="s">
        <v>2</v>
      </c>
      <c r="H443" s="197" t="s">
        <v>359</v>
      </c>
      <c r="I443" s="197" t="s">
        <v>62</v>
      </c>
      <c r="J443" s="197"/>
      <c r="K443" s="197"/>
    </row>
    <row r="444" spans="2:11" x14ac:dyDescent="0.5">
      <c r="B444" s="160" t="s">
        <v>805</v>
      </c>
      <c r="C444" s="169">
        <v>19.824599999999979</v>
      </c>
      <c r="D444" s="197"/>
      <c r="E444" s="197"/>
      <c r="F444" s="197" t="s">
        <v>358</v>
      </c>
      <c r="G444" s="197" t="s">
        <v>2</v>
      </c>
      <c r="H444" s="197" t="s">
        <v>359</v>
      </c>
      <c r="I444" s="197" t="s">
        <v>62</v>
      </c>
      <c r="J444" s="197" t="s">
        <v>689</v>
      </c>
      <c r="K444" s="197"/>
    </row>
    <row r="445" spans="2:11" x14ac:dyDescent="0.5">
      <c r="B445" s="160" t="s">
        <v>802</v>
      </c>
      <c r="C445" s="169">
        <v>18.899999999999991</v>
      </c>
      <c r="D445" s="197"/>
      <c r="E445" s="197"/>
      <c r="F445" s="197" t="s">
        <v>358</v>
      </c>
      <c r="G445" s="197" t="s">
        <v>2</v>
      </c>
      <c r="H445" s="197" t="s">
        <v>359</v>
      </c>
      <c r="I445" s="197" t="s">
        <v>62</v>
      </c>
      <c r="J445" s="197" t="s">
        <v>689</v>
      </c>
      <c r="K445" s="197"/>
    </row>
    <row r="446" spans="2:11" x14ac:dyDescent="0.5">
      <c r="B446" s="160" t="s">
        <v>809</v>
      </c>
      <c r="C446" s="169">
        <v>16.019999999999985</v>
      </c>
      <c r="D446" s="197"/>
      <c r="E446" s="197"/>
      <c r="F446" s="197"/>
      <c r="G446" s="197" t="s">
        <v>2</v>
      </c>
      <c r="H446" s="197" t="s">
        <v>359</v>
      </c>
      <c r="I446" s="197" t="s">
        <v>62</v>
      </c>
      <c r="J446" s="197" t="s">
        <v>689</v>
      </c>
      <c r="K446" s="197" t="s">
        <v>1249</v>
      </c>
    </row>
    <row r="447" spans="2:11" x14ac:dyDescent="0.5">
      <c r="B447" s="160" t="s">
        <v>811</v>
      </c>
      <c r="C447" s="169">
        <v>10.199999999999989</v>
      </c>
      <c r="D447" s="197"/>
      <c r="E447" s="197"/>
      <c r="F447" s="197"/>
      <c r="G447" s="197"/>
      <c r="H447" s="197" t="s">
        <v>359</v>
      </c>
      <c r="I447" s="197" t="s">
        <v>62</v>
      </c>
      <c r="J447" s="197" t="s">
        <v>689</v>
      </c>
      <c r="K447" s="197" t="s">
        <v>1249</v>
      </c>
    </row>
    <row r="448" spans="2:11" x14ac:dyDescent="0.5">
      <c r="B448" s="160" t="s">
        <v>806</v>
      </c>
      <c r="C448" s="169">
        <v>10.139999999999993</v>
      </c>
      <c r="D448" s="197"/>
      <c r="E448" s="197"/>
      <c r="F448" s="197"/>
      <c r="G448" s="197"/>
      <c r="H448" s="197" t="s">
        <v>359</v>
      </c>
      <c r="I448" s="197" t="s">
        <v>62</v>
      </c>
      <c r="J448" s="197" t="s">
        <v>689</v>
      </c>
      <c r="K448" s="197" t="s">
        <v>1249</v>
      </c>
    </row>
    <row r="449" spans="2:11" x14ac:dyDescent="0.5">
      <c r="B449" s="160" t="s">
        <v>796</v>
      </c>
      <c r="C449" s="169">
        <v>9.9654000000000096</v>
      </c>
      <c r="D449" s="197"/>
      <c r="E449" s="197"/>
      <c r="F449" s="197"/>
      <c r="G449" s="197"/>
      <c r="H449" s="197" t="s">
        <v>359</v>
      </c>
      <c r="I449" s="197" t="s">
        <v>62</v>
      </c>
      <c r="J449" s="197" t="s">
        <v>689</v>
      </c>
      <c r="K449" s="197" t="s">
        <v>1249</v>
      </c>
    </row>
    <row r="450" spans="2:11" x14ac:dyDescent="0.5">
      <c r="B450" s="160" t="s">
        <v>803</v>
      </c>
      <c r="C450" s="169">
        <v>6.7511999999999972</v>
      </c>
      <c r="D450" s="197"/>
      <c r="E450" s="197"/>
      <c r="F450" s="197"/>
      <c r="G450" s="197"/>
      <c r="H450" s="197"/>
      <c r="I450" s="197" t="s">
        <v>62</v>
      </c>
      <c r="J450" s="197" t="s">
        <v>689</v>
      </c>
      <c r="K450" s="197" t="s">
        <v>1249</v>
      </c>
    </row>
    <row r="451" spans="2:11" x14ac:dyDescent="0.5">
      <c r="B451" s="160" t="s">
        <v>788</v>
      </c>
      <c r="C451" s="169">
        <v>5.7600000000000051</v>
      </c>
      <c r="D451" s="197"/>
      <c r="E451" s="197"/>
      <c r="F451" s="197"/>
      <c r="G451" s="197"/>
      <c r="H451" s="197"/>
      <c r="I451" s="197" t="s">
        <v>62</v>
      </c>
      <c r="J451" s="197" t="s">
        <v>689</v>
      </c>
      <c r="K451" s="197" t="s">
        <v>1249</v>
      </c>
    </row>
    <row r="452" spans="2:11" x14ac:dyDescent="0.5">
      <c r="B452" s="160" t="s">
        <v>812</v>
      </c>
      <c r="C452" s="169">
        <v>-0.2400000000000162</v>
      </c>
      <c r="D452" s="197"/>
      <c r="E452" s="197"/>
      <c r="F452" s="197"/>
      <c r="G452" s="197"/>
      <c r="H452" s="197"/>
      <c r="I452" s="197"/>
      <c r="J452" s="197" t="s">
        <v>689</v>
      </c>
      <c r="K452" s="197" t="s">
        <v>1249</v>
      </c>
    </row>
    <row r="453" spans="2:11" ht="14.7" thickBot="1" x14ac:dyDescent="0.55000000000000004">
      <c r="B453" s="167" t="s">
        <v>797</v>
      </c>
      <c r="C453" s="170">
        <v>-2.1575999999999951</v>
      </c>
      <c r="D453" s="198"/>
      <c r="E453" s="198"/>
      <c r="F453" s="198"/>
      <c r="G453" s="198"/>
      <c r="H453" s="198"/>
      <c r="I453" s="198"/>
      <c r="J453" s="198"/>
      <c r="K453" s="198" t="s">
        <v>1249</v>
      </c>
    </row>
  </sheetData>
  <mergeCells count="1">
    <mergeCell ref="D429:K429"/>
  </mergeCells>
  <pageMargins left="0.7" right="0.7" top="0.75" bottom="0.75" header="0.3" footer="0.3"/>
  <ignoredErrors>
    <ignoredError sqref="A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069E8E-9950-4ABF-92D1-45BE683198F3}">
  <dimension ref="B1:Y617"/>
  <sheetViews>
    <sheetView topLeftCell="A91" zoomScaleNormal="100" workbookViewId="0">
      <selection activeCell="G174" sqref="G174"/>
    </sheetView>
  </sheetViews>
  <sheetFormatPr defaultRowHeight="14.35" x14ac:dyDescent="0.5"/>
  <cols>
    <col min="1" max="1" width="4.76171875" customWidth="1"/>
    <col min="2" max="2" width="58.46875" customWidth="1"/>
  </cols>
  <sheetData>
    <row r="1" spans="2:9" x14ac:dyDescent="0.5">
      <c r="B1" t="s">
        <v>775</v>
      </c>
    </row>
    <row r="2" spans="2:9" x14ac:dyDescent="0.5">
      <c r="B2" t="s">
        <v>776</v>
      </c>
    </row>
    <row r="3" spans="2:9" x14ac:dyDescent="0.5">
      <c r="B3" t="s">
        <v>777</v>
      </c>
    </row>
    <row r="4" spans="2:9" x14ac:dyDescent="0.5">
      <c r="B4" t="s">
        <v>213</v>
      </c>
    </row>
    <row r="5" spans="2:9" x14ac:dyDescent="0.5">
      <c r="B5" t="s">
        <v>214</v>
      </c>
    </row>
    <row r="6" spans="2:9" x14ac:dyDescent="0.5">
      <c r="B6" t="s">
        <v>215</v>
      </c>
    </row>
    <row r="7" spans="2:9" x14ac:dyDescent="0.5">
      <c r="B7" t="s">
        <v>216</v>
      </c>
    </row>
    <row r="8" spans="2:9" x14ac:dyDescent="0.5">
      <c r="B8" t="s">
        <v>217</v>
      </c>
    </row>
    <row r="9" spans="2:9" x14ac:dyDescent="0.5">
      <c r="B9" t="s">
        <v>218</v>
      </c>
    </row>
    <row r="13" spans="2:9" x14ac:dyDescent="0.5">
      <c r="B13" t="s">
        <v>219</v>
      </c>
    </row>
    <row r="14" spans="2:9" ht="14.7" thickBot="1" x14ac:dyDescent="0.55000000000000004"/>
    <row r="15" spans="2:9" x14ac:dyDescent="0.5">
      <c r="B15" s="161" t="s">
        <v>220</v>
      </c>
      <c r="C15" s="162" t="s">
        <v>221</v>
      </c>
      <c r="D15" s="162" t="s">
        <v>222</v>
      </c>
      <c r="E15" s="162" t="s">
        <v>223</v>
      </c>
      <c r="F15" s="162" t="s">
        <v>224</v>
      </c>
      <c r="G15" s="162" t="s">
        <v>225</v>
      </c>
      <c r="H15" s="162" t="s">
        <v>77</v>
      </c>
      <c r="I15" s="162" t="s">
        <v>226</v>
      </c>
    </row>
    <row r="16" spans="2:9" ht="14.7" thickBot="1" x14ac:dyDescent="0.55000000000000004">
      <c r="B16" s="164" t="s">
        <v>774</v>
      </c>
      <c r="C16" s="165">
        <v>180</v>
      </c>
      <c r="D16" s="165">
        <v>0</v>
      </c>
      <c r="E16" s="165">
        <v>180</v>
      </c>
      <c r="F16" s="166">
        <v>0</v>
      </c>
      <c r="G16" s="166">
        <v>1</v>
      </c>
      <c r="H16" s="166">
        <v>0.2782222222222222</v>
      </c>
      <c r="I16" s="166">
        <v>0.22583465439016609</v>
      </c>
    </row>
    <row r="18" spans="2:5" ht="14.7" thickBot="1" x14ac:dyDescent="0.55000000000000004"/>
    <row r="19" spans="2:5" x14ac:dyDescent="0.5">
      <c r="B19" s="162" t="s">
        <v>220</v>
      </c>
      <c r="C19" s="162" t="s">
        <v>227</v>
      </c>
      <c r="D19" s="162" t="s">
        <v>228</v>
      </c>
      <c r="E19" s="162" t="s">
        <v>229</v>
      </c>
    </row>
    <row r="20" spans="2:5" x14ac:dyDescent="0.5">
      <c r="B20" s="163" t="s">
        <v>5</v>
      </c>
      <c r="C20" s="163" t="s">
        <v>93</v>
      </c>
      <c r="D20" s="163">
        <v>15</v>
      </c>
      <c r="E20" s="168">
        <v>8.3333333333333339</v>
      </c>
    </row>
    <row r="21" spans="2:5" x14ac:dyDescent="0.5">
      <c r="B21" s="160"/>
      <c r="C21" s="160" t="s">
        <v>92</v>
      </c>
      <c r="D21" s="160">
        <v>15</v>
      </c>
      <c r="E21" s="169">
        <v>8.3333333333333339</v>
      </c>
    </row>
    <row r="22" spans="2:5" x14ac:dyDescent="0.5">
      <c r="B22" s="160"/>
      <c r="C22" s="160">
        <v>3729060</v>
      </c>
      <c r="D22" s="160">
        <v>15</v>
      </c>
      <c r="E22" s="169">
        <v>8.3333333333333339</v>
      </c>
    </row>
    <row r="23" spans="2:5" x14ac:dyDescent="0.5">
      <c r="B23" s="160"/>
      <c r="C23" s="160">
        <v>3729172</v>
      </c>
      <c r="D23" s="160">
        <v>15</v>
      </c>
      <c r="E23" s="169">
        <v>8.3333333333333339</v>
      </c>
    </row>
    <row r="24" spans="2:5" x14ac:dyDescent="0.5">
      <c r="B24" s="160"/>
      <c r="C24" s="160" t="s">
        <v>95</v>
      </c>
      <c r="D24" s="160">
        <v>15</v>
      </c>
      <c r="E24" s="169">
        <v>8.3333333333333339</v>
      </c>
    </row>
    <row r="25" spans="2:5" x14ac:dyDescent="0.5">
      <c r="B25" s="160"/>
      <c r="C25" s="160" t="s">
        <v>96</v>
      </c>
      <c r="D25" s="160">
        <v>15</v>
      </c>
      <c r="E25" s="169">
        <v>8.3333333333333339</v>
      </c>
    </row>
    <row r="26" spans="2:5" x14ac:dyDescent="0.5">
      <c r="B26" s="160"/>
      <c r="C26" s="160" t="s">
        <v>100</v>
      </c>
      <c r="D26" s="160">
        <v>15</v>
      </c>
      <c r="E26" s="169">
        <v>8.3333333333333339</v>
      </c>
    </row>
    <row r="27" spans="2:5" x14ac:dyDescent="0.5">
      <c r="B27" s="160"/>
      <c r="C27" s="160" t="s">
        <v>188</v>
      </c>
      <c r="D27" s="160">
        <v>15</v>
      </c>
      <c r="E27" s="169">
        <v>8.3333333333333339</v>
      </c>
    </row>
    <row r="28" spans="2:5" x14ac:dyDescent="0.5">
      <c r="B28" s="160"/>
      <c r="C28" s="160" t="s">
        <v>97</v>
      </c>
      <c r="D28" s="160">
        <v>15</v>
      </c>
      <c r="E28" s="169">
        <v>8.3333333333333339</v>
      </c>
    </row>
    <row r="29" spans="2:5" x14ac:dyDescent="0.5">
      <c r="B29" s="160"/>
      <c r="C29" s="160" t="s">
        <v>98</v>
      </c>
      <c r="D29" s="160">
        <v>15</v>
      </c>
      <c r="E29" s="169">
        <v>8.3333333333333339</v>
      </c>
    </row>
    <row r="30" spans="2:5" x14ac:dyDescent="0.5">
      <c r="B30" s="160"/>
      <c r="C30" s="160" t="s">
        <v>82</v>
      </c>
      <c r="D30" s="160">
        <v>15</v>
      </c>
      <c r="E30" s="169">
        <v>8.3333333333333339</v>
      </c>
    </row>
    <row r="31" spans="2:5" x14ac:dyDescent="0.5">
      <c r="B31" s="160"/>
      <c r="C31" s="160" t="s">
        <v>83</v>
      </c>
      <c r="D31" s="160">
        <v>15</v>
      </c>
      <c r="E31" s="169">
        <v>8.3333333333333339</v>
      </c>
    </row>
    <row r="32" spans="2:5" x14ac:dyDescent="0.5">
      <c r="B32" s="163" t="s">
        <v>367</v>
      </c>
      <c r="C32" s="163" t="s">
        <v>8</v>
      </c>
      <c r="D32" s="163">
        <v>90</v>
      </c>
      <c r="E32" s="168">
        <v>50</v>
      </c>
    </row>
    <row r="33" spans="2:25" x14ac:dyDescent="0.5">
      <c r="B33" s="160"/>
      <c r="C33" s="160" t="s">
        <v>7</v>
      </c>
      <c r="D33" s="160">
        <v>90</v>
      </c>
      <c r="E33" s="169">
        <v>50</v>
      </c>
    </row>
    <row r="34" spans="2:25" x14ac:dyDescent="0.5">
      <c r="B34" s="163" t="s">
        <v>366</v>
      </c>
      <c r="C34" s="163" t="s">
        <v>368</v>
      </c>
      <c r="D34" s="163">
        <v>36</v>
      </c>
      <c r="E34" s="168">
        <v>20</v>
      </c>
    </row>
    <row r="35" spans="2:25" x14ac:dyDescent="0.5">
      <c r="B35" s="160"/>
      <c r="C35" s="160" t="s">
        <v>371</v>
      </c>
      <c r="D35" s="160">
        <v>36</v>
      </c>
      <c r="E35" s="169">
        <v>20</v>
      </c>
    </row>
    <row r="36" spans="2:25" x14ac:dyDescent="0.5">
      <c r="B36" s="160"/>
      <c r="C36" s="160" t="s">
        <v>369</v>
      </c>
      <c r="D36" s="160">
        <v>36</v>
      </c>
      <c r="E36" s="169">
        <v>20</v>
      </c>
    </row>
    <row r="37" spans="2:25" x14ac:dyDescent="0.5">
      <c r="B37" s="160"/>
      <c r="C37" s="160" t="s">
        <v>370</v>
      </c>
      <c r="D37" s="160">
        <v>36</v>
      </c>
      <c r="E37" s="169">
        <v>20</v>
      </c>
    </row>
    <row r="38" spans="2:25" x14ac:dyDescent="0.5">
      <c r="B38" s="160"/>
      <c r="C38" s="160" t="s">
        <v>432</v>
      </c>
      <c r="D38" s="160">
        <v>36</v>
      </c>
      <c r="E38" s="169">
        <v>20</v>
      </c>
    </row>
    <row r="39" spans="2:25" x14ac:dyDescent="0.5">
      <c r="B39" s="163" t="s">
        <v>773</v>
      </c>
      <c r="C39" s="163" t="s">
        <v>110</v>
      </c>
      <c r="D39" s="163">
        <v>60</v>
      </c>
      <c r="E39" s="168">
        <v>33.333333333333336</v>
      </c>
    </row>
    <row r="40" spans="2:25" x14ac:dyDescent="0.5">
      <c r="B40" s="160"/>
      <c r="C40" s="160" t="s">
        <v>111</v>
      </c>
      <c r="D40" s="160">
        <v>60</v>
      </c>
      <c r="E40" s="169">
        <v>33.333333333333336</v>
      </c>
    </row>
    <row r="41" spans="2:25" ht="14.7" thickBot="1" x14ac:dyDescent="0.55000000000000004">
      <c r="B41" s="167"/>
      <c r="C41" s="167" t="s">
        <v>112</v>
      </c>
      <c r="D41" s="167">
        <v>60</v>
      </c>
      <c r="E41" s="170">
        <v>33.333333333333336</v>
      </c>
    </row>
    <row r="44" spans="2:25" x14ac:dyDescent="0.5">
      <c r="B44" t="s">
        <v>230</v>
      </c>
    </row>
    <row r="45" spans="2:25" ht="14.7" thickBot="1" x14ac:dyDescent="0.55000000000000004"/>
    <row r="46" spans="2:25" x14ac:dyDescent="0.5">
      <c r="B46" s="161" t="s">
        <v>231</v>
      </c>
      <c r="C46" s="172" t="s">
        <v>375</v>
      </c>
      <c r="D46" s="172" t="s">
        <v>376</v>
      </c>
      <c r="E46" s="172" t="s">
        <v>377</v>
      </c>
      <c r="F46" s="172" t="s">
        <v>378</v>
      </c>
      <c r="G46" s="172" t="s">
        <v>379</v>
      </c>
      <c r="H46" s="172" t="s">
        <v>380</v>
      </c>
      <c r="I46" s="172" t="s">
        <v>381</v>
      </c>
      <c r="J46" s="172" t="s">
        <v>382</v>
      </c>
      <c r="K46" s="172" t="s">
        <v>383</v>
      </c>
      <c r="L46" s="172" t="s">
        <v>384</v>
      </c>
      <c r="M46" s="172" t="s">
        <v>385</v>
      </c>
      <c r="N46" s="172" t="s">
        <v>386</v>
      </c>
      <c r="O46" s="172" t="s">
        <v>387</v>
      </c>
      <c r="P46" s="172" t="s">
        <v>388</v>
      </c>
      <c r="Q46" s="172" t="s">
        <v>389</v>
      </c>
      <c r="R46" s="172" t="s">
        <v>392</v>
      </c>
      <c r="S46" s="172" t="s">
        <v>390</v>
      </c>
      <c r="T46" s="172" t="s">
        <v>391</v>
      </c>
      <c r="U46" s="172" t="s">
        <v>437</v>
      </c>
      <c r="V46" s="172" t="s">
        <v>778</v>
      </c>
      <c r="W46" s="172" t="s">
        <v>779</v>
      </c>
      <c r="X46" s="172" t="s">
        <v>780</v>
      </c>
      <c r="Y46" s="173" t="s">
        <v>774</v>
      </c>
    </row>
    <row r="47" spans="2:25" x14ac:dyDescent="0.5">
      <c r="B47" s="174" t="s">
        <v>375</v>
      </c>
      <c r="C47" s="181">
        <v>1</v>
      </c>
      <c r="D47" s="176">
        <v>-9.0909090909090884E-2</v>
      </c>
      <c r="E47" s="176">
        <v>-9.0909090909090801E-2</v>
      </c>
      <c r="F47" s="176">
        <v>-9.0909090909090828E-2</v>
      </c>
      <c r="G47" s="176">
        <v>-9.0909090909090856E-2</v>
      </c>
      <c r="H47" s="176">
        <v>-9.0909090909090842E-2</v>
      </c>
      <c r="I47" s="176">
        <v>-9.0909090909090856E-2</v>
      </c>
      <c r="J47" s="176">
        <v>-9.0909090909090884E-2</v>
      </c>
      <c r="K47" s="176">
        <v>-9.0909090909090884E-2</v>
      </c>
      <c r="L47" s="176">
        <v>-9.0909090909090884E-2</v>
      </c>
      <c r="M47" s="176">
        <v>-9.0909090909090856E-2</v>
      </c>
      <c r="N47" s="176">
        <v>-9.0909090909090801E-2</v>
      </c>
      <c r="O47" s="176">
        <v>-0.30151134457776363</v>
      </c>
      <c r="P47" s="176">
        <v>0.30151134457776363</v>
      </c>
      <c r="Q47" s="176">
        <v>-2.7728548250012389E-18</v>
      </c>
      <c r="R47" s="176">
        <v>-2.8559417189347145E-18</v>
      </c>
      <c r="S47" s="176">
        <v>-4.1677101089151928E-18</v>
      </c>
      <c r="T47" s="176">
        <v>2.806310920611747E-18</v>
      </c>
      <c r="U47" s="176">
        <v>1.6685482798116255E-20</v>
      </c>
      <c r="V47" s="176">
        <v>7.2235212452568325E-20</v>
      </c>
      <c r="W47" s="176">
        <v>-2.2944070531309278E-18</v>
      </c>
      <c r="X47" s="176">
        <v>-1.4577065872928287E-19</v>
      </c>
      <c r="Y47" s="177">
        <v>6.7536127170804525E-2</v>
      </c>
    </row>
    <row r="48" spans="2:25" x14ac:dyDescent="0.5">
      <c r="B48" s="171" t="s">
        <v>376</v>
      </c>
      <c r="C48" s="178">
        <v>-9.0909090909090884E-2</v>
      </c>
      <c r="D48" s="182">
        <v>1</v>
      </c>
      <c r="E48" s="178">
        <v>-9.0909090909090856E-2</v>
      </c>
      <c r="F48" s="178">
        <v>-9.0909090909090856E-2</v>
      </c>
      <c r="G48" s="178">
        <v>-9.0909090909090884E-2</v>
      </c>
      <c r="H48" s="178">
        <v>-9.0909090909090856E-2</v>
      </c>
      <c r="I48" s="178">
        <v>-9.0909090909090898E-2</v>
      </c>
      <c r="J48" s="178">
        <v>-9.0909090909090884E-2</v>
      </c>
      <c r="K48" s="178">
        <v>-9.0909090909090898E-2</v>
      </c>
      <c r="L48" s="178">
        <v>-9.0909090909090898E-2</v>
      </c>
      <c r="M48" s="178">
        <v>-9.0909090909090884E-2</v>
      </c>
      <c r="N48" s="178">
        <v>-9.0909090909090842E-2</v>
      </c>
      <c r="O48" s="178">
        <v>-0.30151134457776363</v>
      </c>
      <c r="P48" s="178">
        <v>0.30151134457776363</v>
      </c>
      <c r="Q48" s="178">
        <v>-2.075299488022848E-18</v>
      </c>
      <c r="R48" s="178">
        <v>-6.7422971306673859E-20</v>
      </c>
      <c r="S48" s="178">
        <v>-4.1675398488866409E-18</v>
      </c>
      <c r="T48" s="178">
        <v>2.8064811806403E-18</v>
      </c>
      <c r="U48" s="178">
        <v>1.6855742826668471E-20</v>
      </c>
      <c r="V48" s="178">
        <v>2.4395275949481375E-18</v>
      </c>
      <c r="W48" s="178">
        <v>-3.4776198331039972E-18</v>
      </c>
      <c r="X48" s="178">
        <v>-1.4634854042890348E-19</v>
      </c>
      <c r="Y48" s="179">
        <v>0.15857601666096399</v>
      </c>
    </row>
    <row r="49" spans="2:25" x14ac:dyDescent="0.5">
      <c r="B49" s="171" t="s">
        <v>377</v>
      </c>
      <c r="C49" s="178">
        <v>-9.0909090909090801E-2</v>
      </c>
      <c r="D49" s="178">
        <v>-9.0909090909090856E-2</v>
      </c>
      <c r="E49" s="182">
        <v>1</v>
      </c>
      <c r="F49" s="178">
        <v>-9.0909090909090856E-2</v>
      </c>
      <c r="G49" s="178">
        <v>-9.0909090909090828E-2</v>
      </c>
      <c r="H49" s="178">
        <v>-9.0909090909090801E-2</v>
      </c>
      <c r="I49" s="178">
        <v>-9.0909090909090842E-2</v>
      </c>
      <c r="J49" s="178">
        <v>-9.0909090909090856E-2</v>
      </c>
      <c r="K49" s="178">
        <v>-9.0909090909090856E-2</v>
      </c>
      <c r="L49" s="178">
        <v>-9.0909090909090856E-2</v>
      </c>
      <c r="M49" s="178">
        <v>-9.0909090909090828E-2</v>
      </c>
      <c r="N49" s="178">
        <v>-9.0909090909090828E-2</v>
      </c>
      <c r="O49" s="178">
        <v>-0.30151134457776363</v>
      </c>
      <c r="P49" s="178">
        <v>0.30151134457776363</v>
      </c>
      <c r="Q49" s="178">
        <v>-6.9570801566859938E-18</v>
      </c>
      <c r="R49" s="178">
        <v>5.5123386844062422E-18</v>
      </c>
      <c r="S49" s="178">
        <v>5.5956809683825491E-18</v>
      </c>
      <c r="T49" s="178">
        <v>-6.9570801566859938E-18</v>
      </c>
      <c r="U49" s="178">
        <v>-4.1675398488866402E-18</v>
      </c>
      <c r="V49" s="178">
        <v>1.0723822935070934E-17</v>
      </c>
      <c r="W49" s="178">
        <v>-1.5312781511757691E-17</v>
      </c>
      <c r="X49" s="178">
        <v>2.2209438420666656E-18</v>
      </c>
      <c r="Y49" s="179">
        <v>-0.18951767844846912</v>
      </c>
    </row>
    <row r="50" spans="2:25" x14ac:dyDescent="0.5">
      <c r="B50" s="171" t="s">
        <v>378</v>
      </c>
      <c r="C50" s="178">
        <v>-9.0909090909090828E-2</v>
      </c>
      <c r="D50" s="178">
        <v>-9.0909090909090856E-2</v>
      </c>
      <c r="E50" s="178">
        <v>-9.0909090909090856E-2</v>
      </c>
      <c r="F50" s="182">
        <v>1</v>
      </c>
      <c r="G50" s="178">
        <v>-9.0909090909090828E-2</v>
      </c>
      <c r="H50" s="178">
        <v>-9.0909090909090801E-2</v>
      </c>
      <c r="I50" s="178">
        <v>-9.0909090909090842E-2</v>
      </c>
      <c r="J50" s="178">
        <v>-9.0909090909090856E-2</v>
      </c>
      <c r="K50" s="178">
        <v>-9.0909090909090856E-2</v>
      </c>
      <c r="L50" s="178">
        <v>-9.0909090909090856E-2</v>
      </c>
      <c r="M50" s="178">
        <v>-9.0909090909090828E-2</v>
      </c>
      <c r="N50" s="178">
        <v>-9.0909090909090842E-2</v>
      </c>
      <c r="O50" s="178">
        <v>-0.30151134457776363</v>
      </c>
      <c r="P50" s="178">
        <v>0.30151134457776363</v>
      </c>
      <c r="Q50" s="178">
        <v>-6.9569098966574419E-18</v>
      </c>
      <c r="R50" s="178">
        <v>-6.7763491363778254E-20</v>
      </c>
      <c r="S50" s="178">
        <v>5.5959363584253777E-18</v>
      </c>
      <c r="T50" s="178">
        <v>1.7026002855220671E-20</v>
      </c>
      <c r="U50" s="178">
        <v>1.4117110267406219E-18</v>
      </c>
      <c r="V50" s="178">
        <v>3.6231015509834683E-18</v>
      </c>
      <c r="W50" s="178">
        <v>-1.0578485687616367E-17</v>
      </c>
      <c r="X50" s="178">
        <v>6.9543728436585644E-18</v>
      </c>
      <c r="Y50" s="179">
        <v>-1.1900639149040437E-3</v>
      </c>
    </row>
    <row r="51" spans="2:25" x14ac:dyDescent="0.5">
      <c r="B51" s="171" t="s">
        <v>379</v>
      </c>
      <c r="C51" s="178">
        <v>-9.0909090909090856E-2</v>
      </c>
      <c r="D51" s="178">
        <v>-9.0909090909090884E-2</v>
      </c>
      <c r="E51" s="178">
        <v>-9.0909090909090828E-2</v>
      </c>
      <c r="F51" s="178">
        <v>-9.0909090909090828E-2</v>
      </c>
      <c r="G51" s="182">
        <v>1</v>
      </c>
      <c r="H51" s="178">
        <v>-9.0909090909090884E-2</v>
      </c>
      <c r="I51" s="178">
        <v>-9.0909090909090898E-2</v>
      </c>
      <c r="J51" s="178">
        <v>-9.0909090909090925E-2</v>
      </c>
      <c r="K51" s="178">
        <v>-9.0909090909090925E-2</v>
      </c>
      <c r="L51" s="178">
        <v>-9.0909090909090912E-2</v>
      </c>
      <c r="M51" s="178">
        <v>-9.0909090909090856E-2</v>
      </c>
      <c r="N51" s="178">
        <v>-9.0909090909090828E-2</v>
      </c>
      <c r="O51" s="178">
        <v>0.30151134457776352</v>
      </c>
      <c r="P51" s="178">
        <v>-0.30151134457776352</v>
      </c>
      <c r="Q51" s="178">
        <v>-2.075299488022848E-18</v>
      </c>
      <c r="R51" s="178">
        <v>-6.7422971306673847E-20</v>
      </c>
      <c r="S51" s="178">
        <v>1.41154076671207E-18</v>
      </c>
      <c r="T51" s="178">
        <v>1.6940872840944569E-20</v>
      </c>
      <c r="U51" s="178">
        <v>-3.4700696419225249E-18</v>
      </c>
      <c r="V51" s="178">
        <v>4.806531036593897E-18</v>
      </c>
      <c r="W51" s="178">
        <v>-4.6611215539268767E-18</v>
      </c>
      <c r="X51" s="178">
        <v>-1.4634854042890343E-19</v>
      </c>
      <c r="Y51" s="179">
        <v>-0.14489028163956749</v>
      </c>
    </row>
    <row r="52" spans="2:25" x14ac:dyDescent="0.5">
      <c r="B52" s="171" t="s">
        <v>380</v>
      </c>
      <c r="C52" s="178">
        <v>-9.0909090909090842E-2</v>
      </c>
      <c r="D52" s="178">
        <v>-9.0909090909090856E-2</v>
      </c>
      <c r="E52" s="178">
        <v>-9.0909090909090801E-2</v>
      </c>
      <c r="F52" s="178">
        <v>-9.0909090909090801E-2</v>
      </c>
      <c r="G52" s="178">
        <v>-9.0909090909090884E-2</v>
      </c>
      <c r="H52" s="182">
        <v>1</v>
      </c>
      <c r="I52" s="178">
        <v>-9.0909090909090898E-2</v>
      </c>
      <c r="J52" s="178">
        <v>-9.0909090909090925E-2</v>
      </c>
      <c r="K52" s="178">
        <v>-9.0909090909090939E-2</v>
      </c>
      <c r="L52" s="178">
        <v>-9.0909090909090939E-2</v>
      </c>
      <c r="M52" s="178">
        <v>-9.0909090909090842E-2</v>
      </c>
      <c r="N52" s="178">
        <v>-9.0909090909090801E-2</v>
      </c>
      <c r="O52" s="178">
        <v>0.30151134457776363</v>
      </c>
      <c r="P52" s="178">
        <v>-0.30151134457776363</v>
      </c>
      <c r="Q52" s="178">
        <v>-2.075299488022848E-18</v>
      </c>
      <c r="R52" s="178">
        <v>-6.7422971306673847E-20</v>
      </c>
      <c r="S52" s="178">
        <v>-4.8649249258364795E-18</v>
      </c>
      <c r="T52" s="178">
        <v>-6.8044420410889412E-19</v>
      </c>
      <c r="U52" s="178">
        <v>-2.0752994880228477E-18</v>
      </c>
      <c r="V52" s="178">
        <v>6.6427501371381834E-19</v>
      </c>
      <c r="W52" s="178">
        <v>-4.0693706935154369E-18</v>
      </c>
      <c r="X52" s="178">
        <v>3.4041566220397353E-18</v>
      </c>
      <c r="Y52" s="179">
        <v>2.0231086553368759E-2</v>
      </c>
    </row>
    <row r="53" spans="2:25" x14ac:dyDescent="0.5">
      <c r="B53" s="171" t="s">
        <v>381</v>
      </c>
      <c r="C53" s="178">
        <v>-9.0909090909090856E-2</v>
      </c>
      <c r="D53" s="178">
        <v>-9.0909090909090898E-2</v>
      </c>
      <c r="E53" s="178">
        <v>-9.0909090909090842E-2</v>
      </c>
      <c r="F53" s="178">
        <v>-9.0909090909090842E-2</v>
      </c>
      <c r="G53" s="178">
        <v>-9.0909090909090898E-2</v>
      </c>
      <c r="H53" s="178">
        <v>-9.0909090909090898E-2</v>
      </c>
      <c r="I53" s="182">
        <v>1</v>
      </c>
      <c r="J53" s="178">
        <v>-9.0909090909090925E-2</v>
      </c>
      <c r="K53" s="178">
        <v>-9.0909090909090925E-2</v>
      </c>
      <c r="L53" s="178">
        <v>-9.0909090909090912E-2</v>
      </c>
      <c r="M53" s="178">
        <v>-9.0909090909090856E-2</v>
      </c>
      <c r="N53" s="178">
        <v>-9.0909090909090842E-2</v>
      </c>
      <c r="O53" s="178">
        <v>0.30151134457776368</v>
      </c>
      <c r="P53" s="178">
        <v>-0.30151134457776368</v>
      </c>
      <c r="Q53" s="178">
        <v>3.5038662575901386E-18</v>
      </c>
      <c r="R53" s="178">
        <v>2.7217768164355761E-18</v>
      </c>
      <c r="S53" s="178">
        <v>-4.8648397958222036E-18</v>
      </c>
      <c r="T53" s="178">
        <v>-3.4698993818939737E-18</v>
      </c>
      <c r="U53" s="178">
        <v>2.1090961036904611E-18</v>
      </c>
      <c r="V53" s="178">
        <v>-1.7026561927194879E-18</v>
      </c>
      <c r="W53" s="178">
        <v>3.031784101846745E-18</v>
      </c>
      <c r="X53" s="178">
        <v>-1.3301392021015935E-18</v>
      </c>
      <c r="Y53" s="179">
        <v>0.15857601666096391</v>
      </c>
    </row>
    <row r="54" spans="2:25" x14ac:dyDescent="0.5">
      <c r="B54" s="171" t="s">
        <v>382</v>
      </c>
      <c r="C54" s="178">
        <v>-9.0909090909090884E-2</v>
      </c>
      <c r="D54" s="178">
        <v>-9.0909090909090884E-2</v>
      </c>
      <c r="E54" s="178">
        <v>-9.0909090909090856E-2</v>
      </c>
      <c r="F54" s="178">
        <v>-9.0909090909090856E-2</v>
      </c>
      <c r="G54" s="178">
        <v>-9.0909090909090925E-2</v>
      </c>
      <c r="H54" s="178">
        <v>-9.0909090909090925E-2</v>
      </c>
      <c r="I54" s="178">
        <v>-9.0909090909090925E-2</v>
      </c>
      <c r="J54" s="182">
        <v>1</v>
      </c>
      <c r="K54" s="178">
        <v>-9.0909090909090925E-2</v>
      </c>
      <c r="L54" s="178">
        <v>-9.0909090909090884E-2</v>
      </c>
      <c r="M54" s="178">
        <v>-9.0909090909090884E-2</v>
      </c>
      <c r="N54" s="178">
        <v>-9.0909090909090856E-2</v>
      </c>
      <c r="O54" s="178">
        <v>0.30151134457776368</v>
      </c>
      <c r="P54" s="178">
        <v>-0.30151134457776368</v>
      </c>
      <c r="Q54" s="178">
        <v>1.7604886952298177E-18</v>
      </c>
      <c r="R54" s="178">
        <v>-1.4625336452634553E-18</v>
      </c>
      <c r="S54" s="178">
        <v>-1.0291367425838136E-18</v>
      </c>
      <c r="T54" s="178">
        <v>4.550114133043448E-18</v>
      </c>
      <c r="U54" s="178">
        <v>3.6571854133014001E-19</v>
      </c>
      <c r="V54" s="178">
        <v>4.2149968818198143E-18</v>
      </c>
      <c r="W54" s="178">
        <v>-5.2526557087009586E-18</v>
      </c>
      <c r="X54" s="178">
        <v>1.0367197691192607E-18</v>
      </c>
      <c r="Y54" s="179">
        <v>-0.1904102263846473</v>
      </c>
    </row>
    <row r="55" spans="2:25" x14ac:dyDescent="0.5">
      <c r="B55" s="171" t="s">
        <v>383</v>
      </c>
      <c r="C55" s="178">
        <v>-9.0909090909090884E-2</v>
      </c>
      <c r="D55" s="178">
        <v>-9.0909090909090898E-2</v>
      </c>
      <c r="E55" s="178">
        <v>-9.0909090909090856E-2</v>
      </c>
      <c r="F55" s="178">
        <v>-9.0909090909090856E-2</v>
      </c>
      <c r="G55" s="178">
        <v>-9.0909090909090925E-2</v>
      </c>
      <c r="H55" s="178">
        <v>-9.0909090909090939E-2</v>
      </c>
      <c r="I55" s="178">
        <v>-9.0909090909090925E-2</v>
      </c>
      <c r="J55" s="178">
        <v>-9.0909090909090925E-2</v>
      </c>
      <c r="K55" s="182">
        <v>1</v>
      </c>
      <c r="L55" s="178">
        <v>-9.0909090909090912E-2</v>
      </c>
      <c r="M55" s="178">
        <v>-9.0909090909090884E-2</v>
      </c>
      <c r="N55" s="178">
        <v>-9.0909090909090856E-2</v>
      </c>
      <c r="O55" s="178">
        <v>0.3015113445777638</v>
      </c>
      <c r="P55" s="178">
        <v>-0.3015113445777638</v>
      </c>
      <c r="Q55" s="178">
        <v>-1.5520904202819168E-18</v>
      </c>
      <c r="R55" s="178">
        <v>6.296215855860602E-19</v>
      </c>
      <c r="S55" s="178">
        <v>1.2373647575031626E-18</v>
      </c>
      <c r="T55" s="178">
        <v>4.0270753253310689E-18</v>
      </c>
      <c r="U55" s="178">
        <v>-5.7364008819809482E-18</v>
      </c>
      <c r="V55" s="178">
        <v>3.1794328760997947E-18</v>
      </c>
      <c r="W55" s="178">
        <v>-1.5542128311294601E-18</v>
      </c>
      <c r="X55" s="178">
        <v>-1.6261591027322181E-18</v>
      </c>
      <c r="Y55" s="179">
        <v>-1.1008091212862409E-2</v>
      </c>
    </row>
    <row r="56" spans="2:25" x14ac:dyDescent="0.5">
      <c r="B56" s="171" t="s">
        <v>384</v>
      </c>
      <c r="C56" s="178">
        <v>-9.0909090909090884E-2</v>
      </c>
      <c r="D56" s="178">
        <v>-9.0909090909090898E-2</v>
      </c>
      <c r="E56" s="178">
        <v>-9.0909090909090856E-2</v>
      </c>
      <c r="F56" s="178">
        <v>-9.0909090909090856E-2</v>
      </c>
      <c r="G56" s="178">
        <v>-9.0909090909090912E-2</v>
      </c>
      <c r="H56" s="178">
        <v>-9.0909090909090939E-2</v>
      </c>
      <c r="I56" s="178">
        <v>-9.0909090909090912E-2</v>
      </c>
      <c r="J56" s="178">
        <v>-9.0909090909090884E-2</v>
      </c>
      <c r="K56" s="178">
        <v>-9.0909090909090912E-2</v>
      </c>
      <c r="L56" s="182">
        <v>1</v>
      </c>
      <c r="M56" s="178">
        <v>-9.0909090909090884E-2</v>
      </c>
      <c r="N56" s="178">
        <v>-9.0909090909090856E-2</v>
      </c>
      <c r="O56" s="178">
        <v>0.30151134457776374</v>
      </c>
      <c r="P56" s="178">
        <v>-0.30151134457776374</v>
      </c>
      <c r="Q56" s="178">
        <v>1.3865976725291719E-18</v>
      </c>
      <c r="R56" s="178">
        <v>3.2689925482023678E-20</v>
      </c>
      <c r="S56" s="178">
        <v>-7.4914412562970966E-21</v>
      </c>
      <c r="T56" s="178">
        <v>2.7806867863146398E-18</v>
      </c>
      <c r="U56" s="178">
        <v>-8.1724813705059226E-21</v>
      </c>
      <c r="V56" s="178">
        <v>7.4916583538807669E-18</v>
      </c>
      <c r="W56" s="178">
        <v>-1.9809784662992337E-18</v>
      </c>
      <c r="X56" s="178">
        <v>-5.499122253589122E-18</v>
      </c>
      <c r="Y56" s="179">
        <v>0.14875798936300547</v>
      </c>
    </row>
    <row r="57" spans="2:25" x14ac:dyDescent="0.5">
      <c r="B57" s="171" t="s">
        <v>385</v>
      </c>
      <c r="C57" s="178">
        <v>-9.0909090909090856E-2</v>
      </c>
      <c r="D57" s="178">
        <v>-9.0909090909090884E-2</v>
      </c>
      <c r="E57" s="178">
        <v>-9.0909090909090828E-2</v>
      </c>
      <c r="F57" s="178">
        <v>-9.0909090909090828E-2</v>
      </c>
      <c r="G57" s="178">
        <v>-9.0909090909090856E-2</v>
      </c>
      <c r="H57" s="178">
        <v>-9.0909090909090842E-2</v>
      </c>
      <c r="I57" s="178">
        <v>-9.0909090909090856E-2</v>
      </c>
      <c r="J57" s="178">
        <v>-9.0909090909090884E-2</v>
      </c>
      <c r="K57" s="178">
        <v>-9.0909090909090884E-2</v>
      </c>
      <c r="L57" s="178">
        <v>-9.0909090909090884E-2</v>
      </c>
      <c r="M57" s="182">
        <v>1</v>
      </c>
      <c r="N57" s="178">
        <v>-9.0909090909090828E-2</v>
      </c>
      <c r="O57" s="178">
        <v>-0.30151134457776363</v>
      </c>
      <c r="P57" s="178">
        <v>0.30151134457776363</v>
      </c>
      <c r="Q57" s="178">
        <v>-5.5621397427577663E-18</v>
      </c>
      <c r="R57" s="178">
        <v>-6.7763491363778254E-20</v>
      </c>
      <c r="S57" s="178">
        <v>-4.1674547188723642E-18</v>
      </c>
      <c r="T57" s="178">
        <v>5.5961066184539296E-18</v>
      </c>
      <c r="U57" s="178">
        <v>2.8064811806402993E-18</v>
      </c>
      <c r="V57" s="178">
        <v>2.4395998301605899E-18</v>
      </c>
      <c r="W57" s="178">
        <v>-1.1104719210333328E-18</v>
      </c>
      <c r="X57" s="178">
        <v>-1.4663748127871373E-19</v>
      </c>
      <c r="Y57" s="179">
        <v>-0.19219532225700328</v>
      </c>
    </row>
    <row r="58" spans="2:25" x14ac:dyDescent="0.5">
      <c r="B58" s="171" t="s">
        <v>386</v>
      </c>
      <c r="C58" s="178">
        <v>-9.0909090909090801E-2</v>
      </c>
      <c r="D58" s="178">
        <v>-9.0909090909090842E-2</v>
      </c>
      <c r="E58" s="178">
        <v>-9.0909090909090828E-2</v>
      </c>
      <c r="F58" s="178">
        <v>-9.0909090909090842E-2</v>
      </c>
      <c r="G58" s="178">
        <v>-9.0909090909090828E-2</v>
      </c>
      <c r="H58" s="178">
        <v>-9.0909090909090801E-2</v>
      </c>
      <c r="I58" s="178">
        <v>-9.0909090909090842E-2</v>
      </c>
      <c r="J58" s="178">
        <v>-9.0909090909090856E-2</v>
      </c>
      <c r="K58" s="178">
        <v>-9.0909090909090856E-2</v>
      </c>
      <c r="L58" s="178">
        <v>-9.0909090909090856E-2</v>
      </c>
      <c r="M58" s="178">
        <v>-9.0909090909090828E-2</v>
      </c>
      <c r="N58" s="182">
        <v>1</v>
      </c>
      <c r="O58" s="178">
        <v>-0.30151134457776368</v>
      </c>
      <c r="P58" s="178">
        <v>0.30151134457776368</v>
      </c>
      <c r="Q58" s="178">
        <v>-5.5621397427577647E-18</v>
      </c>
      <c r="R58" s="178">
        <v>-6.7763491363778254E-20</v>
      </c>
      <c r="S58" s="178">
        <v>1.4116258967263457E-18</v>
      </c>
      <c r="T58" s="178">
        <v>1.7026002855220671E-20</v>
      </c>
      <c r="U58" s="178">
        <v>2.8064811806402993E-18</v>
      </c>
      <c r="V58" s="178">
        <v>5.9901049926292274E-18</v>
      </c>
      <c r="W58" s="178">
        <v>-5.84447880432485E-18</v>
      </c>
      <c r="X58" s="178">
        <v>-2.5136409229244726E-18</v>
      </c>
      <c r="Y58" s="179">
        <v>0.17553442744834666</v>
      </c>
    </row>
    <row r="59" spans="2:25" x14ac:dyDescent="0.5">
      <c r="B59" s="171" t="s">
        <v>387</v>
      </c>
      <c r="C59" s="178">
        <v>-0.30151134457776363</v>
      </c>
      <c r="D59" s="178">
        <v>-0.30151134457776363</v>
      </c>
      <c r="E59" s="178">
        <v>-0.30151134457776363</v>
      </c>
      <c r="F59" s="178">
        <v>-0.30151134457776363</v>
      </c>
      <c r="G59" s="178">
        <v>0.30151134457776352</v>
      </c>
      <c r="H59" s="178">
        <v>0.30151134457776363</v>
      </c>
      <c r="I59" s="178">
        <v>0.30151134457776368</v>
      </c>
      <c r="J59" s="178">
        <v>0.30151134457776368</v>
      </c>
      <c r="K59" s="178">
        <v>0.3015113445777638</v>
      </c>
      <c r="L59" s="178">
        <v>0.30151134457776374</v>
      </c>
      <c r="M59" s="178">
        <v>-0.30151134457776363</v>
      </c>
      <c r="N59" s="178">
        <v>-0.30151134457776368</v>
      </c>
      <c r="O59" s="182">
        <v>1</v>
      </c>
      <c r="P59" s="178">
        <v>-1</v>
      </c>
      <c r="Q59" s="178">
        <v>-4.1022746783244939E-18</v>
      </c>
      <c r="R59" s="178">
        <v>-8.2632769743252818E-18</v>
      </c>
      <c r="S59" s="178">
        <v>1.1317866011668125E-17</v>
      </c>
      <c r="T59" s="178">
        <v>-1.0185100616873375E-18</v>
      </c>
      <c r="U59" s="178">
        <v>-1.3354133216867465E-17</v>
      </c>
      <c r="V59" s="178">
        <v>7.6121629415759982E-18</v>
      </c>
      <c r="W59" s="178">
        <v>-8.0900393897756497E-18</v>
      </c>
      <c r="X59" s="178">
        <v>5.7147123384303244E-18</v>
      </c>
      <c r="Y59" s="179">
        <v>-1.0360863140980156E-2</v>
      </c>
    </row>
    <row r="60" spans="2:25" x14ac:dyDescent="0.5">
      <c r="B60" s="171" t="s">
        <v>388</v>
      </c>
      <c r="C60" s="178">
        <v>0.30151134457776363</v>
      </c>
      <c r="D60" s="178">
        <v>0.30151134457776363</v>
      </c>
      <c r="E60" s="178">
        <v>0.30151134457776363</v>
      </c>
      <c r="F60" s="178">
        <v>0.30151134457776363</v>
      </c>
      <c r="G60" s="178">
        <v>-0.30151134457776352</v>
      </c>
      <c r="H60" s="178">
        <v>-0.30151134457776363</v>
      </c>
      <c r="I60" s="178">
        <v>-0.30151134457776368</v>
      </c>
      <c r="J60" s="178">
        <v>-0.30151134457776368</v>
      </c>
      <c r="K60" s="178">
        <v>-0.3015113445777638</v>
      </c>
      <c r="L60" s="178">
        <v>-0.30151134457776374</v>
      </c>
      <c r="M60" s="178">
        <v>0.30151134457776363</v>
      </c>
      <c r="N60" s="178">
        <v>0.30151134457776368</v>
      </c>
      <c r="O60" s="178">
        <v>-1</v>
      </c>
      <c r="P60" s="182">
        <v>1</v>
      </c>
      <c r="Q60" s="178">
        <v>4.1024629078683277E-18</v>
      </c>
      <c r="R60" s="178">
        <v>8.2625240561499448E-18</v>
      </c>
      <c r="S60" s="178">
        <v>-1.1317677782124292E-17</v>
      </c>
      <c r="T60" s="178">
        <v>1.0186982912311717E-18</v>
      </c>
      <c r="U60" s="178">
        <v>1.3354321446411298E-17</v>
      </c>
      <c r="V60" s="178">
        <v>-7.6118435054475215E-18</v>
      </c>
      <c r="W60" s="178">
        <v>8.0903588259041249E-18</v>
      </c>
      <c r="X60" s="178">
        <v>-5.7153512106872762E-18</v>
      </c>
      <c r="Y60" s="179">
        <v>1.0360863140980156E-2</v>
      </c>
    </row>
    <row r="61" spans="2:25" x14ac:dyDescent="0.5">
      <c r="B61" s="171" t="s">
        <v>389</v>
      </c>
      <c r="C61" s="178">
        <v>-2.7728548250012389E-18</v>
      </c>
      <c r="D61" s="178">
        <v>-2.075299488022848E-18</v>
      </c>
      <c r="E61" s="178">
        <v>-6.9570801566859938E-18</v>
      </c>
      <c r="F61" s="178">
        <v>-6.9569098966574419E-18</v>
      </c>
      <c r="G61" s="178">
        <v>-2.075299488022848E-18</v>
      </c>
      <c r="H61" s="178">
        <v>-2.075299488022848E-18</v>
      </c>
      <c r="I61" s="178">
        <v>3.5038662575901386E-18</v>
      </c>
      <c r="J61" s="178">
        <v>1.7604886952298177E-18</v>
      </c>
      <c r="K61" s="178">
        <v>-1.5520904202819168E-18</v>
      </c>
      <c r="L61" s="178">
        <v>1.3865976725291719E-18</v>
      </c>
      <c r="M61" s="178">
        <v>-5.5621397427577663E-18</v>
      </c>
      <c r="N61" s="178">
        <v>-5.5621397427577647E-18</v>
      </c>
      <c r="O61" s="178">
        <v>-4.1022746783244939E-18</v>
      </c>
      <c r="P61" s="178">
        <v>4.1024629078683277E-18</v>
      </c>
      <c r="Q61" s="182">
        <v>1</v>
      </c>
      <c r="R61" s="178">
        <v>-0.24999999999999994</v>
      </c>
      <c r="S61" s="178">
        <v>-0.25000000000000028</v>
      </c>
      <c r="T61" s="178">
        <v>-0.25000000000000011</v>
      </c>
      <c r="U61" s="178">
        <v>-0.24999999999999994</v>
      </c>
      <c r="V61" s="178">
        <v>1.6393062818212484E-17</v>
      </c>
      <c r="W61" s="178">
        <v>3.3097575861688774E-18</v>
      </c>
      <c r="X61" s="178">
        <v>-6.6203137626589457E-18</v>
      </c>
      <c r="Y61" s="179">
        <v>-3.7989831516927287E-2</v>
      </c>
    </row>
    <row r="62" spans="2:25" x14ac:dyDescent="0.5">
      <c r="B62" s="171" t="s">
        <v>392</v>
      </c>
      <c r="C62" s="178">
        <v>-2.8559417189347145E-18</v>
      </c>
      <c r="D62" s="178">
        <v>-6.7422971306673859E-20</v>
      </c>
      <c r="E62" s="178">
        <v>5.5123386844062422E-18</v>
      </c>
      <c r="F62" s="178">
        <v>-6.7763491363778254E-20</v>
      </c>
      <c r="G62" s="178">
        <v>-6.7422971306673847E-20</v>
      </c>
      <c r="H62" s="178">
        <v>-6.7422971306673847E-20</v>
      </c>
      <c r="I62" s="178">
        <v>2.7217768164355761E-18</v>
      </c>
      <c r="J62" s="178">
        <v>-1.4625336452634553E-18</v>
      </c>
      <c r="K62" s="178">
        <v>6.296215855860602E-19</v>
      </c>
      <c r="L62" s="178">
        <v>3.2689925482023678E-20</v>
      </c>
      <c r="M62" s="178">
        <v>-6.7763491363778254E-20</v>
      </c>
      <c r="N62" s="178">
        <v>-6.7763491363778254E-20</v>
      </c>
      <c r="O62" s="178">
        <v>-8.2632769743252818E-18</v>
      </c>
      <c r="P62" s="178">
        <v>8.2625240561499448E-18</v>
      </c>
      <c r="Q62" s="178">
        <v>-0.24999999999999994</v>
      </c>
      <c r="R62" s="182">
        <v>1</v>
      </c>
      <c r="S62" s="178">
        <v>-0.25000000000000011</v>
      </c>
      <c r="T62" s="178">
        <v>-0.25000000000000011</v>
      </c>
      <c r="U62" s="178">
        <v>-0.24999999999999992</v>
      </c>
      <c r="V62" s="178">
        <v>1.2932371661338831E-17</v>
      </c>
      <c r="W62" s="178">
        <v>-1.5412793198952662E-19</v>
      </c>
      <c r="X62" s="178">
        <v>3.1145022526381028E-19</v>
      </c>
      <c r="Y62" s="179">
        <v>-2.2201849587814614E-3</v>
      </c>
    </row>
    <row r="63" spans="2:25" x14ac:dyDescent="0.5">
      <c r="B63" s="171" t="s">
        <v>390</v>
      </c>
      <c r="C63" s="178">
        <v>-4.1677101089151928E-18</v>
      </c>
      <c r="D63" s="178">
        <v>-4.1675398488866409E-18</v>
      </c>
      <c r="E63" s="178">
        <v>5.5956809683825491E-18</v>
      </c>
      <c r="F63" s="178">
        <v>5.5959363584253777E-18</v>
      </c>
      <c r="G63" s="178">
        <v>1.41154076671207E-18</v>
      </c>
      <c r="H63" s="178">
        <v>-4.8649249258364795E-18</v>
      </c>
      <c r="I63" s="178">
        <v>-4.8648397958222036E-18</v>
      </c>
      <c r="J63" s="178">
        <v>-1.0291367425838136E-18</v>
      </c>
      <c r="K63" s="178">
        <v>1.2373647575031626E-18</v>
      </c>
      <c r="L63" s="178">
        <v>-7.4914412562970966E-21</v>
      </c>
      <c r="M63" s="178">
        <v>-4.1674547188723642E-18</v>
      </c>
      <c r="N63" s="178">
        <v>1.4116258967263457E-18</v>
      </c>
      <c r="O63" s="178">
        <v>1.1317866011668125E-17</v>
      </c>
      <c r="P63" s="178">
        <v>-1.1317677782124292E-17</v>
      </c>
      <c r="Q63" s="178">
        <v>-0.25000000000000028</v>
      </c>
      <c r="R63" s="178">
        <v>-0.25000000000000011</v>
      </c>
      <c r="S63" s="182">
        <v>1</v>
      </c>
      <c r="T63" s="178">
        <v>-0.25000000000000022</v>
      </c>
      <c r="U63" s="178">
        <v>-0.25000000000000017</v>
      </c>
      <c r="V63" s="178">
        <v>-1.63173963852798E-17</v>
      </c>
      <c r="W63" s="178">
        <v>2.2935514024555473E-17</v>
      </c>
      <c r="X63" s="178">
        <v>6.4641893548664449E-18</v>
      </c>
      <c r="Y63" s="179">
        <v>0.11742311559777519</v>
      </c>
    </row>
    <row r="64" spans="2:25" x14ac:dyDescent="0.5">
      <c r="B64" s="171" t="s">
        <v>391</v>
      </c>
      <c r="C64" s="178">
        <v>2.806310920611747E-18</v>
      </c>
      <c r="D64" s="178">
        <v>2.8064811806403E-18</v>
      </c>
      <c r="E64" s="178">
        <v>-6.9570801566859938E-18</v>
      </c>
      <c r="F64" s="178">
        <v>1.7026002855220671E-20</v>
      </c>
      <c r="G64" s="178">
        <v>1.6940872840944569E-20</v>
      </c>
      <c r="H64" s="178">
        <v>-6.8044420410889412E-19</v>
      </c>
      <c r="I64" s="178">
        <v>-3.4698993818939737E-18</v>
      </c>
      <c r="J64" s="178">
        <v>4.550114133043448E-18</v>
      </c>
      <c r="K64" s="178">
        <v>4.0270753253310689E-18</v>
      </c>
      <c r="L64" s="178">
        <v>2.7806867863146398E-18</v>
      </c>
      <c r="M64" s="178">
        <v>5.5961066184539296E-18</v>
      </c>
      <c r="N64" s="178">
        <v>1.7026002855220671E-20</v>
      </c>
      <c r="O64" s="178">
        <v>-1.0185100616873375E-18</v>
      </c>
      <c r="P64" s="178">
        <v>1.0186982912311717E-18</v>
      </c>
      <c r="Q64" s="178">
        <v>-0.25000000000000011</v>
      </c>
      <c r="R64" s="178">
        <v>-0.25000000000000011</v>
      </c>
      <c r="S64" s="178">
        <v>-0.25000000000000022</v>
      </c>
      <c r="T64" s="182">
        <v>1</v>
      </c>
      <c r="U64" s="178">
        <v>-0.25000000000000006</v>
      </c>
      <c r="V64" s="178">
        <v>-3.5943152823666398E-17</v>
      </c>
      <c r="W64" s="178">
        <v>2.9477965230898468E-17</v>
      </c>
      <c r="X64" s="178">
        <v>1.954749458691005E-17</v>
      </c>
      <c r="Y64" s="179">
        <v>3.3549461599364304E-2</v>
      </c>
    </row>
    <row r="65" spans="2:25" x14ac:dyDescent="0.5">
      <c r="B65" s="171" t="s">
        <v>437</v>
      </c>
      <c r="C65" s="178">
        <v>1.6685482798116255E-20</v>
      </c>
      <c r="D65" s="178">
        <v>1.6855742826668471E-20</v>
      </c>
      <c r="E65" s="178">
        <v>-4.1675398488866402E-18</v>
      </c>
      <c r="F65" s="178">
        <v>1.4117110267406219E-18</v>
      </c>
      <c r="G65" s="178">
        <v>-3.4700696419225249E-18</v>
      </c>
      <c r="H65" s="178">
        <v>-2.0752994880228477E-18</v>
      </c>
      <c r="I65" s="178">
        <v>2.1090961036904611E-18</v>
      </c>
      <c r="J65" s="178">
        <v>3.6571854133014001E-19</v>
      </c>
      <c r="K65" s="178">
        <v>-5.7364008819809482E-18</v>
      </c>
      <c r="L65" s="178">
        <v>-8.1724813705059226E-21</v>
      </c>
      <c r="M65" s="178">
        <v>2.8064811806402993E-18</v>
      </c>
      <c r="N65" s="178">
        <v>2.8064811806402993E-18</v>
      </c>
      <c r="O65" s="178">
        <v>-1.3354133216867465E-17</v>
      </c>
      <c r="P65" s="178">
        <v>1.3354321446411298E-17</v>
      </c>
      <c r="Q65" s="178">
        <v>-0.24999999999999994</v>
      </c>
      <c r="R65" s="178">
        <v>-0.24999999999999992</v>
      </c>
      <c r="S65" s="178">
        <v>-0.25000000000000017</v>
      </c>
      <c r="T65" s="178">
        <v>-0.25000000000000006</v>
      </c>
      <c r="U65" s="182">
        <v>1</v>
      </c>
      <c r="V65" s="178">
        <v>2.9477166640577279E-17</v>
      </c>
      <c r="W65" s="178">
        <v>3.3097575861688774E-18</v>
      </c>
      <c r="X65" s="178">
        <v>-5.895672905211812E-17</v>
      </c>
      <c r="Y65" s="179">
        <v>-0.1107625607214307</v>
      </c>
    </row>
    <row r="66" spans="2:25" x14ac:dyDescent="0.5">
      <c r="B66" s="171" t="s">
        <v>778</v>
      </c>
      <c r="C66" s="178">
        <v>7.2235212452568325E-20</v>
      </c>
      <c r="D66" s="178">
        <v>2.4395275949481375E-18</v>
      </c>
      <c r="E66" s="178">
        <v>1.0723822935070934E-17</v>
      </c>
      <c r="F66" s="178">
        <v>3.6231015509834683E-18</v>
      </c>
      <c r="G66" s="178">
        <v>4.806531036593897E-18</v>
      </c>
      <c r="H66" s="178">
        <v>6.6427501371381834E-19</v>
      </c>
      <c r="I66" s="178">
        <v>-1.7026561927194879E-18</v>
      </c>
      <c r="J66" s="178">
        <v>4.2149968818198143E-18</v>
      </c>
      <c r="K66" s="178">
        <v>3.1794328760997947E-18</v>
      </c>
      <c r="L66" s="178">
        <v>7.4916583538807669E-18</v>
      </c>
      <c r="M66" s="178">
        <v>2.4395998301605899E-18</v>
      </c>
      <c r="N66" s="178">
        <v>5.9901049926292274E-18</v>
      </c>
      <c r="O66" s="178">
        <v>7.6121629415759982E-18</v>
      </c>
      <c r="P66" s="178">
        <v>-7.6118435054475215E-18</v>
      </c>
      <c r="Q66" s="178">
        <v>1.6393062818212484E-17</v>
      </c>
      <c r="R66" s="178">
        <v>1.2932371661338831E-17</v>
      </c>
      <c r="S66" s="178">
        <v>-1.63173963852798E-17</v>
      </c>
      <c r="T66" s="178">
        <v>-3.5943152823666398E-17</v>
      </c>
      <c r="U66" s="178">
        <v>2.9477166640577279E-17</v>
      </c>
      <c r="V66" s="182">
        <v>1</v>
      </c>
      <c r="W66" s="178">
        <v>-0.5</v>
      </c>
      <c r="X66" s="178">
        <v>-0.49999999999999994</v>
      </c>
      <c r="Y66" s="179">
        <v>0.13640754786189196</v>
      </c>
    </row>
    <row r="67" spans="2:25" x14ac:dyDescent="0.5">
      <c r="B67" s="171" t="s">
        <v>779</v>
      </c>
      <c r="C67" s="178">
        <v>-2.2944070531309278E-18</v>
      </c>
      <c r="D67" s="178">
        <v>-3.4776198331039972E-18</v>
      </c>
      <c r="E67" s="178">
        <v>-1.5312781511757691E-17</v>
      </c>
      <c r="F67" s="178">
        <v>-1.0578485687616367E-17</v>
      </c>
      <c r="G67" s="178">
        <v>-4.6611215539268767E-18</v>
      </c>
      <c r="H67" s="178">
        <v>-4.0693706935154369E-18</v>
      </c>
      <c r="I67" s="178">
        <v>3.031784101846745E-18</v>
      </c>
      <c r="J67" s="178">
        <v>-5.2526557087009586E-18</v>
      </c>
      <c r="K67" s="178">
        <v>-1.5542128311294601E-18</v>
      </c>
      <c r="L67" s="178">
        <v>-1.9809784662992337E-18</v>
      </c>
      <c r="M67" s="178">
        <v>-1.1104719210333328E-18</v>
      </c>
      <c r="N67" s="178">
        <v>-5.84447880432485E-18</v>
      </c>
      <c r="O67" s="178">
        <v>-8.0900393897756497E-18</v>
      </c>
      <c r="P67" s="178">
        <v>8.0903588259041249E-18</v>
      </c>
      <c r="Q67" s="178">
        <v>3.3097575861688774E-18</v>
      </c>
      <c r="R67" s="178">
        <v>-1.5412793198952662E-19</v>
      </c>
      <c r="S67" s="178">
        <v>2.2935514024555473E-17</v>
      </c>
      <c r="T67" s="178">
        <v>2.9477965230898468E-17</v>
      </c>
      <c r="U67" s="178">
        <v>3.3097575861688774E-18</v>
      </c>
      <c r="V67" s="178">
        <v>-0.5</v>
      </c>
      <c r="W67" s="182">
        <v>1</v>
      </c>
      <c r="X67" s="178">
        <v>-0.49999999999999994</v>
      </c>
      <c r="Y67" s="179">
        <v>5.3725734963507354E-2</v>
      </c>
    </row>
    <row r="68" spans="2:25" x14ac:dyDescent="0.5">
      <c r="B68" s="171" t="s">
        <v>780</v>
      </c>
      <c r="C68" s="178">
        <v>-1.4577065872928287E-19</v>
      </c>
      <c r="D68" s="178">
        <v>-1.4634854042890348E-19</v>
      </c>
      <c r="E68" s="178">
        <v>2.2209438420666656E-18</v>
      </c>
      <c r="F68" s="178">
        <v>6.9543728436585644E-18</v>
      </c>
      <c r="G68" s="178">
        <v>-1.4634854042890343E-19</v>
      </c>
      <c r="H68" s="178">
        <v>3.4041566220397353E-18</v>
      </c>
      <c r="I68" s="178">
        <v>-1.3301392021015935E-18</v>
      </c>
      <c r="J68" s="178">
        <v>1.0367197691192607E-18</v>
      </c>
      <c r="K68" s="178">
        <v>-1.6261591027322181E-18</v>
      </c>
      <c r="L68" s="178">
        <v>-5.499122253589122E-18</v>
      </c>
      <c r="M68" s="178">
        <v>-1.4663748127871373E-19</v>
      </c>
      <c r="N68" s="178">
        <v>-2.5136409229244726E-18</v>
      </c>
      <c r="O68" s="178">
        <v>5.7147123384303244E-18</v>
      </c>
      <c r="P68" s="178">
        <v>-5.7153512106872762E-18</v>
      </c>
      <c r="Q68" s="178">
        <v>-6.6203137626589457E-18</v>
      </c>
      <c r="R68" s="178">
        <v>3.1145022526381028E-19</v>
      </c>
      <c r="S68" s="178">
        <v>6.4641893548664449E-18</v>
      </c>
      <c r="T68" s="178">
        <v>1.954749458691005E-17</v>
      </c>
      <c r="U68" s="178">
        <v>-5.895672905211812E-17</v>
      </c>
      <c r="V68" s="178">
        <v>-0.49999999999999994</v>
      </c>
      <c r="W68" s="178">
        <v>-0.49999999999999994</v>
      </c>
      <c r="X68" s="182">
        <v>1</v>
      </c>
      <c r="Y68" s="179">
        <v>-0.1901332828253994</v>
      </c>
    </row>
    <row r="69" spans="2:25" ht="14.7" thickBot="1" x14ac:dyDescent="0.55000000000000004">
      <c r="B69" s="175" t="s">
        <v>774</v>
      </c>
      <c r="C69" s="180">
        <v>6.7536127170804525E-2</v>
      </c>
      <c r="D69" s="180">
        <v>0.15857601666096399</v>
      </c>
      <c r="E69" s="180">
        <v>-0.18951767844846912</v>
      </c>
      <c r="F69" s="180">
        <v>-1.1900639149040437E-3</v>
      </c>
      <c r="G69" s="180">
        <v>-0.14489028163956749</v>
      </c>
      <c r="H69" s="180">
        <v>2.0231086553368759E-2</v>
      </c>
      <c r="I69" s="180">
        <v>0.15857601666096391</v>
      </c>
      <c r="J69" s="180">
        <v>-0.1904102263846473</v>
      </c>
      <c r="K69" s="180">
        <v>-1.1008091212862409E-2</v>
      </c>
      <c r="L69" s="180">
        <v>0.14875798936300547</v>
      </c>
      <c r="M69" s="180">
        <v>-0.19219532225700328</v>
      </c>
      <c r="N69" s="180">
        <v>0.17553442744834666</v>
      </c>
      <c r="O69" s="180">
        <v>-1.0360863140980156E-2</v>
      </c>
      <c r="P69" s="180">
        <v>1.0360863140980156E-2</v>
      </c>
      <c r="Q69" s="180">
        <v>-3.7989831516927287E-2</v>
      </c>
      <c r="R69" s="180">
        <v>-2.2201849587814614E-3</v>
      </c>
      <c r="S69" s="180">
        <v>0.11742311559777519</v>
      </c>
      <c r="T69" s="180">
        <v>3.3549461599364304E-2</v>
      </c>
      <c r="U69" s="180">
        <v>-0.1107625607214307</v>
      </c>
      <c r="V69" s="180">
        <v>0.13640754786189196</v>
      </c>
      <c r="W69" s="180">
        <v>5.3725734963507354E-2</v>
      </c>
      <c r="X69" s="180">
        <v>-0.1901332828253994</v>
      </c>
      <c r="Y69" s="183">
        <v>1</v>
      </c>
    </row>
    <row r="72" spans="2:25" x14ac:dyDescent="0.5">
      <c r="B72" s="89" t="s">
        <v>781</v>
      </c>
    </row>
    <row r="74" spans="2:25" x14ac:dyDescent="0.5">
      <c r="B74" t="s">
        <v>252</v>
      </c>
    </row>
    <row r="75" spans="2:25" ht="14.7" thickBot="1" x14ac:dyDescent="0.55000000000000004"/>
    <row r="76" spans="2:25" x14ac:dyDescent="0.5">
      <c r="B76" s="184" t="s">
        <v>221</v>
      </c>
      <c r="C76" s="185">
        <v>180</v>
      </c>
    </row>
    <row r="77" spans="2:25" x14ac:dyDescent="0.5">
      <c r="B77" s="160" t="s">
        <v>253</v>
      </c>
      <c r="C77" s="186">
        <v>180</v>
      </c>
    </row>
    <row r="78" spans="2:25" x14ac:dyDescent="0.5">
      <c r="B78" s="160" t="s">
        <v>254</v>
      </c>
      <c r="C78" s="169">
        <v>-189.03672740509413</v>
      </c>
    </row>
    <row r="79" spans="2:25" x14ac:dyDescent="0.5">
      <c r="B79" s="160" t="s">
        <v>255</v>
      </c>
      <c r="C79" s="169">
        <v>-185.03672740509413</v>
      </c>
    </row>
    <row r="80" spans="2:25" x14ac:dyDescent="0.5">
      <c r="B80" s="160" t="s">
        <v>256</v>
      </c>
      <c r="C80" s="169">
        <v>-184.96893079492463</v>
      </c>
    </row>
    <row r="81" spans="2:6" x14ac:dyDescent="0.5">
      <c r="B81" s="160" t="s">
        <v>257</v>
      </c>
      <c r="C81" s="169">
        <v>-178.6508137033137</v>
      </c>
    </row>
    <row r="82" spans="2:6" x14ac:dyDescent="0.5">
      <c r="B82" s="160" t="s">
        <v>258</v>
      </c>
      <c r="C82" s="169">
        <v>-176.6508137033137</v>
      </c>
    </row>
    <row r="83" spans="2:6" x14ac:dyDescent="0.5">
      <c r="B83" s="160" t="s">
        <v>259</v>
      </c>
      <c r="C83" s="186">
        <v>7</v>
      </c>
    </row>
    <row r="84" spans="2:6" x14ac:dyDescent="0.5">
      <c r="B84" s="160" t="s">
        <v>260</v>
      </c>
      <c r="C84" s="186">
        <v>2</v>
      </c>
    </row>
    <row r="85" spans="2:6" x14ac:dyDescent="0.5">
      <c r="B85" s="160" t="s">
        <v>261</v>
      </c>
      <c r="C85" s="186">
        <v>1</v>
      </c>
    </row>
    <row r="86" spans="2:6" x14ac:dyDescent="0.5">
      <c r="B86" s="160" t="s">
        <v>262</v>
      </c>
      <c r="C86" s="186">
        <v>0</v>
      </c>
    </row>
    <row r="87" spans="2:6" x14ac:dyDescent="0.5">
      <c r="B87" s="160" t="s">
        <v>263</v>
      </c>
      <c r="C87" s="186">
        <v>12</v>
      </c>
    </row>
    <row r="88" spans="2:6" ht="14.7" thickBot="1" x14ac:dyDescent="0.55000000000000004">
      <c r="B88" s="167" t="s">
        <v>264</v>
      </c>
      <c r="C88" s="187">
        <v>15</v>
      </c>
    </row>
    <row r="91" spans="2:6" x14ac:dyDescent="0.5">
      <c r="B91" t="s">
        <v>265</v>
      </c>
    </row>
    <row r="92" spans="2:6" ht="14.7" thickBot="1" x14ac:dyDescent="0.55000000000000004"/>
    <row r="93" spans="2:6" x14ac:dyDescent="0.5">
      <c r="B93" s="161"/>
      <c r="C93" s="162" t="s">
        <v>266</v>
      </c>
      <c r="D93" s="162" t="s">
        <v>267</v>
      </c>
      <c r="E93" s="162" t="s">
        <v>268</v>
      </c>
      <c r="F93" s="162" t="s">
        <v>269</v>
      </c>
    </row>
    <row r="94" spans="2:6" x14ac:dyDescent="0.5">
      <c r="B94" s="163" t="s">
        <v>270</v>
      </c>
      <c r="C94" s="168">
        <v>1.0282603174588421E-2</v>
      </c>
      <c r="D94" s="168">
        <v>1.2290040673510116E-3</v>
      </c>
      <c r="E94" s="168">
        <v>8.3666144382674705</v>
      </c>
      <c r="F94" s="188" t="s">
        <v>272</v>
      </c>
    </row>
    <row r="95" spans="2:6" ht="14.7" thickBot="1" x14ac:dyDescent="0.55000000000000004">
      <c r="B95" s="167" t="s">
        <v>271</v>
      </c>
      <c r="C95" s="170">
        <v>3.5133968252340766E-3</v>
      </c>
      <c r="D95" s="170">
        <v>1.8795768945176947E-3</v>
      </c>
      <c r="E95" s="170">
        <v>1.8692487843843308</v>
      </c>
      <c r="F95" s="170">
        <v>6.1588209931301E-2</v>
      </c>
    </row>
    <row r="98" spans="2:8" x14ac:dyDescent="0.5">
      <c r="B98" t="s">
        <v>273</v>
      </c>
    </row>
    <row r="99" spans="2:8" ht="14.7" thickBot="1" x14ac:dyDescent="0.55000000000000004"/>
    <row r="100" spans="2:8" x14ac:dyDescent="0.5">
      <c r="B100" s="162" t="s">
        <v>274</v>
      </c>
      <c r="C100" s="162" t="s">
        <v>275</v>
      </c>
      <c r="D100" s="162" t="s">
        <v>276</v>
      </c>
    </row>
    <row r="101" spans="2:8" ht="14.7" thickBot="1" x14ac:dyDescent="0.55000000000000004">
      <c r="B101" s="165">
        <v>1</v>
      </c>
      <c r="C101" s="166">
        <v>25.964583857206776</v>
      </c>
      <c r="D101" s="189" t="s">
        <v>272</v>
      </c>
    </row>
    <row r="104" spans="2:8" x14ac:dyDescent="0.5">
      <c r="B104" t="s">
        <v>277</v>
      </c>
    </row>
    <row r="105" spans="2:8" ht="14.7" thickBot="1" x14ac:dyDescent="0.55000000000000004"/>
    <row r="106" spans="2:8" x14ac:dyDescent="0.5">
      <c r="B106" s="161" t="s">
        <v>278</v>
      </c>
      <c r="C106" s="162" t="s">
        <v>279</v>
      </c>
      <c r="D106" s="162" t="s">
        <v>280</v>
      </c>
      <c r="E106" s="162" t="s">
        <v>62</v>
      </c>
      <c r="F106" s="162" t="s">
        <v>281</v>
      </c>
    </row>
    <row r="107" spans="2:8" ht="14.7" thickBot="1" x14ac:dyDescent="0.55000000000000004">
      <c r="B107" s="164" t="s">
        <v>782</v>
      </c>
      <c r="C107" s="165">
        <v>29</v>
      </c>
      <c r="D107" s="165">
        <v>150</v>
      </c>
      <c r="E107" s="166">
        <v>23.542259305069912</v>
      </c>
      <c r="F107" s="189" t="s">
        <v>272</v>
      </c>
    </row>
    <row r="110" spans="2:8" x14ac:dyDescent="0.5">
      <c r="B110" t="s">
        <v>283</v>
      </c>
    </row>
    <row r="111" spans="2:8" ht="14.7" thickBot="1" x14ac:dyDescent="0.55000000000000004"/>
    <row r="112" spans="2:8" x14ac:dyDescent="0.5">
      <c r="B112" s="161" t="s">
        <v>284</v>
      </c>
      <c r="C112" s="162" t="s">
        <v>285</v>
      </c>
      <c r="D112" s="162" t="s">
        <v>267</v>
      </c>
      <c r="E112" s="162" t="s">
        <v>286</v>
      </c>
      <c r="F112" s="162" t="s">
        <v>287</v>
      </c>
      <c r="G112" s="162" t="s">
        <v>288</v>
      </c>
      <c r="H112" s="162" t="s">
        <v>289</v>
      </c>
    </row>
    <row r="113" spans="2:8" x14ac:dyDescent="0.5">
      <c r="B113" s="163" t="s">
        <v>290</v>
      </c>
      <c r="C113" s="168">
        <v>4.333333333333083E-2</v>
      </c>
      <c r="D113" s="168">
        <v>4.7951364248619267E-2</v>
      </c>
      <c r="E113" s="168">
        <v>0.90369344047554578</v>
      </c>
      <c r="F113" s="168">
        <v>0.36736580842423322</v>
      </c>
      <c r="G113" s="168">
        <v>-5.128577661037572E-2</v>
      </c>
      <c r="H113" s="168">
        <v>0.13795244327703737</v>
      </c>
    </row>
    <row r="114" spans="2:8" x14ac:dyDescent="0.5">
      <c r="B114" s="160" t="s">
        <v>783</v>
      </c>
      <c r="C114" s="169">
        <v>0</v>
      </c>
      <c r="D114" s="169"/>
      <c r="E114" s="169"/>
      <c r="F114" s="169"/>
      <c r="G114" s="169"/>
      <c r="H114" s="169"/>
    </row>
    <row r="115" spans="2:8" x14ac:dyDescent="0.5">
      <c r="B115" s="160" t="s">
        <v>784</v>
      </c>
      <c r="C115" s="169">
        <v>4.3333333333335347E-2</v>
      </c>
      <c r="D115" s="169">
        <v>5.854514831759744E-2</v>
      </c>
      <c r="E115" s="169">
        <v>0.74016950300064843</v>
      </c>
      <c r="F115" s="169">
        <v>0.46016147829081172</v>
      </c>
      <c r="G115" s="169">
        <v>-7.2189757868243234E-2</v>
      </c>
      <c r="H115" s="169">
        <v>0.15885642453491394</v>
      </c>
    </row>
    <row r="116" spans="2:8" x14ac:dyDescent="0.5">
      <c r="B116" s="160" t="s">
        <v>785</v>
      </c>
      <c r="C116" s="169">
        <v>0.12166666666666874</v>
      </c>
      <c r="D116" s="169">
        <v>5.8545148317597447E-2</v>
      </c>
      <c r="E116" s="169">
        <v>2.0781682199632976</v>
      </c>
      <c r="F116" s="169">
        <v>3.9112572252331279E-2</v>
      </c>
      <c r="G116" s="169">
        <v>6.1435754650901453E-3</v>
      </c>
      <c r="H116" s="169">
        <v>0.23718975786824734</v>
      </c>
    </row>
    <row r="117" spans="2:8" x14ac:dyDescent="0.5">
      <c r="B117" s="160" t="s">
        <v>786</v>
      </c>
      <c r="C117" s="169">
        <v>0.11166666666666876</v>
      </c>
      <c r="D117" s="169">
        <v>5.854514831759744E-2</v>
      </c>
      <c r="E117" s="169">
        <v>1.9073598731170027</v>
      </c>
      <c r="F117" s="169">
        <v>5.8066331354197379E-2</v>
      </c>
      <c r="G117" s="169">
        <v>-3.856424534909822E-3</v>
      </c>
      <c r="H117" s="169">
        <v>0.22718975786824736</v>
      </c>
    </row>
    <row r="118" spans="2:8" x14ac:dyDescent="0.5">
      <c r="B118" s="160" t="s">
        <v>787</v>
      </c>
      <c r="C118" s="169">
        <v>0.31333333333333541</v>
      </c>
      <c r="D118" s="169">
        <v>5.8545148317597447E-2</v>
      </c>
      <c r="E118" s="169">
        <v>5.3519948678506291</v>
      </c>
      <c r="F118" s="190" t="s">
        <v>272</v>
      </c>
      <c r="G118" s="169">
        <v>0.1978102421317568</v>
      </c>
      <c r="H118" s="169">
        <v>0.42885642453491402</v>
      </c>
    </row>
    <row r="119" spans="2:8" x14ac:dyDescent="0.5">
      <c r="B119" s="160" t="s">
        <v>788</v>
      </c>
      <c r="C119" s="169">
        <v>0.4283333333333354</v>
      </c>
      <c r="D119" s="169">
        <v>5.8545148317597454E-2</v>
      </c>
      <c r="E119" s="169">
        <v>7.3162908565830262</v>
      </c>
      <c r="F119" s="190" t="s">
        <v>272</v>
      </c>
      <c r="G119" s="169">
        <v>0.31281024213175679</v>
      </c>
      <c r="H119" s="169">
        <v>0.54385642453491401</v>
      </c>
    </row>
    <row r="120" spans="2:8" x14ac:dyDescent="0.5">
      <c r="B120" s="160" t="s">
        <v>789</v>
      </c>
      <c r="C120" s="169">
        <v>1.66666666666687E-2</v>
      </c>
      <c r="D120" s="169">
        <v>5.8545148317597447E-2</v>
      </c>
      <c r="E120" s="169">
        <v>0.28468057807719394</v>
      </c>
      <c r="F120" s="169">
        <v>0.77621612738653389</v>
      </c>
      <c r="G120" s="169">
        <v>-9.8856424534909892E-2</v>
      </c>
      <c r="H120" s="169">
        <v>0.1321897578682473</v>
      </c>
    </row>
    <row r="121" spans="2:8" x14ac:dyDescent="0.5">
      <c r="B121" s="160" t="s">
        <v>790</v>
      </c>
      <c r="C121" s="169">
        <v>7.1666666666668793E-2</v>
      </c>
      <c r="D121" s="169">
        <v>5.8545148317597454E-2</v>
      </c>
      <c r="E121" s="169">
        <v>1.2241264857318208</v>
      </c>
      <c r="F121" s="169">
        <v>0.22250432953144933</v>
      </c>
      <c r="G121" s="169">
        <v>-4.3856424534909816E-2</v>
      </c>
      <c r="H121" s="169">
        <v>0.1871897578682474</v>
      </c>
    </row>
    <row r="122" spans="2:8" x14ac:dyDescent="0.5">
      <c r="B122" s="160" t="s">
        <v>791</v>
      </c>
      <c r="C122" s="169">
        <v>0.11666666666666881</v>
      </c>
      <c r="D122" s="169">
        <v>5.8545148317597454E-2</v>
      </c>
      <c r="E122" s="169">
        <v>1.9927640465401508</v>
      </c>
      <c r="F122" s="169">
        <v>4.7798353048894751E-2</v>
      </c>
      <c r="G122" s="169">
        <v>1.1435754650901964E-3</v>
      </c>
      <c r="H122" s="169">
        <v>0.23218975786824742</v>
      </c>
    </row>
    <row r="123" spans="2:8" x14ac:dyDescent="0.5">
      <c r="B123" s="160" t="s">
        <v>792</v>
      </c>
      <c r="C123" s="169">
        <v>8.0000000000002083E-2</v>
      </c>
      <c r="D123" s="169">
        <v>5.8545148317597454E-2</v>
      </c>
      <c r="E123" s="169">
        <v>1.3664667747703996</v>
      </c>
      <c r="F123" s="169">
        <v>0.17349701578761681</v>
      </c>
      <c r="G123" s="169">
        <v>-3.5523091201576526E-2</v>
      </c>
      <c r="H123" s="169">
        <v>0.19552309120158068</v>
      </c>
    </row>
    <row r="124" spans="2:8" x14ac:dyDescent="0.5">
      <c r="B124" s="160" t="s">
        <v>793</v>
      </c>
      <c r="C124" s="169">
        <v>0.22833333333333544</v>
      </c>
      <c r="D124" s="169">
        <v>5.8545148317597454E-2</v>
      </c>
      <c r="E124" s="169">
        <v>3.9001239196571169</v>
      </c>
      <c r="F124" s="169">
        <v>1.3561571932272279E-4</v>
      </c>
      <c r="G124" s="169">
        <v>0.11281024213175683</v>
      </c>
      <c r="H124" s="169">
        <v>0.34385642453491405</v>
      </c>
    </row>
    <row r="125" spans="2:8" x14ac:dyDescent="0.5">
      <c r="B125" s="160" t="s">
        <v>794</v>
      </c>
      <c r="C125" s="169">
        <v>0.38000000000000228</v>
      </c>
      <c r="D125" s="169">
        <v>5.854514831759746E-2</v>
      </c>
      <c r="E125" s="169">
        <v>6.490717180159268</v>
      </c>
      <c r="F125" s="190" t="s">
        <v>272</v>
      </c>
      <c r="G125" s="169">
        <v>0.26447690879842367</v>
      </c>
      <c r="H125" s="169">
        <v>0.49552309120158089</v>
      </c>
    </row>
    <row r="126" spans="2:8" x14ac:dyDescent="0.5">
      <c r="B126" s="160" t="s">
        <v>795</v>
      </c>
      <c r="C126" s="169">
        <v>0.21000000000000207</v>
      </c>
      <c r="D126" s="169">
        <v>5.854514831759744E-2</v>
      </c>
      <c r="E126" s="169">
        <v>3.586975283772242</v>
      </c>
      <c r="F126" s="169">
        <v>4.309289782957032E-4</v>
      </c>
      <c r="G126" s="169">
        <v>9.4476908798423492E-2</v>
      </c>
      <c r="H126" s="169">
        <v>0.32552309120158063</v>
      </c>
    </row>
    <row r="127" spans="2:8" x14ac:dyDescent="0.5">
      <c r="B127" s="160" t="s">
        <v>796</v>
      </c>
      <c r="C127" s="169">
        <v>0.53833333333333544</v>
      </c>
      <c r="D127" s="169">
        <v>5.8545148317597454E-2</v>
      </c>
      <c r="E127" s="169">
        <v>9.1951826718922778</v>
      </c>
      <c r="F127" s="190" t="s">
        <v>272</v>
      </c>
      <c r="G127" s="169">
        <v>0.42281024213175683</v>
      </c>
      <c r="H127" s="169">
        <v>0.6538564245349141</v>
      </c>
    </row>
    <row r="128" spans="2:8" x14ac:dyDescent="0.5">
      <c r="B128" s="160" t="s">
        <v>797</v>
      </c>
      <c r="C128" s="169">
        <v>0.62000000000000222</v>
      </c>
      <c r="D128" s="169">
        <v>5.854514831759746E-2</v>
      </c>
      <c r="E128" s="169">
        <v>10.590117504470358</v>
      </c>
      <c r="F128" s="190" t="s">
        <v>272</v>
      </c>
      <c r="G128" s="169">
        <v>0.50447690879842355</v>
      </c>
      <c r="H128" s="169">
        <v>0.73552309120158088</v>
      </c>
    </row>
    <row r="129" spans="2:8" x14ac:dyDescent="0.5">
      <c r="B129" s="160" t="s">
        <v>798</v>
      </c>
      <c r="C129" s="169">
        <v>-9.9999999999970755E-3</v>
      </c>
      <c r="D129" s="169">
        <v>6.7813469654689665E-2</v>
      </c>
      <c r="E129" s="169">
        <v>-0.14746332920167168</v>
      </c>
      <c r="F129" s="169">
        <v>0.88293136792546856</v>
      </c>
      <c r="G129" s="169">
        <v>-0.14381162854205773</v>
      </c>
      <c r="H129" s="169">
        <v>0.12381162854206358</v>
      </c>
    </row>
    <row r="130" spans="2:8" x14ac:dyDescent="0.5">
      <c r="B130" s="160" t="s">
        <v>799</v>
      </c>
      <c r="C130" s="169">
        <v>1.0000000000002948E-2</v>
      </c>
      <c r="D130" s="169">
        <v>6.7813469654689679E-2</v>
      </c>
      <c r="E130" s="169">
        <v>0.14746332920175825</v>
      </c>
      <c r="F130" s="169">
        <v>0.88293136792536175</v>
      </c>
      <c r="G130" s="169">
        <v>-0.12381162854205774</v>
      </c>
      <c r="H130" s="169">
        <v>0.14381162854206364</v>
      </c>
    </row>
    <row r="131" spans="2:8" x14ac:dyDescent="0.5">
      <c r="B131" s="160" t="s">
        <v>800</v>
      </c>
      <c r="C131" s="169">
        <v>6.0000000000002905E-2</v>
      </c>
      <c r="D131" s="169">
        <v>6.7813469654689665E-2</v>
      </c>
      <c r="E131" s="169">
        <v>0.88477997521033169</v>
      </c>
      <c r="F131" s="169">
        <v>0.37745566426357846</v>
      </c>
      <c r="G131" s="169">
        <v>-7.381162854205775E-2</v>
      </c>
      <c r="H131" s="169">
        <v>0.19381162854206357</v>
      </c>
    </row>
    <row r="132" spans="2:8" x14ac:dyDescent="0.5">
      <c r="B132" s="160" t="s">
        <v>801</v>
      </c>
      <c r="C132" s="169">
        <v>0.15333333333333626</v>
      </c>
      <c r="D132" s="169">
        <v>6.7813469654689665E-2</v>
      </c>
      <c r="E132" s="169">
        <v>2.2611043810930038</v>
      </c>
      <c r="F132" s="169">
        <v>2.4949606769855671E-2</v>
      </c>
      <c r="G132" s="169">
        <v>1.9521704791275601E-2</v>
      </c>
      <c r="H132" s="169">
        <v>0.28714496187539695</v>
      </c>
    </row>
    <row r="133" spans="2:8" x14ac:dyDescent="0.5">
      <c r="B133" s="160" t="s">
        <v>802</v>
      </c>
      <c r="C133" s="169">
        <v>0.33000000000000296</v>
      </c>
      <c r="D133" s="169">
        <v>6.7813469654689679E-2</v>
      </c>
      <c r="E133" s="169">
        <v>4.8662898636566316</v>
      </c>
      <c r="F133" s="190" t="s">
        <v>272</v>
      </c>
      <c r="G133" s="169">
        <v>0.19618837145794227</v>
      </c>
      <c r="H133" s="169">
        <v>0.46381162854206365</v>
      </c>
    </row>
    <row r="134" spans="2:8" x14ac:dyDescent="0.5">
      <c r="B134" s="160" t="s">
        <v>803</v>
      </c>
      <c r="C134" s="169">
        <v>0.4416666666666697</v>
      </c>
      <c r="D134" s="169">
        <v>6.7813469654689679E-2</v>
      </c>
      <c r="E134" s="169">
        <v>6.5129637064091144</v>
      </c>
      <c r="F134" s="190" t="s">
        <v>272</v>
      </c>
      <c r="G134" s="169">
        <v>0.30785503812460902</v>
      </c>
      <c r="H134" s="169">
        <v>0.57547829520873039</v>
      </c>
    </row>
    <row r="135" spans="2:8" x14ac:dyDescent="0.5">
      <c r="B135" s="160" t="s">
        <v>804</v>
      </c>
      <c r="C135" s="169">
        <v>2.5000000000002878E-2</v>
      </c>
      <c r="D135" s="169">
        <v>6.7813469654689679E-2</v>
      </c>
      <c r="E135" s="169">
        <v>0.36865832300432938</v>
      </c>
      <c r="F135" s="169">
        <v>0.71281565319871654</v>
      </c>
      <c r="G135" s="169">
        <v>-0.10881162854205781</v>
      </c>
      <c r="H135" s="169">
        <v>0.15881162854206357</v>
      </c>
    </row>
    <row r="136" spans="2:8" x14ac:dyDescent="0.5">
      <c r="B136" s="160" t="s">
        <v>805</v>
      </c>
      <c r="C136" s="169">
        <v>0.11333333333333635</v>
      </c>
      <c r="D136" s="169">
        <v>6.7813469654689679E-2</v>
      </c>
      <c r="E136" s="169">
        <v>1.6712510642861453</v>
      </c>
      <c r="F136" s="169">
        <v>9.6409742188844072E-2</v>
      </c>
      <c r="G136" s="169">
        <v>-2.0478295208724337E-2</v>
      </c>
      <c r="H136" s="169">
        <v>0.24714496187539703</v>
      </c>
    </row>
    <row r="137" spans="2:8" x14ac:dyDescent="0.5">
      <c r="B137" s="160" t="s">
        <v>806</v>
      </c>
      <c r="C137" s="169">
        <v>0.24500000000000297</v>
      </c>
      <c r="D137" s="169">
        <v>6.7813469654689679E-2</v>
      </c>
      <c r="E137" s="169">
        <v>3.6128515654420559</v>
      </c>
      <c r="F137" s="169">
        <v>3.9274633852989744E-4</v>
      </c>
      <c r="G137" s="169">
        <v>0.11118837145794228</v>
      </c>
      <c r="H137" s="169">
        <v>0.37881162854206363</v>
      </c>
    </row>
    <row r="138" spans="2:8" x14ac:dyDescent="0.5">
      <c r="B138" s="160" t="s">
        <v>807</v>
      </c>
      <c r="C138" s="169">
        <v>0.11833333333333623</v>
      </c>
      <c r="D138" s="169">
        <v>6.7813469654689665E-2</v>
      </c>
      <c r="E138" s="169">
        <v>1.7449827288870015</v>
      </c>
      <c r="F138" s="169">
        <v>8.2694499837745211E-2</v>
      </c>
      <c r="G138" s="169">
        <v>-1.547829520872443E-2</v>
      </c>
      <c r="H138" s="169">
        <v>0.25214496187539692</v>
      </c>
    </row>
    <row r="139" spans="2:8" x14ac:dyDescent="0.5">
      <c r="B139" s="160" t="s">
        <v>808</v>
      </c>
      <c r="C139" s="169">
        <v>0.28166666666666978</v>
      </c>
      <c r="D139" s="169">
        <v>6.7813469654689693E-2</v>
      </c>
      <c r="E139" s="169">
        <v>4.1535504391816787</v>
      </c>
      <c r="F139" s="190" t="s">
        <v>272</v>
      </c>
      <c r="G139" s="169">
        <v>0.14785503812460907</v>
      </c>
      <c r="H139" s="169">
        <v>0.41547829520873047</v>
      </c>
    </row>
    <row r="140" spans="2:8" x14ac:dyDescent="0.5">
      <c r="B140" s="160" t="s">
        <v>809</v>
      </c>
      <c r="C140" s="169">
        <v>0.43666666666666981</v>
      </c>
      <c r="D140" s="169">
        <v>6.7813469654689693E-2</v>
      </c>
      <c r="E140" s="169">
        <v>6.4392320418082578</v>
      </c>
      <c r="F140" s="190" t="s">
        <v>272</v>
      </c>
      <c r="G140" s="169">
        <v>0.30285503812460912</v>
      </c>
      <c r="H140" s="169">
        <v>0.5704782952087305</v>
      </c>
    </row>
    <row r="141" spans="2:8" x14ac:dyDescent="0.5">
      <c r="B141" s="160" t="s">
        <v>810</v>
      </c>
      <c r="C141" s="169">
        <v>0.30500000000000294</v>
      </c>
      <c r="D141" s="169">
        <v>6.7813469654689665E-2</v>
      </c>
      <c r="E141" s="169">
        <v>4.4976315406523453</v>
      </c>
      <c r="F141" s="190" t="s">
        <v>272</v>
      </c>
      <c r="G141" s="169">
        <v>0.17118837145794227</v>
      </c>
      <c r="H141" s="169">
        <v>0.43881162854206357</v>
      </c>
    </row>
    <row r="142" spans="2:8" x14ac:dyDescent="0.5">
      <c r="B142" s="160" t="s">
        <v>811</v>
      </c>
      <c r="C142" s="169">
        <v>0.56000000000000305</v>
      </c>
      <c r="D142" s="169">
        <v>6.7813469654689679E-2</v>
      </c>
      <c r="E142" s="169">
        <v>8.2579464352960734</v>
      </c>
      <c r="F142" s="190" t="s">
        <v>272</v>
      </c>
      <c r="G142" s="169">
        <v>0.42618837145794236</v>
      </c>
      <c r="H142" s="169">
        <v>0.69381162854206369</v>
      </c>
    </row>
    <row r="143" spans="2:8" ht="14.7" thickBot="1" x14ac:dyDescent="0.55000000000000004">
      <c r="B143" s="167" t="s">
        <v>812</v>
      </c>
      <c r="C143" s="170">
        <v>0.69666666666666988</v>
      </c>
      <c r="D143" s="170">
        <v>6.7813469654689679E-2</v>
      </c>
      <c r="E143" s="170">
        <v>10.273278601052844</v>
      </c>
      <c r="F143" s="191" t="s">
        <v>272</v>
      </c>
      <c r="G143" s="170">
        <v>0.56285503812460913</v>
      </c>
      <c r="H143" s="170">
        <v>0.83047829520873062</v>
      </c>
    </row>
    <row r="146" spans="2:7" x14ac:dyDescent="0.5">
      <c r="B146" t="s">
        <v>813</v>
      </c>
    </row>
    <row r="147" spans="2:7" ht="14.7" thickBot="1" x14ac:dyDescent="0.55000000000000004"/>
    <row r="148" spans="2:7" x14ac:dyDescent="0.5">
      <c r="B148" s="161" t="s">
        <v>302</v>
      </c>
      <c r="C148" s="162" t="s">
        <v>303</v>
      </c>
      <c r="D148" s="162" t="s">
        <v>304</v>
      </c>
      <c r="E148" s="162" t="s">
        <v>286</v>
      </c>
      <c r="F148" s="162" t="s">
        <v>287</v>
      </c>
      <c r="G148" s="162" t="s">
        <v>305</v>
      </c>
    </row>
    <row r="149" spans="2:7" x14ac:dyDescent="0.5">
      <c r="B149" s="163" t="s">
        <v>814</v>
      </c>
      <c r="C149" s="188">
        <v>0.706666666666667</v>
      </c>
      <c r="D149" s="188">
        <v>5.854514831759744E-2</v>
      </c>
      <c r="E149" s="188">
        <v>12.070456510471558</v>
      </c>
      <c r="F149" s="188" t="s">
        <v>272</v>
      </c>
      <c r="G149" s="192" t="s">
        <v>351</v>
      </c>
    </row>
    <row r="150" spans="2:7" x14ac:dyDescent="0.5">
      <c r="B150" s="160" t="s">
        <v>815</v>
      </c>
      <c r="C150" s="190">
        <v>0.69666666666666988</v>
      </c>
      <c r="D150" s="190">
        <v>5.854514831759744E-2</v>
      </c>
      <c r="E150" s="190">
        <v>11.899648163625312</v>
      </c>
      <c r="F150" s="190" t="s">
        <v>272</v>
      </c>
      <c r="G150" s="193" t="s">
        <v>351</v>
      </c>
    </row>
    <row r="151" spans="2:7" x14ac:dyDescent="0.5">
      <c r="B151" s="160" t="s">
        <v>816</v>
      </c>
      <c r="C151" s="190">
        <v>0.68666666666666698</v>
      </c>
      <c r="D151" s="190">
        <v>5.854514831759744E-2</v>
      </c>
      <c r="E151" s="190">
        <v>11.728839816778967</v>
      </c>
      <c r="F151" s="190" t="s">
        <v>272</v>
      </c>
      <c r="G151" s="193" t="s">
        <v>351</v>
      </c>
    </row>
    <row r="152" spans="2:7" x14ac:dyDescent="0.5">
      <c r="B152" s="160" t="s">
        <v>817</v>
      </c>
      <c r="C152" s="190">
        <v>0.68000000000000116</v>
      </c>
      <c r="D152" s="190">
        <v>5.854514831759744E-2</v>
      </c>
      <c r="E152" s="190">
        <v>11.614967585548117</v>
      </c>
      <c r="F152" s="190" t="s">
        <v>272</v>
      </c>
      <c r="G152" s="193" t="s">
        <v>351</v>
      </c>
    </row>
    <row r="153" spans="2:7" x14ac:dyDescent="0.5">
      <c r="B153" s="160" t="s">
        <v>818</v>
      </c>
      <c r="C153" s="190">
        <v>0.67166666666666697</v>
      </c>
      <c r="D153" s="190">
        <v>5.854514831759744E-2</v>
      </c>
      <c r="E153" s="190">
        <v>11.472627296509524</v>
      </c>
      <c r="F153" s="190" t="s">
        <v>272</v>
      </c>
      <c r="G153" s="193" t="s">
        <v>351</v>
      </c>
    </row>
    <row r="154" spans="2:7" x14ac:dyDescent="0.5">
      <c r="B154" s="160" t="s">
        <v>819</v>
      </c>
      <c r="C154" s="190">
        <v>0.65333333333333454</v>
      </c>
      <c r="D154" s="190">
        <v>5.854514831759744E-2</v>
      </c>
      <c r="E154" s="190">
        <v>11.159478660624663</v>
      </c>
      <c r="F154" s="190" t="s">
        <v>272</v>
      </c>
      <c r="G154" s="193" t="s">
        <v>351</v>
      </c>
    </row>
    <row r="155" spans="2:7" x14ac:dyDescent="0.5">
      <c r="B155" s="160" t="s">
        <v>820</v>
      </c>
      <c r="C155" s="190">
        <v>0.63666666666666694</v>
      </c>
      <c r="D155" s="190">
        <v>5.854514831759744E-2</v>
      </c>
      <c r="E155" s="190">
        <v>10.874798082547487</v>
      </c>
      <c r="F155" s="190" t="s">
        <v>272</v>
      </c>
      <c r="G155" s="193" t="s">
        <v>351</v>
      </c>
    </row>
    <row r="156" spans="2:7" x14ac:dyDescent="0.5">
      <c r="B156" s="160" t="s">
        <v>821</v>
      </c>
      <c r="C156" s="190">
        <v>0.62500000000000111</v>
      </c>
      <c r="D156" s="190">
        <v>5.854514831759744E-2</v>
      </c>
      <c r="E156" s="190">
        <v>10.67552167789349</v>
      </c>
      <c r="F156" s="190" t="s">
        <v>272</v>
      </c>
      <c r="G156" s="193" t="s">
        <v>351</v>
      </c>
    </row>
    <row r="157" spans="2:7" x14ac:dyDescent="0.5">
      <c r="B157" s="160" t="s">
        <v>822</v>
      </c>
      <c r="C157" s="190">
        <v>0.61666666666666781</v>
      </c>
      <c r="D157" s="190">
        <v>5.854514831759744E-2</v>
      </c>
      <c r="E157" s="190">
        <v>10.533181388854912</v>
      </c>
      <c r="F157" s="190" t="s">
        <v>272</v>
      </c>
      <c r="G157" s="193" t="s">
        <v>351</v>
      </c>
    </row>
    <row r="158" spans="2:7" x14ac:dyDescent="0.5">
      <c r="B158" s="160" t="s">
        <v>823</v>
      </c>
      <c r="C158" s="190">
        <v>0.58500000000000107</v>
      </c>
      <c r="D158" s="190">
        <v>5.854514831759744E-2</v>
      </c>
      <c r="E158" s="190">
        <v>9.9922882905083075</v>
      </c>
      <c r="F158" s="190" t="s">
        <v>272</v>
      </c>
      <c r="G158" s="193" t="s">
        <v>351</v>
      </c>
    </row>
    <row r="159" spans="2:7" x14ac:dyDescent="0.5">
      <c r="B159" s="160" t="s">
        <v>824</v>
      </c>
      <c r="C159" s="190">
        <v>0.58333333333333348</v>
      </c>
      <c r="D159" s="190">
        <v>5.854514831759744E-2</v>
      </c>
      <c r="E159" s="190">
        <v>9.9638202327005772</v>
      </c>
      <c r="F159" s="190" t="s">
        <v>272</v>
      </c>
      <c r="G159" s="193" t="s">
        <v>351</v>
      </c>
    </row>
    <row r="160" spans="2:7" x14ac:dyDescent="0.5">
      <c r="B160" s="160" t="s">
        <v>825</v>
      </c>
      <c r="C160" s="190">
        <v>0.58000000000000107</v>
      </c>
      <c r="D160" s="190">
        <v>5.854514831759744E-2</v>
      </c>
      <c r="E160" s="190">
        <v>9.9068841170851609</v>
      </c>
      <c r="F160" s="190" t="s">
        <v>272</v>
      </c>
      <c r="G160" s="193" t="s">
        <v>351</v>
      </c>
    </row>
    <row r="161" spans="2:7" x14ac:dyDescent="0.5">
      <c r="B161" s="160" t="s">
        <v>826</v>
      </c>
      <c r="C161" s="190">
        <v>0.57833333333333359</v>
      </c>
      <c r="D161" s="190">
        <v>5.854514831759744E-2</v>
      </c>
      <c r="E161" s="190">
        <v>9.8784160592774306</v>
      </c>
      <c r="F161" s="190" t="s">
        <v>272</v>
      </c>
      <c r="G161" s="193" t="s">
        <v>351</v>
      </c>
    </row>
    <row r="162" spans="2:7" x14ac:dyDescent="0.5">
      <c r="B162" s="160" t="s">
        <v>827</v>
      </c>
      <c r="C162" s="190">
        <v>0.57500000000000118</v>
      </c>
      <c r="D162" s="190">
        <v>5.854514831759744E-2</v>
      </c>
      <c r="E162" s="190">
        <v>9.8214799436620144</v>
      </c>
      <c r="F162" s="190" t="s">
        <v>272</v>
      </c>
      <c r="G162" s="193" t="s">
        <v>351</v>
      </c>
    </row>
    <row r="163" spans="2:7" x14ac:dyDescent="0.5">
      <c r="B163" s="160" t="s">
        <v>828</v>
      </c>
      <c r="C163" s="190">
        <v>0.54333333333333367</v>
      </c>
      <c r="D163" s="190">
        <v>5.854514831759744E-2</v>
      </c>
      <c r="E163" s="190">
        <v>9.2805868453153977</v>
      </c>
      <c r="F163" s="190" t="s">
        <v>272</v>
      </c>
      <c r="G163" s="193" t="s">
        <v>351</v>
      </c>
    </row>
    <row r="164" spans="2:7" x14ac:dyDescent="0.5">
      <c r="B164" s="160" t="s">
        <v>829</v>
      </c>
      <c r="C164" s="190">
        <v>0.4866666666666678</v>
      </c>
      <c r="D164" s="190">
        <v>5.854514831759744E-2</v>
      </c>
      <c r="E164" s="190">
        <v>8.3126728798530696</v>
      </c>
      <c r="F164" s="190" t="s">
        <v>272</v>
      </c>
      <c r="G164" s="193" t="s">
        <v>351</v>
      </c>
    </row>
    <row r="165" spans="2:7" x14ac:dyDescent="0.5">
      <c r="B165" s="160" t="s">
        <v>830</v>
      </c>
      <c r="C165" s="190">
        <v>0.46833333333333443</v>
      </c>
      <c r="D165" s="190">
        <v>5.854514831759744E-2</v>
      </c>
      <c r="E165" s="190">
        <v>7.9995242439681942</v>
      </c>
      <c r="F165" s="190" t="s">
        <v>272</v>
      </c>
      <c r="G165" s="193" t="s">
        <v>351</v>
      </c>
    </row>
    <row r="166" spans="2:7" x14ac:dyDescent="0.5">
      <c r="B166" s="160" t="s">
        <v>831</v>
      </c>
      <c r="C166" s="190">
        <v>0.45166666666666688</v>
      </c>
      <c r="D166" s="190">
        <v>5.854514831759744E-2</v>
      </c>
      <c r="E166" s="190">
        <v>7.7148436658910198</v>
      </c>
      <c r="F166" s="190" t="s">
        <v>272</v>
      </c>
      <c r="G166" s="193" t="s">
        <v>351</v>
      </c>
    </row>
    <row r="167" spans="2:7" x14ac:dyDescent="0.5">
      <c r="B167" s="160" t="s">
        <v>832</v>
      </c>
      <c r="C167" s="190">
        <v>0.41500000000000009</v>
      </c>
      <c r="D167" s="190">
        <v>5.854514831759744E-2</v>
      </c>
      <c r="E167" s="190">
        <v>7.0885463941212672</v>
      </c>
      <c r="F167" s="190" t="s">
        <v>272</v>
      </c>
      <c r="G167" s="193" t="s">
        <v>351</v>
      </c>
    </row>
    <row r="168" spans="2:7" x14ac:dyDescent="0.5">
      <c r="B168" s="160" t="s">
        <v>833</v>
      </c>
      <c r="C168" s="190">
        <v>0.39166666666666694</v>
      </c>
      <c r="D168" s="190">
        <v>5.854514831759744E-2</v>
      </c>
      <c r="E168" s="190">
        <v>6.689993584813247</v>
      </c>
      <c r="F168" s="190" t="s">
        <v>272</v>
      </c>
      <c r="G168" s="193" t="s">
        <v>351</v>
      </c>
    </row>
    <row r="169" spans="2:7" x14ac:dyDescent="0.5">
      <c r="B169" s="160" t="s">
        <v>834</v>
      </c>
      <c r="C169" s="190">
        <v>0.38333333333333447</v>
      </c>
      <c r="D169" s="190">
        <v>5.854514831759744E-2</v>
      </c>
      <c r="E169" s="190">
        <v>6.5476532957746825</v>
      </c>
      <c r="F169" s="190" t="s">
        <v>272</v>
      </c>
      <c r="G169" s="193" t="s">
        <v>351</v>
      </c>
    </row>
    <row r="170" spans="2:7" x14ac:dyDescent="0.5">
      <c r="B170" s="160" t="s">
        <v>835</v>
      </c>
      <c r="C170" s="190">
        <v>0.36666666666666692</v>
      </c>
      <c r="D170" s="190">
        <v>5.854514831759744E-2</v>
      </c>
      <c r="E170" s="190">
        <v>6.2629727176975081</v>
      </c>
      <c r="F170" s="190" t="s">
        <v>272</v>
      </c>
      <c r="G170" s="193" t="s">
        <v>351</v>
      </c>
    </row>
    <row r="171" spans="2:7" x14ac:dyDescent="0.5">
      <c r="B171" s="160" t="s">
        <v>836</v>
      </c>
      <c r="C171" s="190">
        <v>0.3166666666666676</v>
      </c>
      <c r="D171" s="190">
        <v>5.854514831759744E-2</v>
      </c>
      <c r="E171" s="190">
        <v>5.4089309834660417</v>
      </c>
      <c r="F171" s="190" t="s">
        <v>272</v>
      </c>
      <c r="G171" s="193" t="s">
        <v>351</v>
      </c>
    </row>
    <row r="172" spans="2:7" x14ac:dyDescent="0.5">
      <c r="B172" s="160" t="s">
        <v>837</v>
      </c>
      <c r="C172" s="190">
        <v>0.26833333333333448</v>
      </c>
      <c r="D172" s="190">
        <v>5.854514831759744E-2</v>
      </c>
      <c r="E172" s="190">
        <v>4.5833573070422835</v>
      </c>
      <c r="F172" s="190" t="s">
        <v>272</v>
      </c>
      <c r="G172" s="193" t="s">
        <v>351</v>
      </c>
    </row>
    <row r="173" spans="2:7" x14ac:dyDescent="0.5">
      <c r="B173" s="160" t="s">
        <v>838</v>
      </c>
      <c r="C173" s="190">
        <v>0.26000000000000006</v>
      </c>
      <c r="D173" s="190">
        <v>5.854514831759744E-2</v>
      </c>
      <c r="E173" s="190">
        <v>4.4410170180036852</v>
      </c>
      <c r="F173" s="190" t="s">
        <v>272</v>
      </c>
      <c r="G173" s="193" t="s">
        <v>351</v>
      </c>
    </row>
    <row r="174" spans="2:7" x14ac:dyDescent="0.5">
      <c r="B174" s="160" t="s">
        <v>839</v>
      </c>
      <c r="C174" s="190">
        <v>0.25500000000000017</v>
      </c>
      <c r="D174" s="190">
        <v>5.854514831759744E-2</v>
      </c>
      <c r="E174" s="190">
        <v>4.3556128445805395</v>
      </c>
      <c r="F174" s="190" t="s">
        <v>272</v>
      </c>
      <c r="G174" s="213" t="s">
        <v>351</v>
      </c>
    </row>
    <row r="175" spans="2:7" x14ac:dyDescent="0.5">
      <c r="B175" s="160" t="s">
        <v>840</v>
      </c>
      <c r="C175" s="190">
        <v>0.15833333333333444</v>
      </c>
      <c r="D175" s="190">
        <v>5.854514831759744E-2</v>
      </c>
      <c r="E175" s="190">
        <v>2.704465491733032</v>
      </c>
      <c r="F175" s="190">
        <v>7.6325114881688133E-3</v>
      </c>
      <c r="G175" s="193" t="s">
        <v>351</v>
      </c>
    </row>
    <row r="176" spans="2:7" x14ac:dyDescent="0.5">
      <c r="B176" s="160" t="s">
        <v>841</v>
      </c>
      <c r="C176" s="190">
        <v>0.13666666666666683</v>
      </c>
      <c r="D176" s="190">
        <v>5.854514831759744E-2</v>
      </c>
      <c r="E176" s="190">
        <v>2.3343807402327088</v>
      </c>
      <c r="F176" s="190">
        <v>2.0902254074063369E-2</v>
      </c>
      <c r="G176" s="193" t="s">
        <v>351</v>
      </c>
    </row>
    <row r="177" spans="2:7" x14ac:dyDescent="0.5">
      <c r="B177" s="160" t="s">
        <v>842</v>
      </c>
      <c r="C177" s="190">
        <v>7.666666666666766E-2</v>
      </c>
      <c r="D177" s="190">
        <v>5.854514831759744E-2</v>
      </c>
      <c r="E177" s="190">
        <v>1.3095306591549496</v>
      </c>
      <c r="F177" s="190">
        <v>0.19235689816294474</v>
      </c>
      <c r="G177" s="199" t="s">
        <v>352</v>
      </c>
    </row>
    <row r="178" spans="2:7" x14ac:dyDescent="0.5">
      <c r="B178" s="160" t="s">
        <v>843</v>
      </c>
      <c r="C178" s="190">
        <v>0.62999999999999934</v>
      </c>
      <c r="D178" s="190">
        <v>5.854514831759744E-2</v>
      </c>
      <c r="E178" s="190">
        <v>10.760925851316609</v>
      </c>
      <c r="F178" s="190" t="s">
        <v>272</v>
      </c>
      <c r="G178" s="193" t="s">
        <v>351</v>
      </c>
    </row>
    <row r="179" spans="2:7" x14ac:dyDescent="0.5">
      <c r="B179" s="160" t="s">
        <v>844</v>
      </c>
      <c r="C179" s="190">
        <v>0.62000000000000222</v>
      </c>
      <c r="D179" s="190">
        <v>5.854514831759744E-2</v>
      </c>
      <c r="E179" s="190">
        <v>10.590117504470362</v>
      </c>
      <c r="F179" s="190" t="s">
        <v>272</v>
      </c>
      <c r="G179" s="193" t="s">
        <v>351</v>
      </c>
    </row>
    <row r="180" spans="2:7" x14ac:dyDescent="0.5">
      <c r="B180" s="160" t="s">
        <v>845</v>
      </c>
      <c r="C180" s="190">
        <v>0.60999999999999932</v>
      </c>
      <c r="D180" s="190">
        <v>5.854514831759744E-2</v>
      </c>
      <c r="E180" s="190">
        <v>10.419309157624017</v>
      </c>
      <c r="F180" s="190" t="s">
        <v>272</v>
      </c>
      <c r="G180" s="193" t="s">
        <v>351</v>
      </c>
    </row>
    <row r="181" spans="2:7" x14ac:dyDescent="0.5">
      <c r="B181" s="160" t="s">
        <v>846</v>
      </c>
      <c r="C181" s="190">
        <v>0.6033333333333335</v>
      </c>
      <c r="D181" s="190">
        <v>5.854514831759744E-2</v>
      </c>
      <c r="E181" s="190">
        <v>10.305436926393169</v>
      </c>
      <c r="F181" s="190" t="s">
        <v>272</v>
      </c>
      <c r="G181" s="193" t="s">
        <v>351</v>
      </c>
    </row>
    <row r="182" spans="2:7" x14ac:dyDescent="0.5">
      <c r="B182" s="160" t="s">
        <v>847</v>
      </c>
      <c r="C182" s="190">
        <v>0.59499999999999931</v>
      </c>
      <c r="D182" s="190">
        <v>5.854514831759744E-2</v>
      </c>
      <c r="E182" s="190">
        <v>10.163096637354574</v>
      </c>
      <c r="F182" s="190" t="s">
        <v>272</v>
      </c>
      <c r="G182" s="193" t="s">
        <v>351</v>
      </c>
    </row>
    <row r="183" spans="2:7" x14ac:dyDescent="0.5">
      <c r="B183" s="160" t="s">
        <v>848</v>
      </c>
      <c r="C183" s="190">
        <v>0.57666666666666688</v>
      </c>
      <c r="D183" s="190">
        <v>5.854514831759744E-2</v>
      </c>
      <c r="E183" s="190">
        <v>9.8499480014697145</v>
      </c>
      <c r="F183" s="190" t="s">
        <v>272</v>
      </c>
      <c r="G183" s="193" t="s">
        <v>351</v>
      </c>
    </row>
    <row r="184" spans="2:7" x14ac:dyDescent="0.5">
      <c r="B184" s="160" t="s">
        <v>849</v>
      </c>
      <c r="C184" s="190">
        <v>0.55999999999999928</v>
      </c>
      <c r="D184" s="190">
        <v>5.854514831759744E-2</v>
      </c>
      <c r="E184" s="190">
        <v>9.5652674233925392</v>
      </c>
      <c r="F184" s="190" t="s">
        <v>272</v>
      </c>
      <c r="G184" s="193" t="s">
        <v>351</v>
      </c>
    </row>
    <row r="185" spans="2:7" x14ac:dyDescent="0.5">
      <c r="B185" s="160" t="s">
        <v>850</v>
      </c>
      <c r="C185" s="190">
        <v>0.54833333333333345</v>
      </c>
      <c r="D185" s="190">
        <v>5.854514831759744E-2</v>
      </c>
      <c r="E185" s="190">
        <v>9.3659910187385407</v>
      </c>
      <c r="F185" s="190" t="s">
        <v>272</v>
      </c>
      <c r="G185" s="193" t="s">
        <v>351</v>
      </c>
    </row>
    <row r="186" spans="2:7" x14ac:dyDescent="0.5">
      <c r="B186" s="160" t="s">
        <v>851</v>
      </c>
      <c r="C186" s="190">
        <v>0.54000000000000015</v>
      </c>
      <c r="D186" s="190">
        <v>5.854514831759744E-2</v>
      </c>
      <c r="E186" s="190">
        <v>9.2236507296999619</v>
      </c>
      <c r="F186" s="190" t="s">
        <v>272</v>
      </c>
      <c r="G186" s="193" t="s">
        <v>351</v>
      </c>
    </row>
    <row r="187" spans="2:7" x14ac:dyDescent="0.5">
      <c r="B187" s="160" t="s">
        <v>852</v>
      </c>
      <c r="C187" s="190">
        <v>0.50833333333333341</v>
      </c>
      <c r="D187" s="190">
        <v>5.854514831759744E-2</v>
      </c>
      <c r="E187" s="190">
        <v>8.6827576313533594</v>
      </c>
      <c r="F187" s="190" t="s">
        <v>272</v>
      </c>
      <c r="G187" s="193" t="s">
        <v>351</v>
      </c>
    </row>
    <row r="188" spans="2:7" x14ac:dyDescent="0.5">
      <c r="B188" s="160" t="s">
        <v>853</v>
      </c>
      <c r="C188" s="190">
        <v>0.50666666666666582</v>
      </c>
      <c r="D188" s="190">
        <v>5.854514831759744E-2</v>
      </c>
      <c r="E188" s="190">
        <v>8.6542895735456273</v>
      </c>
      <c r="F188" s="190" t="s">
        <v>272</v>
      </c>
      <c r="G188" s="193" t="s">
        <v>351</v>
      </c>
    </row>
    <row r="189" spans="2:7" x14ac:dyDescent="0.5">
      <c r="B189" s="160" t="s">
        <v>854</v>
      </c>
      <c r="C189" s="190">
        <v>0.50333333333333341</v>
      </c>
      <c r="D189" s="190">
        <v>5.854514831759744E-2</v>
      </c>
      <c r="E189" s="190">
        <v>8.5973534579302111</v>
      </c>
      <c r="F189" s="190" t="s">
        <v>272</v>
      </c>
      <c r="G189" s="193" t="s">
        <v>351</v>
      </c>
    </row>
    <row r="190" spans="2:7" x14ac:dyDescent="0.5">
      <c r="B190" s="160" t="s">
        <v>855</v>
      </c>
      <c r="C190" s="190">
        <v>0.50166666666666604</v>
      </c>
      <c r="D190" s="190">
        <v>5.854514831759744E-2</v>
      </c>
      <c r="E190" s="190">
        <v>8.5688854001224826</v>
      </c>
      <c r="F190" s="190" t="s">
        <v>272</v>
      </c>
      <c r="G190" s="193" t="s">
        <v>351</v>
      </c>
    </row>
    <row r="191" spans="2:7" x14ac:dyDescent="0.5">
      <c r="B191" s="160" t="s">
        <v>856</v>
      </c>
      <c r="C191" s="190">
        <v>0.49833333333333346</v>
      </c>
      <c r="D191" s="190">
        <v>5.854514831759744E-2</v>
      </c>
      <c r="E191" s="190">
        <v>8.5119492845070646</v>
      </c>
      <c r="F191" s="190" t="s">
        <v>272</v>
      </c>
      <c r="G191" s="193" t="s">
        <v>351</v>
      </c>
    </row>
    <row r="192" spans="2:7" x14ac:dyDescent="0.5">
      <c r="B192" s="160" t="s">
        <v>857</v>
      </c>
      <c r="C192" s="190">
        <v>0.46666666666666595</v>
      </c>
      <c r="D192" s="190">
        <v>5.854514831759744E-2</v>
      </c>
      <c r="E192" s="190">
        <v>7.971056186160447</v>
      </c>
      <c r="F192" s="190" t="s">
        <v>272</v>
      </c>
      <c r="G192" s="193" t="s">
        <v>351</v>
      </c>
    </row>
    <row r="193" spans="2:7" x14ac:dyDescent="0.5">
      <c r="B193" s="160" t="s">
        <v>858</v>
      </c>
      <c r="C193" s="190">
        <v>0.41000000000000014</v>
      </c>
      <c r="D193" s="190">
        <v>5.854514831759744E-2</v>
      </c>
      <c r="E193" s="190">
        <v>7.0031422206981198</v>
      </c>
      <c r="F193" s="190" t="s">
        <v>272</v>
      </c>
      <c r="G193" s="193" t="s">
        <v>351</v>
      </c>
    </row>
    <row r="194" spans="2:7" x14ac:dyDescent="0.5">
      <c r="B194" s="160" t="s">
        <v>859</v>
      </c>
      <c r="C194" s="190">
        <v>0.39166666666666677</v>
      </c>
      <c r="D194" s="190">
        <v>5.854514831759744E-2</v>
      </c>
      <c r="E194" s="190">
        <v>6.6899935848132444</v>
      </c>
      <c r="F194" s="190" t="s">
        <v>272</v>
      </c>
      <c r="G194" s="193" t="s">
        <v>351</v>
      </c>
    </row>
    <row r="195" spans="2:7" x14ac:dyDescent="0.5">
      <c r="B195" s="160" t="s">
        <v>860</v>
      </c>
      <c r="C195" s="190">
        <v>0.37499999999999922</v>
      </c>
      <c r="D195" s="190">
        <v>5.854514831759744E-2</v>
      </c>
      <c r="E195" s="190">
        <v>6.40531300673607</v>
      </c>
      <c r="F195" s="190" t="s">
        <v>272</v>
      </c>
      <c r="G195" s="193" t="s">
        <v>351</v>
      </c>
    </row>
    <row r="196" spans="2:7" x14ac:dyDescent="0.5">
      <c r="B196" s="160" t="s">
        <v>861</v>
      </c>
      <c r="C196" s="190">
        <v>0.33833333333333243</v>
      </c>
      <c r="D196" s="190">
        <v>5.854514831759744E-2</v>
      </c>
      <c r="E196" s="190">
        <v>5.7790157349663174</v>
      </c>
      <c r="F196" s="190" t="s">
        <v>272</v>
      </c>
      <c r="G196" s="193" t="s">
        <v>351</v>
      </c>
    </row>
    <row r="197" spans="2:7" x14ac:dyDescent="0.5">
      <c r="B197" s="160" t="s">
        <v>862</v>
      </c>
      <c r="C197" s="190">
        <v>0.31499999999999928</v>
      </c>
      <c r="D197" s="190">
        <v>5.854514831759744E-2</v>
      </c>
      <c r="E197" s="190">
        <v>5.3804629256582972</v>
      </c>
      <c r="F197" s="190" t="s">
        <v>272</v>
      </c>
      <c r="G197" s="193" t="s">
        <v>351</v>
      </c>
    </row>
    <row r="198" spans="2:7" x14ac:dyDescent="0.5">
      <c r="B198" s="160" t="s">
        <v>863</v>
      </c>
      <c r="C198" s="190">
        <v>0.30666666666666681</v>
      </c>
      <c r="D198" s="190">
        <v>5.854514831759744E-2</v>
      </c>
      <c r="E198" s="190">
        <v>5.2381226366197327</v>
      </c>
      <c r="F198" s="190" t="s">
        <v>272</v>
      </c>
      <c r="G198" s="193" t="s">
        <v>351</v>
      </c>
    </row>
    <row r="199" spans="2:7" x14ac:dyDescent="0.5">
      <c r="B199" s="160" t="s">
        <v>864</v>
      </c>
      <c r="C199" s="190">
        <v>0.28999999999999926</v>
      </c>
      <c r="D199" s="190">
        <v>5.854514831759744E-2</v>
      </c>
      <c r="E199" s="190">
        <v>4.9534420585425583</v>
      </c>
      <c r="F199" s="190" t="s">
        <v>272</v>
      </c>
      <c r="G199" s="193" t="s">
        <v>351</v>
      </c>
    </row>
    <row r="200" spans="2:7" x14ac:dyDescent="0.5">
      <c r="B200" s="160" t="s">
        <v>865</v>
      </c>
      <c r="C200" s="190">
        <v>0.23999999999999994</v>
      </c>
      <c r="D200" s="190">
        <v>5.854514831759744E-2</v>
      </c>
      <c r="E200" s="190">
        <v>4.0994003243110919</v>
      </c>
      <c r="F200" s="190" t="s">
        <v>272</v>
      </c>
      <c r="G200" s="193" t="s">
        <v>351</v>
      </c>
    </row>
    <row r="201" spans="2:7" x14ac:dyDescent="0.5">
      <c r="B201" s="160" t="s">
        <v>866</v>
      </c>
      <c r="C201" s="190">
        <v>0.19166666666666682</v>
      </c>
      <c r="D201" s="190">
        <v>5.854514831759744E-2</v>
      </c>
      <c r="E201" s="190">
        <v>3.2738266478873341</v>
      </c>
      <c r="F201" s="190">
        <v>1.3173251061791619E-3</v>
      </c>
      <c r="G201" s="213" t="s">
        <v>351</v>
      </c>
    </row>
    <row r="202" spans="2:7" x14ac:dyDescent="0.5">
      <c r="B202" s="160" t="s">
        <v>867</v>
      </c>
      <c r="C202" s="190">
        <v>0.1833333333333324</v>
      </c>
      <c r="D202" s="190">
        <v>5.854514831759744E-2</v>
      </c>
      <c r="E202" s="190">
        <v>3.1314863588487358</v>
      </c>
      <c r="F202" s="190">
        <v>2.0913922593178351E-3</v>
      </c>
      <c r="G202" s="193" t="s">
        <v>351</v>
      </c>
    </row>
    <row r="203" spans="2:7" x14ac:dyDescent="0.5">
      <c r="B203" s="160" t="s">
        <v>868</v>
      </c>
      <c r="C203" s="190">
        <v>0.17833333333333251</v>
      </c>
      <c r="D203" s="190">
        <v>5.854514831759744E-2</v>
      </c>
      <c r="E203" s="190">
        <v>3.0460821854255902</v>
      </c>
      <c r="F203" s="190">
        <v>2.739769621575008E-3</v>
      </c>
      <c r="G203" s="193" t="s">
        <v>351</v>
      </c>
    </row>
    <row r="204" spans="2:7" x14ac:dyDescent="0.5">
      <c r="B204" s="160" t="s">
        <v>869</v>
      </c>
      <c r="C204" s="190">
        <v>8.1666666666666776E-2</v>
      </c>
      <c r="D204" s="190">
        <v>5.854514831759744E-2</v>
      </c>
      <c r="E204" s="190">
        <v>1.3949348325780822</v>
      </c>
      <c r="F204" s="190">
        <v>0.16509761277533122</v>
      </c>
      <c r="G204" s="193" t="s">
        <v>352</v>
      </c>
    </row>
    <row r="205" spans="2:7" x14ac:dyDescent="0.5">
      <c r="B205" s="160" t="s">
        <v>870</v>
      </c>
      <c r="C205" s="190">
        <v>5.9999999999999165E-2</v>
      </c>
      <c r="D205" s="190">
        <v>5.854514831759744E-2</v>
      </c>
      <c r="E205" s="190">
        <v>1.024850081077759</v>
      </c>
      <c r="F205" s="190">
        <v>0.3070838407812197</v>
      </c>
      <c r="G205" s="193" t="s">
        <v>352</v>
      </c>
    </row>
    <row r="206" spans="2:7" x14ac:dyDescent="0.5">
      <c r="B206" s="160" t="s">
        <v>871</v>
      </c>
      <c r="C206" s="190">
        <v>0.57000000000000017</v>
      </c>
      <c r="D206" s="190">
        <v>5.854514831759744E-2</v>
      </c>
      <c r="E206" s="190">
        <v>9.7360757702388501</v>
      </c>
      <c r="F206" s="190" t="s">
        <v>272</v>
      </c>
      <c r="G206" s="193" t="s">
        <v>351</v>
      </c>
    </row>
    <row r="207" spans="2:7" x14ac:dyDescent="0.5">
      <c r="B207" s="160" t="s">
        <v>872</v>
      </c>
      <c r="C207" s="190">
        <v>0.56000000000000305</v>
      </c>
      <c r="D207" s="190">
        <v>5.854514831759744E-2</v>
      </c>
      <c r="E207" s="190">
        <v>9.5652674233926032</v>
      </c>
      <c r="F207" s="190" t="s">
        <v>272</v>
      </c>
      <c r="G207" s="193" t="s">
        <v>351</v>
      </c>
    </row>
    <row r="208" spans="2:7" x14ac:dyDescent="0.5">
      <c r="B208" s="160" t="s">
        <v>873</v>
      </c>
      <c r="C208" s="190">
        <v>0.55000000000000016</v>
      </c>
      <c r="D208" s="190">
        <v>5.854514831759744E-2</v>
      </c>
      <c r="E208" s="190">
        <v>9.3944590765462586</v>
      </c>
      <c r="F208" s="190" t="s">
        <v>272</v>
      </c>
      <c r="G208" s="193" t="s">
        <v>351</v>
      </c>
    </row>
    <row r="209" spans="2:7" x14ac:dyDescent="0.5">
      <c r="B209" s="160" t="s">
        <v>874</v>
      </c>
      <c r="C209" s="190">
        <v>0.54333333333333433</v>
      </c>
      <c r="D209" s="190">
        <v>5.854514831759744E-2</v>
      </c>
      <c r="E209" s="190">
        <v>9.2805868453154083</v>
      </c>
      <c r="F209" s="190" t="s">
        <v>272</v>
      </c>
      <c r="G209" s="193" t="s">
        <v>351</v>
      </c>
    </row>
    <row r="210" spans="2:7" x14ac:dyDescent="0.5">
      <c r="B210" s="160" t="s">
        <v>875</v>
      </c>
      <c r="C210" s="190">
        <v>0.53500000000000014</v>
      </c>
      <c r="D210" s="190">
        <v>5.854514831759744E-2</v>
      </c>
      <c r="E210" s="190">
        <v>9.1382465562768154</v>
      </c>
      <c r="F210" s="190" t="s">
        <v>272</v>
      </c>
      <c r="G210" s="193" t="s">
        <v>351</v>
      </c>
    </row>
    <row r="211" spans="2:7" x14ac:dyDescent="0.5">
      <c r="B211" s="160" t="s">
        <v>876</v>
      </c>
      <c r="C211" s="190">
        <v>0.51666666666666772</v>
      </c>
      <c r="D211" s="190">
        <v>5.854514831759744E-2</v>
      </c>
      <c r="E211" s="190">
        <v>8.8250979203919542</v>
      </c>
      <c r="F211" s="190" t="s">
        <v>272</v>
      </c>
      <c r="G211" s="193" t="s">
        <v>351</v>
      </c>
    </row>
    <row r="212" spans="2:7" x14ac:dyDescent="0.5">
      <c r="B212" s="160" t="s">
        <v>877</v>
      </c>
      <c r="C212" s="190">
        <v>0.50000000000000011</v>
      </c>
      <c r="D212" s="190">
        <v>5.854514831759744E-2</v>
      </c>
      <c r="E212" s="190">
        <v>8.5404173423147789</v>
      </c>
      <c r="F212" s="190" t="s">
        <v>272</v>
      </c>
      <c r="G212" s="193" t="s">
        <v>351</v>
      </c>
    </row>
    <row r="213" spans="2:7" x14ac:dyDescent="0.5">
      <c r="B213" s="160" t="s">
        <v>878</v>
      </c>
      <c r="C213" s="190">
        <v>0.48833333333333429</v>
      </c>
      <c r="D213" s="190">
        <v>5.854514831759744E-2</v>
      </c>
      <c r="E213" s="190">
        <v>8.3411409376607821</v>
      </c>
      <c r="F213" s="190" t="s">
        <v>272</v>
      </c>
      <c r="G213" s="193" t="s">
        <v>351</v>
      </c>
    </row>
    <row r="214" spans="2:7" x14ac:dyDescent="0.5">
      <c r="B214" s="160" t="s">
        <v>879</v>
      </c>
      <c r="C214" s="190">
        <v>0.48000000000000098</v>
      </c>
      <c r="D214" s="190">
        <v>5.854514831759744E-2</v>
      </c>
      <c r="E214" s="190">
        <v>8.1988006486222034</v>
      </c>
      <c r="F214" s="190" t="s">
        <v>272</v>
      </c>
      <c r="G214" s="193" t="s">
        <v>351</v>
      </c>
    </row>
    <row r="215" spans="2:7" x14ac:dyDescent="0.5">
      <c r="B215" s="160" t="s">
        <v>880</v>
      </c>
      <c r="C215" s="190">
        <v>0.44833333333333431</v>
      </c>
      <c r="D215" s="190">
        <v>5.854514831759744E-2</v>
      </c>
      <c r="E215" s="190">
        <v>7.6579075502756009</v>
      </c>
      <c r="F215" s="190" t="s">
        <v>272</v>
      </c>
      <c r="G215" s="193" t="s">
        <v>351</v>
      </c>
    </row>
    <row r="216" spans="2:7" x14ac:dyDescent="0.5">
      <c r="B216" s="160" t="s">
        <v>881</v>
      </c>
      <c r="C216" s="190">
        <v>0.44666666666666671</v>
      </c>
      <c r="D216" s="190">
        <v>5.854514831759744E-2</v>
      </c>
      <c r="E216" s="190">
        <v>7.6294394924678688</v>
      </c>
      <c r="F216" s="190" t="s">
        <v>272</v>
      </c>
      <c r="G216" s="193" t="s">
        <v>351</v>
      </c>
    </row>
    <row r="217" spans="2:7" x14ac:dyDescent="0.5">
      <c r="B217" s="160" t="s">
        <v>882</v>
      </c>
      <c r="C217" s="190">
        <v>0.44333333333333425</v>
      </c>
      <c r="D217" s="190">
        <v>5.854514831759744E-2</v>
      </c>
      <c r="E217" s="190">
        <v>7.5725033768524517</v>
      </c>
      <c r="F217" s="190" t="s">
        <v>272</v>
      </c>
      <c r="G217" s="193" t="s">
        <v>351</v>
      </c>
    </row>
    <row r="218" spans="2:7" x14ac:dyDescent="0.5">
      <c r="B218" s="160" t="s">
        <v>883</v>
      </c>
      <c r="C218" s="190">
        <v>0.44166666666666682</v>
      </c>
      <c r="D218" s="190">
        <v>5.854514831759744E-2</v>
      </c>
      <c r="E218" s="190">
        <v>7.5440353190447231</v>
      </c>
      <c r="F218" s="190" t="s">
        <v>272</v>
      </c>
      <c r="G218" s="193" t="s">
        <v>351</v>
      </c>
    </row>
    <row r="219" spans="2:7" x14ac:dyDescent="0.5">
      <c r="B219" s="160" t="s">
        <v>884</v>
      </c>
      <c r="C219" s="190">
        <v>0.4383333333333343</v>
      </c>
      <c r="D219" s="190">
        <v>5.854514831759744E-2</v>
      </c>
      <c r="E219" s="190">
        <v>7.4870992034293051</v>
      </c>
      <c r="F219" s="190" t="s">
        <v>272</v>
      </c>
      <c r="G219" s="193" t="s">
        <v>351</v>
      </c>
    </row>
    <row r="220" spans="2:7" x14ac:dyDescent="0.5">
      <c r="B220" s="160" t="s">
        <v>885</v>
      </c>
      <c r="C220" s="190">
        <v>0.40666666666666679</v>
      </c>
      <c r="D220" s="190">
        <v>5.854514831759744E-2</v>
      </c>
      <c r="E220" s="190">
        <v>6.9462061050826875</v>
      </c>
      <c r="F220" s="190" t="s">
        <v>272</v>
      </c>
      <c r="G220" s="193" t="s">
        <v>351</v>
      </c>
    </row>
    <row r="221" spans="2:7" x14ac:dyDescent="0.5">
      <c r="B221" s="160" t="s">
        <v>886</v>
      </c>
      <c r="C221" s="190">
        <v>0.35000000000000098</v>
      </c>
      <c r="D221" s="190">
        <v>5.854514831759744E-2</v>
      </c>
      <c r="E221" s="190">
        <v>5.9782921396203612</v>
      </c>
      <c r="F221" s="190" t="s">
        <v>272</v>
      </c>
      <c r="G221" s="193" t="s">
        <v>351</v>
      </c>
    </row>
    <row r="222" spans="2:7" x14ac:dyDescent="0.5">
      <c r="B222" s="160" t="s">
        <v>887</v>
      </c>
      <c r="C222" s="190">
        <v>0.33166666666666761</v>
      </c>
      <c r="D222" s="190">
        <v>5.854514831759744E-2</v>
      </c>
      <c r="E222" s="190">
        <v>5.6651435037354849</v>
      </c>
      <c r="F222" s="190" t="s">
        <v>272</v>
      </c>
      <c r="G222" s="193" t="s">
        <v>351</v>
      </c>
    </row>
    <row r="223" spans="2:7" x14ac:dyDescent="0.5">
      <c r="B223" s="160" t="s">
        <v>888</v>
      </c>
      <c r="C223" s="190">
        <v>0.31500000000000006</v>
      </c>
      <c r="D223" s="190">
        <v>5.854514831759744E-2</v>
      </c>
      <c r="E223" s="190">
        <v>5.3804629256583105</v>
      </c>
      <c r="F223" s="190" t="s">
        <v>272</v>
      </c>
      <c r="G223" s="193" t="s">
        <v>351</v>
      </c>
    </row>
    <row r="224" spans="2:7" x14ac:dyDescent="0.5">
      <c r="B224" s="160" t="s">
        <v>889</v>
      </c>
      <c r="C224" s="190">
        <v>0.27833333333333327</v>
      </c>
      <c r="D224" s="190">
        <v>5.854514831759744E-2</v>
      </c>
      <c r="E224" s="190">
        <v>4.7541656538885588</v>
      </c>
      <c r="F224" s="190" t="s">
        <v>272</v>
      </c>
      <c r="G224" s="193" t="s">
        <v>351</v>
      </c>
    </row>
    <row r="225" spans="2:7" x14ac:dyDescent="0.5">
      <c r="B225" s="160" t="s">
        <v>890</v>
      </c>
      <c r="C225" s="190">
        <v>0.25500000000000012</v>
      </c>
      <c r="D225" s="190">
        <v>5.854514831759744E-2</v>
      </c>
      <c r="E225" s="190">
        <v>4.3556128445805387</v>
      </c>
      <c r="F225" s="190" t="s">
        <v>272</v>
      </c>
      <c r="G225" s="193" t="s">
        <v>351</v>
      </c>
    </row>
    <row r="226" spans="2:7" x14ac:dyDescent="0.5">
      <c r="B226" s="160" t="s">
        <v>891</v>
      </c>
      <c r="C226" s="190">
        <v>0.24666666666666764</v>
      </c>
      <c r="D226" s="190">
        <v>5.854514831759744E-2</v>
      </c>
      <c r="E226" s="190">
        <v>4.2132725555419732</v>
      </c>
      <c r="F226" s="190" t="s">
        <v>272</v>
      </c>
      <c r="G226" s="193" t="s">
        <v>351</v>
      </c>
    </row>
    <row r="227" spans="2:7" x14ac:dyDescent="0.5">
      <c r="B227" s="160" t="s">
        <v>892</v>
      </c>
      <c r="C227" s="190">
        <v>0.23000000000000009</v>
      </c>
      <c r="D227" s="190">
        <v>5.854514831759744E-2</v>
      </c>
      <c r="E227" s="190">
        <v>3.9285919774647993</v>
      </c>
      <c r="F227" s="190">
        <v>1.2999084073952289E-4</v>
      </c>
      <c r="G227" s="213" t="s">
        <v>351</v>
      </c>
    </row>
    <row r="228" spans="2:7" x14ac:dyDescent="0.5">
      <c r="B228" s="160" t="s">
        <v>893</v>
      </c>
      <c r="C228" s="190">
        <v>0.18000000000000077</v>
      </c>
      <c r="D228" s="190">
        <v>5.854514831759744E-2</v>
      </c>
      <c r="E228" s="190">
        <v>3.0745502432333329</v>
      </c>
      <c r="F228" s="190">
        <v>2.5054560051103298E-3</v>
      </c>
      <c r="G228" s="193" t="s">
        <v>351</v>
      </c>
    </row>
    <row r="229" spans="2:7" x14ac:dyDescent="0.5">
      <c r="B229" s="160" t="s">
        <v>894</v>
      </c>
      <c r="C229" s="190">
        <v>0.13166666666666765</v>
      </c>
      <c r="D229" s="190">
        <v>5.854514831759744E-2</v>
      </c>
      <c r="E229" s="190">
        <v>2.2489765668095751</v>
      </c>
      <c r="F229" s="190">
        <v>2.5970484488363699E-2</v>
      </c>
      <c r="G229" s="193" t="s">
        <v>351</v>
      </c>
    </row>
    <row r="230" spans="2:7" x14ac:dyDescent="0.5">
      <c r="B230" s="160" t="s">
        <v>895</v>
      </c>
      <c r="C230" s="190">
        <v>0.12333333333333324</v>
      </c>
      <c r="D230" s="190">
        <v>5.854514831759744E-2</v>
      </c>
      <c r="E230" s="190">
        <v>2.1066362777709768</v>
      </c>
      <c r="F230" s="190">
        <v>3.6813601633526406E-2</v>
      </c>
      <c r="G230" s="193" t="s">
        <v>351</v>
      </c>
    </row>
    <row r="231" spans="2:7" x14ac:dyDescent="0.5">
      <c r="B231" s="160" t="s">
        <v>896</v>
      </c>
      <c r="C231" s="190">
        <v>0.11833333333333335</v>
      </c>
      <c r="D231" s="190">
        <v>5.854514831759744E-2</v>
      </c>
      <c r="E231" s="190">
        <v>2.0212321043478307</v>
      </c>
      <c r="F231" s="190">
        <v>4.5034380409520208E-2</v>
      </c>
      <c r="G231" s="193" t="s">
        <v>351</v>
      </c>
    </row>
    <row r="232" spans="2:7" x14ac:dyDescent="0.5">
      <c r="B232" s="160" t="s">
        <v>897</v>
      </c>
      <c r="C232" s="190">
        <v>2.1666666666667611E-2</v>
      </c>
      <c r="D232" s="190">
        <v>5.854514831759744E-2</v>
      </c>
      <c r="E232" s="190">
        <v>0.37008475150032316</v>
      </c>
      <c r="F232" s="190">
        <v>0.71184136457138514</v>
      </c>
      <c r="G232" s="199" t="s">
        <v>352</v>
      </c>
    </row>
    <row r="233" spans="2:7" x14ac:dyDescent="0.5">
      <c r="B233" s="160" t="s">
        <v>898</v>
      </c>
      <c r="C233" s="190">
        <v>0.54833333333333256</v>
      </c>
      <c r="D233" s="190">
        <v>5.854514831759744E-2</v>
      </c>
      <c r="E233" s="190">
        <v>9.3659910187385265</v>
      </c>
      <c r="F233" s="190" t="s">
        <v>272</v>
      </c>
      <c r="G233" s="193" t="s">
        <v>351</v>
      </c>
    </row>
    <row r="234" spans="2:7" x14ac:dyDescent="0.5">
      <c r="B234" s="160" t="s">
        <v>899</v>
      </c>
      <c r="C234" s="190">
        <v>0.53833333333333544</v>
      </c>
      <c r="D234" s="190">
        <v>5.854514831759744E-2</v>
      </c>
      <c r="E234" s="190">
        <v>9.1951826718922796</v>
      </c>
      <c r="F234" s="190" t="s">
        <v>272</v>
      </c>
      <c r="G234" s="193" t="s">
        <v>351</v>
      </c>
    </row>
    <row r="235" spans="2:7" x14ac:dyDescent="0.5">
      <c r="B235" s="160" t="s">
        <v>900</v>
      </c>
      <c r="C235" s="190">
        <v>0.52833333333333254</v>
      </c>
      <c r="D235" s="190">
        <v>5.854514831759744E-2</v>
      </c>
      <c r="E235" s="190">
        <v>9.024374325045935</v>
      </c>
      <c r="F235" s="190" t="s">
        <v>272</v>
      </c>
      <c r="G235" s="193" t="s">
        <v>351</v>
      </c>
    </row>
    <row r="236" spans="2:7" x14ac:dyDescent="0.5">
      <c r="B236" s="160" t="s">
        <v>901</v>
      </c>
      <c r="C236" s="190">
        <v>0.52166666666666672</v>
      </c>
      <c r="D236" s="190">
        <v>5.854514831759744E-2</v>
      </c>
      <c r="E236" s="190">
        <v>8.9105020938150847</v>
      </c>
      <c r="F236" s="190" t="s">
        <v>272</v>
      </c>
      <c r="G236" s="193" t="s">
        <v>351</v>
      </c>
    </row>
    <row r="237" spans="2:7" x14ac:dyDescent="0.5">
      <c r="B237" s="160" t="s">
        <v>902</v>
      </c>
      <c r="C237" s="190">
        <v>0.51333333333333253</v>
      </c>
      <c r="D237" s="190">
        <v>5.854514831759744E-2</v>
      </c>
      <c r="E237" s="190">
        <v>8.7681618047764918</v>
      </c>
      <c r="F237" s="190" t="s">
        <v>272</v>
      </c>
      <c r="G237" s="193" t="s">
        <v>351</v>
      </c>
    </row>
    <row r="238" spans="2:7" x14ac:dyDescent="0.5">
      <c r="B238" s="160" t="s">
        <v>903</v>
      </c>
      <c r="C238" s="190">
        <v>0.49500000000000011</v>
      </c>
      <c r="D238" s="190">
        <v>5.854514831759744E-2</v>
      </c>
      <c r="E238" s="190">
        <v>8.4550131688916323</v>
      </c>
      <c r="F238" s="190" t="s">
        <v>272</v>
      </c>
      <c r="G238" s="193" t="s">
        <v>351</v>
      </c>
    </row>
    <row r="239" spans="2:7" x14ac:dyDescent="0.5">
      <c r="B239" s="160" t="s">
        <v>904</v>
      </c>
      <c r="C239" s="190">
        <v>0.47833333333333256</v>
      </c>
      <c r="D239" s="190">
        <v>5.854514831759744E-2</v>
      </c>
      <c r="E239" s="190">
        <v>8.1703325908144571</v>
      </c>
      <c r="F239" s="190" t="s">
        <v>272</v>
      </c>
      <c r="G239" s="193" t="s">
        <v>351</v>
      </c>
    </row>
    <row r="240" spans="2:7" x14ac:dyDescent="0.5">
      <c r="B240" s="160" t="s">
        <v>905</v>
      </c>
      <c r="C240" s="190">
        <v>0.46666666666666667</v>
      </c>
      <c r="D240" s="190">
        <v>5.854514831759744E-2</v>
      </c>
      <c r="E240" s="190">
        <v>7.9710561861604594</v>
      </c>
      <c r="F240" s="190" t="s">
        <v>272</v>
      </c>
      <c r="G240" s="193" t="s">
        <v>351</v>
      </c>
    </row>
    <row r="241" spans="2:7" x14ac:dyDescent="0.5">
      <c r="B241" s="160" t="s">
        <v>906</v>
      </c>
      <c r="C241" s="190">
        <v>0.45833333333333337</v>
      </c>
      <c r="D241" s="190">
        <v>5.854514831759744E-2</v>
      </c>
      <c r="E241" s="190">
        <v>7.8287158971218798</v>
      </c>
      <c r="F241" s="190" t="s">
        <v>272</v>
      </c>
      <c r="G241" s="193" t="s">
        <v>351</v>
      </c>
    </row>
    <row r="242" spans="2:7" x14ac:dyDescent="0.5">
      <c r="B242" s="160" t="s">
        <v>907</v>
      </c>
      <c r="C242" s="190">
        <v>0.42666666666666669</v>
      </c>
      <c r="D242" s="190">
        <v>5.854514831759744E-2</v>
      </c>
      <c r="E242" s="190">
        <v>7.2878227987752773</v>
      </c>
      <c r="F242" s="190" t="s">
        <v>272</v>
      </c>
      <c r="G242" s="193" t="s">
        <v>351</v>
      </c>
    </row>
    <row r="243" spans="2:7" x14ac:dyDescent="0.5">
      <c r="B243" s="160" t="s">
        <v>908</v>
      </c>
      <c r="C243" s="190">
        <v>0.4249999999999991</v>
      </c>
      <c r="D243" s="190">
        <v>5.854514831759744E-2</v>
      </c>
      <c r="E243" s="190">
        <v>7.2593547409675452</v>
      </c>
      <c r="F243" s="190" t="s">
        <v>272</v>
      </c>
      <c r="G243" s="193" t="s">
        <v>351</v>
      </c>
    </row>
    <row r="244" spans="2:7" x14ac:dyDescent="0.5">
      <c r="B244" s="160" t="s">
        <v>909</v>
      </c>
      <c r="C244" s="190">
        <v>0.42166666666666663</v>
      </c>
      <c r="D244" s="190">
        <v>5.854514831759744E-2</v>
      </c>
      <c r="E244" s="190">
        <v>7.202418625352129</v>
      </c>
      <c r="F244" s="190" t="s">
        <v>272</v>
      </c>
      <c r="G244" s="193" t="s">
        <v>351</v>
      </c>
    </row>
    <row r="245" spans="2:7" x14ac:dyDescent="0.5">
      <c r="B245" s="160" t="s">
        <v>910</v>
      </c>
      <c r="C245" s="190">
        <v>0.41999999999999921</v>
      </c>
      <c r="D245" s="190">
        <v>5.854514831759744E-2</v>
      </c>
      <c r="E245" s="190">
        <v>7.1739505675443995</v>
      </c>
      <c r="F245" s="190" t="s">
        <v>272</v>
      </c>
      <c r="G245" s="193" t="s">
        <v>351</v>
      </c>
    </row>
    <row r="246" spans="2:7" x14ac:dyDescent="0.5">
      <c r="B246" s="160" t="s">
        <v>911</v>
      </c>
      <c r="C246" s="190">
        <v>0.41666666666666669</v>
      </c>
      <c r="D246" s="190">
        <v>5.854514831759744E-2</v>
      </c>
      <c r="E246" s="190">
        <v>7.1170144519289815</v>
      </c>
      <c r="F246" s="190" t="s">
        <v>272</v>
      </c>
      <c r="G246" s="193" t="s">
        <v>351</v>
      </c>
    </row>
    <row r="247" spans="2:7" x14ac:dyDescent="0.5">
      <c r="B247" s="160" t="s">
        <v>912</v>
      </c>
      <c r="C247" s="190">
        <v>0.38499999999999918</v>
      </c>
      <c r="D247" s="190">
        <v>5.854514831759744E-2</v>
      </c>
      <c r="E247" s="190">
        <v>6.5761213535823648</v>
      </c>
      <c r="F247" s="190" t="s">
        <v>272</v>
      </c>
      <c r="G247" s="193" t="s">
        <v>351</v>
      </c>
    </row>
    <row r="248" spans="2:7" x14ac:dyDescent="0.5">
      <c r="B248" s="160" t="s">
        <v>913</v>
      </c>
      <c r="C248" s="190">
        <v>0.32833333333333337</v>
      </c>
      <c r="D248" s="190">
        <v>5.854514831759744E-2</v>
      </c>
      <c r="E248" s="190">
        <v>5.6082073881200376</v>
      </c>
      <c r="F248" s="190" t="s">
        <v>272</v>
      </c>
      <c r="G248" s="193" t="s">
        <v>351</v>
      </c>
    </row>
    <row r="249" spans="2:7" x14ac:dyDescent="0.5">
      <c r="B249" s="160" t="s">
        <v>914</v>
      </c>
      <c r="C249" s="190">
        <v>0.31</v>
      </c>
      <c r="D249" s="190">
        <v>5.854514831759744E-2</v>
      </c>
      <c r="E249" s="190">
        <v>5.2950587522351622</v>
      </c>
      <c r="F249" s="190" t="s">
        <v>272</v>
      </c>
      <c r="G249" s="193" t="s">
        <v>351</v>
      </c>
    </row>
    <row r="250" spans="2:7" x14ac:dyDescent="0.5">
      <c r="B250" s="160" t="s">
        <v>915</v>
      </c>
      <c r="C250" s="190">
        <v>0.29333333333333245</v>
      </c>
      <c r="D250" s="190">
        <v>5.854514831759744E-2</v>
      </c>
      <c r="E250" s="190">
        <v>5.0103781741579878</v>
      </c>
      <c r="F250" s="190" t="s">
        <v>272</v>
      </c>
      <c r="G250" s="193" t="s">
        <v>351</v>
      </c>
    </row>
    <row r="251" spans="2:7" x14ac:dyDescent="0.5">
      <c r="B251" s="160" t="s">
        <v>916</v>
      </c>
      <c r="C251" s="190">
        <v>0.25666666666666565</v>
      </c>
      <c r="D251" s="190">
        <v>5.854514831759744E-2</v>
      </c>
      <c r="E251" s="190">
        <v>4.3840809023882352</v>
      </c>
      <c r="F251" s="190" t="s">
        <v>272</v>
      </c>
      <c r="G251" s="193" t="s">
        <v>351</v>
      </c>
    </row>
    <row r="252" spans="2:7" x14ac:dyDescent="0.5">
      <c r="B252" s="160" t="s">
        <v>917</v>
      </c>
      <c r="C252" s="190">
        <v>0.2333333333333325</v>
      </c>
      <c r="D252" s="190">
        <v>5.854514831759744E-2</v>
      </c>
      <c r="E252" s="190">
        <v>3.9855280930802155</v>
      </c>
      <c r="F252" s="190">
        <v>1.0477855517485054E-4</v>
      </c>
      <c r="G252" s="193" t="s">
        <v>351</v>
      </c>
    </row>
    <row r="253" spans="2:7" x14ac:dyDescent="0.5">
      <c r="B253" s="160" t="s">
        <v>918</v>
      </c>
      <c r="C253" s="190">
        <v>0.22500000000000003</v>
      </c>
      <c r="D253" s="190">
        <v>5.854514831759744E-2</v>
      </c>
      <c r="E253" s="190">
        <v>3.8431878040416505</v>
      </c>
      <c r="F253" s="190">
        <v>1.7888088426948413E-4</v>
      </c>
      <c r="G253" s="213" t="s">
        <v>351</v>
      </c>
    </row>
    <row r="254" spans="2:7" x14ac:dyDescent="0.5">
      <c r="B254" s="160" t="s">
        <v>919</v>
      </c>
      <c r="C254" s="190">
        <v>0.20833333333333248</v>
      </c>
      <c r="D254" s="190">
        <v>5.854514831759744E-2</v>
      </c>
      <c r="E254" s="190">
        <v>3.5585072259644761</v>
      </c>
      <c r="F254" s="190">
        <v>4.9975291908749763E-4</v>
      </c>
      <c r="G254" s="193" t="s">
        <v>351</v>
      </c>
    </row>
    <row r="255" spans="2:7" x14ac:dyDescent="0.5">
      <c r="B255" s="160" t="s">
        <v>920</v>
      </c>
      <c r="C255" s="190">
        <v>0.15833333333333316</v>
      </c>
      <c r="D255" s="190">
        <v>5.854514831759744E-2</v>
      </c>
      <c r="E255" s="190">
        <v>2.7044654917330098</v>
      </c>
      <c r="F255" s="190">
        <v>7.632511488169332E-3</v>
      </c>
      <c r="G255" s="193" t="s">
        <v>351</v>
      </c>
    </row>
    <row r="256" spans="2:7" x14ac:dyDescent="0.5">
      <c r="B256" s="160" t="s">
        <v>921</v>
      </c>
      <c r="C256" s="190">
        <v>0.11000000000000004</v>
      </c>
      <c r="D256" s="190">
        <v>5.854514831759744E-2</v>
      </c>
      <c r="E256" s="190">
        <v>1.8788918153092518</v>
      </c>
      <c r="F256" s="190">
        <v>6.2199483045820209E-2</v>
      </c>
      <c r="G256" s="193" t="s">
        <v>352</v>
      </c>
    </row>
    <row r="257" spans="2:7" x14ac:dyDescent="0.5">
      <c r="B257" s="160" t="s">
        <v>922</v>
      </c>
      <c r="C257" s="190">
        <v>0.10166666666666563</v>
      </c>
      <c r="D257" s="190">
        <v>5.854514831759744E-2</v>
      </c>
      <c r="E257" s="190">
        <v>1.7365515262706537</v>
      </c>
      <c r="F257" s="190">
        <v>8.4519416170794615E-2</v>
      </c>
      <c r="G257" s="193" t="s">
        <v>352</v>
      </c>
    </row>
    <row r="258" spans="2:7" x14ac:dyDescent="0.5">
      <c r="B258" s="160" t="s">
        <v>923</v>
      </c>
      <c r="C258" s="190">
        <v>9.6666666666665735E-2</v>
      </c>
      <c r="D258" s="190">
        <v>5.854514831759744E-2</v>
      </c>
      <c r="E258" s="190">
        <v>1.6511473528475078</v>
      </c>
      <c r="F258" s="190">
        <v>0.10080058920023323</v>
      </c>
      <c r="G258" s="193" t="s">
        <v>352</v>
      </c>
    </row>
    <row r="259" spans="2:7" x14ac:dyDescent="0.5">
      <c r="B259" s="160" t="s">
        <v>924</v>
      </c>
      <c r="C259" s="190">
        <v>0.45166666666666677</v>
      </c>
      <c r="D259" s="190">
        <v>5.854514831759744E-2</v>
      </c>
      <c r="E259" s="190">
        <v>7.714843665891018</v>
      </c>
      <c r="F259" s="190" t="s">
        <v>272</v>
      </c>
      <c r="G259" s="193" t="s">
        <v>351</v>
      </c>
    </row>
    <row r="260" spans="2:7" x14ac:dyDescent="0.5">
      <c r="B260" s="160" t="s">
        <v>925</v>
      </c>
      <c r="C260" s="190">
        <v>0.4416666666666697</v>
      </c>
      <c r="D260" s="190">
        <v>5.854514831759744E-2</v>
      </c>
      <c r="E260" s="190">
        <v>7.544035319044772</v>
      </c>
      <c r="F260" s="190" t="s">
        <v>272</v>
      </c>
      <c r="G260" s="193" t="s">
        <v>351</v>
      </c>
    </row>
    <row r="261" spans="2:7" x14ac:dyDescent="0.5">
      <c r="B261" s="160" t="s">
        <v>926</v>
      </c>
      <c r="C261" s="190">
        <v>0.43166666666666675</v>
      </c>
      <c r="D261" s="190">
        <v>5.854514831759744E-2</v>
      </c>
      <c r="E261" s="190">
        <v>7.3732269721984265</v>
      </c>
      <c r="F261" s="190" t="s">
        <v>272</v>
      </c>
      <c r="G261" s="193" t="s">
        <v>351</v>
      </c>
    </row>
    <row r="262" spans="2:7" x14ac:dyDescent="0.5">
      <c r="B262" s="160" t="s">
        <v>927</v>
      </c>
      <c r="C262" s="190">
        <v>0.42500000000000099</v>
      </c>
      <c r="D262" s="190">
        <v>5.854514831759744E-2</v>
      </c>
      <c r="E262" s="190">
        <v>7.259354740967578</v>
      </c>
      <c r="F262" s="190" t="s">
        <v>272</v>
      </c>
      <c r="G262" s="193" t="s">
        <v>351</v>
      </c>
    </row>
    <row r="263" spans="2:7" x14ac:dyDescent="0.5">
      <c r="B263" s="160" t="s">
        <v>928</v>
      </c>
      <c r="C263" s="190">
        <v>0.41666666666666685</v>
      </c>
      <c r="D263" s="190">
        <v>5.854514831759744E-2</v>
      </c>
      <c r="E263" s="190">
        <v>7.1170144519289842</v>
      </c>
      <c r="F263" s="190" t="s">
        <v>272</v>
      </c>
      <c r="G263" s="193" t="s">
        <v>351</v>
      </c>
    </row>
    <row r="264" spans="2:7" x14ac:dyDescent="0.5">
      <c r="B264" s="160" t="s">
        <v>929</v>
      </c>
      <c r="C264" s="190">
        <v>0.39833333333333437</v>
      </c>
      <c r="D264" s="190">
        <v>5.854514831759744E-2</v>
      </c>
      <c r="E264" s="190">
        <v>6.8038658160441239</v>
      </c>
      <c r="F264" s="190" t="s">
        <v>272</v>
      </c>
      <c r="G264" s="193" t="s">
        <v>351</v>
      </c>
    </row>
    <row r="265" spans="2:7" x14ac:dyDescent="0.5">
      <c r="B265" s="160" t="s">
        <v>930</v>
      </c>
      <c r="C265" s="190">
        <v>0.38166666666666682</v>
      </c>
      <c r="D265" s="190">
        <v>5.854514831759744E-2</v>
      </c>
      <c r="E265" s="190">
        <v>6.5191852379669495</v>
      </c>
      <c r="F265" s="190" t="s">
        <v>272</v>
      </c>
      <c r="G265" s="193" t="s">
        <v>351</v>
      </c>
    </row>
    <row r="266" spans="2:7" x14ac:dyDescent="0.5">
      <c r="B266" s="160" t="s">
        <v>931</v>
      </c>
      <c r="C266" s="190">
        <v>0.37000000000000088</v>
      </c>
      <c r="D266" s="190">
        <v>5.854514831759744E-2</v>
      </c>
      <c r="E266" s="190">
        <v>6.3199088333129509</v>
      </c>
      <c r="F266" s="190" t="s">
        <v>272</v>
      </c>
      <c r="G266" s="193" t="s">
        <v>351</v>
      </c>
    </row>
    <row r="267" spans="2:7" x14ac:dyDescent="0.5">
      <c r="B267" s="160" t="s">
        <v>932</v>
      </c>
      <c r="C267" s="190">
        <v>0.36166666666666764</v>
      </c>
      <c r="D267" s="190">
        <v>5.854514831759744E-2</v>
      </c>
      <c r="E267" s="190">
        <v>6.1775685442743722</v>
      </c>
      <c r="F267" s="190" t="s">
        <v>272</v>
      </c>
      <c r="G267" s="193" t="s">
        <v>351</v>
      </c>
    </row>
    <row r="268" spans="2:7" x14ac:dyDescent="0.5">
      <c r="B268" s="160" t="s">
        <v>933</v>
      </c>
      <c r="C268" s="190">
        <v>0.33000000000000096</v>
      </c>
      <c r="D268" s="190">
        <v>5.854514831759744E-2</v>
      </c>
      <c r="E268" s="190">
        <v>5.6366754459277697</v>
      </c>
      <c r="F268" s="190" t="s">
        <v>272</v>
      </c>
      <c r="G268" s="193" t="s">
        <v>351</v>
      </c>
    </row>
    <row r="269" spans="2:7" x14ac:dyDescent="0.5">
      <c r="B269" s="160" t="s">
        <v>934</v>
      </c>
      <c r="C269" s="190">
        <v>0.32833333333333337</v>
      </c>
      <c r="D269" s="190">
        <v>5.854514831759744E-2</v>
      </c>
      <c r="E269" s="190">
        <v>5.6082073881200376</v>
      </c>
      <c r="F269" s="190" t="s">
        <v>272</v>
      </c>
      <c r="G269" s="193" t="s">
        <v>351</v>
      </c>
    </row>
    <row r="270" spans="2:7" x14ac:dyDescent="0.5">
      <c r="B270" s="160" t="s">
        <v>935</v>
      </c>
      <c r="C270" s="190">
        <v>0.3250000000000009</v>
      </c>
      <c r="D270" s="190">
        <v>5.854514831759744E-2</v>
      </c>
      <c r="E270" s="190">
        <v>5.5512712725046205</v>
      </c>
      <c r="F270" s="190" t="s">
        <v>272</v>
      </c>
      <c r="G270" s="193" t="s">
        <v>351</v>
      </c>
    </row>
    <row r="271" spans="2:7" x14ac:dyDescent="0.5">
      <c r="B271" s="160" t="s">
        <v>936</v>
      </c>
      <c r="C271" s="190">
        <v>0.32333333333333347</v>
      </c>
      <c r="D271" s="190">
        <v>5.854514831759744E-2</v>
      </c>
      <c r="E271" s="190">
        <v>5.5228032146968919</v>
      </c>
      <c r="F271" s="190" t="s">
        <v>272</v>
      </c>
      <c r="G271" s="193" t="s">
        <v>351</v>
      </c>
    </row>
    <row r="272" spans="2:7" x14ac:dyDescent="0.5">
      <c r="B272" s="160" t="s">
        <v>937</v>
      </c>
      <c r="C272" s="190">
        <v>0.32000000000000095</v>
      </c>
      <c r="D272" s="190">
        <v>5.854514831759744E-2</v>
      </c>
      <c r="E272" s="190">
        <v>5.4658670990814739</v>
      </c>
      <c r="F272" s="190" t="s">
        <v>272</v>
      </c>
      <c r="G272" s="193" t="s">
        <v>351</v>
      </c>
    </row>
    <row r="273" spans="2:7" x14ac:dyDescent="0.5">
      <c r="B273" s="160" t="s">
        <v>938</v>
      </c>
      <c r="C273" s="190">
        <v>0.28833333333333344</v>
      </c>
      <c r="D273" s="190">
        <v>5.854514831759744E-2</v>
      </c>
      <c r="E273" s="190">
        <v>4.9249740007348572</v>
      </c>
      <c r="F273" s="190" t="s">
        <v>272</v>
      </c>
      <c r="G273" s="193" t="s">
        <v>351</v>
      </c>
    </row>
    <row r="274" spans="2:7" x14ac:dyDescent="0.5">
      <c r="B274" s="160" t="s">
        <v>939</v>
      </c>
      <c r="C274" s="190">
        <v>0.23166666666666763</v>
      </c>
      <c r="D274" s="190">
        <v>5.854514831759744E-2</v>
      </c>
      <c r="E274" s="190">
        <v>3.95706003527253</v>
      </c>
      <c r="F274" s="190">
        <v>1.1673808787574988E-4</v>
      </c>
      <c r="G274" s="193" t="s">
        <v>351</v>
      </c>
    </row>
    <row r="275" spans="2:7" x14ac:dyDescent="0.5">
      <c r="B275" s="160" t="s">
        <v>940</v>
      </c>
      <c r="C275" s="190">
        <v>0.21333333333333426</v>
      </c>
      <c r="D275" s="190">
        <v>5.854514831759744E-2</v>
      </c>
      <c r="E275" s="190">
        <v>3.6439113993876542</v>
      </c>
      <c r="F275" s="190">
        <v>3.694116647337755E-4</v>
      </c>
      <c r="G275" s="193" t="s">
        <v>351</v>
      </c>
    </row>
    <row r="276" spans="2:7" x14ac:dyDescent="0.5">
      <c r="B276" s="160" t="s">
        <v>941</v>
      </c>
      <c r="C276" s="190">
        <v>0.19666666666666674</v>
      </c>
      <c r="D276" s="190">
        <v>5.854514831759744E-2</v>
      </c>
      <c r="E276" s="190">
        <v>3.3592308213104802</v>
      </c>
      <c r="F276" s="190">
        <v>9.9109001350557299E-4</v>
      </c>
      <c r="G276" s="193" t="s">
        <v>351</v>
      </c>
    </row>
    <row r="277" spans="2:7" x14ac:dyDescent="0.5">
      <c r="B277" s="160" t="s">
        <v>942</v>
      </c>
      <c r="C277" s="190">
        <v>0.15999999999999992</v>
      </c>
      <c r="D277" s="190">
        <v>5.854514831759744E-2</v>
      </c>
      <c r="E277" s="190">
        <v>2.7329335495407276</v>
      </c>
      <c r="F277" s="190">
        <v>7.0320281468315487E-3</v>
      </c>
      <c r="G277" s="193" t="s">
        <v>351</v>
      </c>
    </row>
    <row r="278" spans="2:7" x14ac:dyDescent="0.5">
      <c r="B278" s="160" t="s">
        <v>943</v>
      </c>
      <c r="C278" s="190">
        <v>0.13666666666666677</v>
      </c>
      <c r="D278" s="190">
        <v>5.854514831759744E-2</v>
      </c>
      <c r="E278" s="190">
        <v>2.3343807402327075</v>
      </c>
      <c r="F278" s="190">
        <v>2.0902254074063573E-2</v>
      </c>
      <c r="G278" s="193" t="s">
        <v>351</v>
      </c>
    </row>
    <row r="279" spans="2:7" x14ac:dyDescent="0.5">
      <c r="B279" s="160" t="s">
        <v>944</v>
      </c>
      <c r="C279" s="190">
        <v>0.1283333333333343</v>
      </c>
      <c r="D279" s="190">
        <v>5.854514831759744E-2</v>
      </c>
      <c r="E279" s="190">
        <v>2.1920404511941429</v>
      </c>
      <c r="F279" s="190">
        <v>2.9918184982981044E-2</v>
      </c>
      <c r="G279" s="193" t="s">
        <v>351</v>
      </c>
    </row>
    <row r="280" spans="2:7" x14ac:dyDescent="0.5">
      <c r="B280" s="160" t="s">
        <v>945</v>
      </c>
      <c r="C280" s="190">
        <v>0.11166666666666675</v>
      </c>
      <c r="D280" s="190">
        <v>5.854514831759744E-2</v>
      </c>
      <c r="E280" s="190">
        <v>1.9073598731169683</v>
      </c>
      <c r="F280" s="190">
        <v>5.8385348145209778E-2</v>
      </c>
      <c r="G280" s="193" t="s">
        <v>352</v>
      </c>
    </row>
    <row r="281" spans="2:7" x14ac:dyDescent="0.5">
      <c r="B281" s="160" t="s">
        <v>946</v>
      </c>
      <c r="C281" s="190">
        <v>6.1666666666667425E-2</v>
      </c>
      <c r="D281" s="190">
        <v>5.854514831759744E-2</v>
      </c>
      <c r="E281" s="190">
        <v>1.0533181388855022</v>
      </c>
      <c r="F281" s="190">
        <v>0.29388897935388869</v>
      </c>
      <c r="G281" s="193" t="s">
        <v>352</v>
      </c>
    </row>
    <row r="282" spans="2:7" x14ac:dyDescent="0.5">
      <c r="B282" s="160" t="s">
        <v>947</v>
      </c>
      <c r="C282" s="190">
        <v>1.3333333333334307E-2</v>
      </c>
      <c r="D282" s="190">
        <v>5.854514831759744E-2</v>
      </c>
      <c r="E282" s="190">
        <v>0.22774446246174404</v>
      </c>
      <c r="F282" s="190">
        <v>0.82015504314862431</v>
      </c>
      <c r="G282" s="199" t="s">
        <v>352</v>
      </c>
    </row>
    <row r="283" spans="2:7" x14ac:dyDescent="0.5">
      <c r="B283" s="160" t="s">
        <v>948</v>
      </c>
      <c r="C283" s="190">
        <v>4.9999999999998934E-3</v>
      </c>
      <c r="D283" s="190">
        <v>5.854514831759744E-2</v>
      </c>
      <c r="E283" s="190">
        <v>8.5404173423145963E-2</v>
      </c>
      <c r="F283" s="190">
        <v>0.93205396217829972</v>
      </c>
      <c r="G283" s="193" t="s">
        <v>352</v>
      </c>
    </row>
    <row r="284" spans="2:7" x14ac:dyDescent="0.5">
      <c r="B284" s="160" t="s">
        <v>949</v>
      </c>
      <c r="C284" s="190">
        <v>0.44666666666666688</v>
      </c>
      <c r="D284" s="190">
        <v>5.854514831759744E-2</v>
      </c>
      <c r="E284" s="190">
        <v>7.6294394924678715</v>
      </c>
      <c r="F284" s="190" t="s">
        <v>272</v>
      </c>
      <c r="G284" s="193" t="s">
        <v>351</v>
      </c>
    </row>
    <row r="285" spans="2:7" x14ac:dyDescent="0.5">
      <c r="B285" s="160" t="s">
        <v>950</v>
      </c>
      <c r="C285" s="190">
        <v>0.43666666666666981</v>
      </c>
      <c r="D285" s="190">
        <v>5.854514831759744E-2</v>
      </c>
      <c r="E285" s="190">
        <v>7.4586311456216263</v>
      </c>
      <c r="F285" s="190" t="s">
        <v>272</v>
      </c>
      <c r="G285" s="193" t="s">
        <v>351</v>
      </c>
    </row>
    <row r="286" spans="2:7" x14ac:dyDescent="0.5">
      <c r="B286" s="160" t="s">
        <v>951</v>
      </c>
      <c r="C286" s="190">
        <v>0.42666666666666686</v>
      </c>
      <c r="D286" s="190">
        <v>5.854514831759744E-2</v>
      </c>
      <c r="E286" s="190">
        <v>7.2878227987752799</v>
      </c>
      <c r="F286" s="190" t="s">
        <v>272</v>
      </c>
      <c r="G286" s="193" t="s">
        <v>351</v>
      </c>
    </row>
    <row r="287" spans="2:7" x14ac:dyDescent="0.5">
      <c r="B287" s="160" t="s">
        <v>952</v>
      </c>
      <c r="C287" s="190">
        <v>0.42000000000000109</v>
      </c>
      <c r="D287" s="190">
        <v>5.854514831759744E-2</v>
      </c>
      <c r="E287" s="190">
        <v>7.1739505675444315</v>
      </c>
      <c r="F287" s="190" t="s">
        <v>272</v>
      </c>
      <c r="G287" s="193" t="s">
        <v>351</v>
      </c>
    </row>
    <row r="288" spans="2:7" x14ac:dyDescent="0.5">
      <c r="B288" s="160" t="s">
        <v>953</v>
      </c>
      <c r="C288" s="190">
        <v>0.41166666666666696</v>
      </c>
      <c r="D288" s="190">
        <v>5.854514831759744E-2</v>
      </c>
      <c r="E288" s="190">
        <v>7.0316102785058385</v>
      </c>
      <c r="F288" s="190" t="s">
        <v>272</v>
      </c>
      <c r="G288" s="193" t="s">
        <v>351</v>
      </c>
    </row>
    <row r="289" spans="2:7" x14ac:dyDescent="0.5">
      <c r="B289" s="160" t="s">
        <v>954</v>
      </c>
      <c r="C289" s="190">
        <v>0.39333333333333448</v>
      </c>
      <c r="D289" s="190">
        <v>5.854514831759744E-2</v>
      </c>
      <c r="E289" s="190">
        <v>6.7184616426209782</v>
      </c>
      <c r="F289" s="190" t="s">
        <v>272</v>
      </c>
      <c r="G289" s="193" t="s">
        <v>351</v>
      </c>
    </row>
    <row r="290" spans="2:7" x14ac:dyDescent="0.5">
      <c r="B290" s="160" t="s">
        <v>955</v>
      </c>
      <c r="C290" s="190">
        <v>0.37666666666666693</v>
      </c>
      <c r="D290" s="190">
        <v>5.854514831759744E-2</v>
      </c>
      <c r="E290" s="190">
        <v>6.4337810645438038</v>
      </c>
      <c r="F290" s="190" t="s">
        <v>272</v>
      </c>
      <c r="G290" s="193" t="s">
        <v>351</v>
      </c>
    </row>
    <row r="291" spans="2:7" x14ac:dyDescent="0.5">
      <c r="B291" s="160" t="s">
        <v>956</v>
      </c>
      <c r="C291" s="190">
        <v>0.36500000000000099</v>
      </c>
      <c r="D291" s="190">
        <v>5.854514831759744E-2</v>
      </c>
      <c r="E291" s="190">
        <v>6.2345046598898044</v>
      </c>
      <c r="F291" s="190" t="s">
        <v>272</v>
      </c>
      <c r="G291" s="193" t="s">
        <v>351</v>
      </c>
    </row>
    <row r="292" spans="2:7" x14ac:dyDescent="0.5">
      <c r="B292" s="160" t="s">
        <v>957</v>
      </c>
      <c r="C292" s="190">
        <v>0.35666666666666774</v>
      </c>
      <c r="D292" s="190">
        <v>5.854514831759744E-2</v>
      </c>
      <c r="E292" s="190">
        <v>6.0921643708512265</v>
      </c>
      <c r="F292" s="190" t="s">
        <v>272</v>
      </c>
      <c r="G292" s="193" t="s">
        <v>351</v>
      </c>
    </row>
    <row r="293" spans="2:7" x14ac:dyDescent="0.5">
      <c r="B293" s="160" t="s">
        <v>958</v>
      </c>
      <c r="C293" s="190">
        <v>0.32500000000000107</v>
      </c>
      <c r="D293" s="190">
        <v>5.854514831759744E-2</v>
      </c>
      <c r="E293" s="190">
        <v>5.551271272504624</v>
      </c>
      <c r="F293" s="190" t="s">
        <v>272</v>
      </c>
      <c r="G293" s="193" t="s">
        <v>351</v>
      </c>
    </row>
    <row r="294" spans="2:7" x14ac:dyDescent="0.5">
      <c r="B294" s="160" t="s">
        <v>959</v>
      </c>
      <c r="C294" s="190">
        <v>0.32333333333333347</v>
      </c>
      <c r="D294" s="190">
        <v>5.854514831759744E-2</v>
      </c>
      <c r="E294" s="190">
        <v>5.5228032146968919</v>
      </c>
      <c r="F294" s="190" t="s">
        <v>272</v>
      </c>
      <c r="G294" s="193" t="s">
        <v>351</v>
      </c>
    </row>
    <row r="295" spans="2:7" x14ac:dyDescent="0.5">
      <c r="B295" s="160" t="s">
        <v>960</v>
      </c>
      <c r="C295" s="190">
        <v>0.32000000000000101</v>
      </c>
      <c r="D295" s="190">
        <v>5.854514831759744E-2</v>
      </c>
      <c r="E295" s="190">
        <v>5.4658670990814748</v>
      </c>
      <c r="F295" s="190" t="s">
        <v>272</v>
      </c>
      <c r="G295" s="193" t="s">
        <v>351</v>
      </c>
    </row>
    <row r="296" spans="2:7" x14ac:dyDescent="0.5">
      <c r="B296" s="160" t="s">
        <v>961</v>
      </c>
      <c r="C296" s="190">
        <v>0.31833333333333358</v>
      </c>
      <c r="D296" s="190">
        <v>5.854514831759744E-2</v>
      </c>
      <c r="E296" s="190">
        <v>5.4373990412737463</v>
      </c>
      <c r="F296" s="190" t="s">
        <v>272</v>
      </c>
      <c r="G296" s="193" t="s">
        <v>351</v>
      </c>
    </row>
    <row r="297" spans="2:7" x14ac:dyDescent="0.5">
      <c r="B297" s="160" t="s">
        <v>962</v>
      </c>
      <c r="C297" s="190">
        <v>0.31500000000000106</v>
      </c>
      <c r="D297" s="190">
        <v>5.854514831759744E-2</v>
      </c>
      <c r="E297" s="190">
        <v>5.3804629256583283</v>
      </c>
      <c r="F297" s="190" t="s">
        <v>272</v>
      </c>
      <c r="G297" s="193" t="s">
        <v>351</v>
      </c>
    </row>
    <row r="298" spans="2:7" x14ac:dyDescent="0.5">
      <c r="B298" s="160" t="s">
        <v>963</v>
      </c>
      <c r="C298" s="190">
        <v>0.28333333333333355</v>
      </c>
      <c r="D298" s="190">
        <v>5.854514831759744E-2</v>
      </c>
      <c r="E298" s="190">
        <v>4.8395698273117107</v>
      </c>
      <c r="F298" s="190" t="s">
        <v>272</v>
      </c>
      <c r="G298" s="193" t="s">
        <v>351</v>
      </c>
    </row>
    <row r="299" spans="2:7" x14ac:dyDescent="0.5">
      <c r="B299" s="160" t="s">
        <v>964</v>
      </c>
      <c r="C299" s="190">
        <v>0.22666666666666774</v>
      </c>
      <c r="D299" s="190">
        <v>5.854514831759744E-2</v>
      </c>
      <c r="E299" s="190">
        <v>3.8716558618493839</v>
      </c>
      <c r="F299" s="190">
        <v>1.6091234539835581E-4</v>
      </c>
      <c r="G299" s="193" t="s">
        <v>351</v>
      </c>
    </row>
    <row r="300" spans="2:7" x14ac:dyDescent="0.5">
      <c r="B300" s="160" t="s">
        <v>965</v>
      </c>
      <c r="C300" s="190">
        <v>0.20833333333333437</v>
      </c>
      <c r="D300" s="190">
        <v>5.854514831759744E-2</v>
      </c>
      <c r="E300" s="190">
        <v>3.5585072259645085</v>
      </c>
      <c r="F300" s="190">
        <v>4.9975291908743963E-4</v>
      </c>
      <c r="G300" s="193" t="s">
        <v>351</v>
      </c>
    </row>
    <row r="301" spans="2:7" x14ac:dyDescent="0.5">
      <c r="B301" s="160" t="s">
        <v>966</v>
      </c>
      <c r="C301" s="190">
        <v>0.19166666666666685</v>
      </c>
      <c r="D301" s="190">
        <v>5.854514831759744E-2</v>
      </c>
      <c r="E301" s="190">
        <v>3.2738266478873346</v>
      </c>
      <c r="F301" s="190">
        <v>1.3173251061791619E-3</v>
      </c>
      <c r="G301" s="193" t="s">
        <v>351</v>
      </c>
    </row>
    <row r="302" spans="2:7" x14ac:dyDescent="0.5">
      <c r="B302" s="160" t="s">
        <v>967</v>
      </c>
      <c r="C302" s="190">
        <v>0.15500000000000003</v>
      </c>
      <c r="D302" s="190">
        <v>5.854514831759744E-2</v>
      </c>
      <c r="E302" s="190">
        <v>2.6475293761175815</v>
      </c>
      <c r="F302" s="190">
        <v>8.9746807899894511E-3</v>
      </c>
      <c r="G302" s="193" t="s">
        <v>351</v>
      </c>
    </row>
    <row r="303" spans="2:7" x14ac:dyDescent="0.5">
      <c r="B303" s="160" t="s">
        <v>968</v>
      </c>
      <c r="C303" s="190">
        <v>0.13166666666666688</v>
      </c>
      <c r="D303" s="190">
        <v>5.854514831759744E-2</v>
      </c>
      <c r="E303" s="190">
        <v>2.2489765668095618</v>
      </c>
      <c r="F303" s="190">
        <v>2.5970484488364459E-2</v>
      </c>
      <c r="G303" s="193" t="s">
        <v>351</v>
      </c>
    </row>
    <row r="304" spans="2:7" x14ac:dyDescent="0.5">
      <c r="B304" s="160" t="s">
        <v>969</v>
      </c>
      <c r="C304" s="190">
        <v>0.12333333333333441</v>
      </c>
      <c r="D304" s="190">
        <v>5.854514831759744E-2</v>
      </c>
      <c r="E304" s="190">
        <v>2.1066362777709968</v>
      </c>
      <c r="F304" s="190">
        <v>3.6813601633524561E-2</v>
      </c>
      <c r="G304" s="193" t="s">
        <v>351</v>
      </c>
    </row>
    <row r="305" spans="2:7" x14ac:dyDescent="0.5">
      <c r="B305" s="160" t="s">
        <v>970</v>
      </c>
      <c r="C305" s="190">
        <v>0.10666666666666685</v>
      </c>
      <c r="D305" s="190">
        <v>5.854514831759744E-2</v>
      </c>
      <c r="E305" s="190">
        <v>1.8219556996938224</v>
      </c>
      <c r="F305" s="190">
        <v>7.0453677736170853E-2</v>
      </c>
      <c r="G305" s="193" t="s">
        <v>352</v>
      </c>
    </row>
    <row r="306" spans="2:7" x14ac:dyDescent="0.5">
      <c r="B306" s="160" t="s">
        <v>971</v>
      </c>
      <c r="C306" s="190">
        <v>5.6666666666667531E-2</v>
      </c>
      <c r="D306" s="190">
        <v>5.854514831759744E-2</v>
      </c>
      <c r="E306" s="190">
        <v>0.9679139654623562</v>
      </c>
      <c r="F306" s="190">
        <v>0.33464537718594173</v>
      </c>
      <c r="G306" s="199" t="s">
        <v>352</v>
      </c>
    </row>
    <row r="307" spans="2:7" x14ac:dyDescent="0.5">
      <c r="B307" s="160" t="s">
        <v>972</v>
      </c>
      <c r="C307" s="190">
        <v>8.333333333334414E-3</v>
      </c>
      <c r="D307" s="190">
        <v>5.854514831759744E-2</v>
      </c>
      <c r="E307" s="190">
        <v>0.14234028903859808</v>
      </c>
      <c r="F307" s="190">
        <v>0.88700223532206834</v>
      </c>
      <c r="G307" s="193" t="s">
        <v>352</v>
      </c>
    </row>
    <row r="308" spans="2:7" x14ac:dyDescent="0.5">
      <c r="B308" s="160" t="s">
        <v>973</v>
      </c>
      <c r="C308" s="190">
        <v>0.43833333333333246</v>
      </c>
      <c r="D308" s="190">
        <v>5.854514831759744E-2</v>
      </c>
      <c r="E308" s="190">
        <v>7.4870992034292732</v>
      </c>
      <c r="F308" s="190" t="s">
        <v>272</v>
      </c>
      <c r="G308" s="193" t="s">
        <v>351</v>
      </c>
    </row>
    <row r="309" spans="2:7" x14ac:dyDescent="0.5">
      <c r="B309" s="160" t="s">
        <v>974</v>
      </c>
      <c r="C309" s="190">
        <v>0.4283333333333354</v>
      </c>
      <c r="D309" s="190">
        <v>5.854514831759744E-2</v>
      </c>
      <c r="E309" s="190">
        <v>7.316290856583028</v>
      </c>
      <c r="F309" s="190" t="s">
        <v>272</v>
      </c>
      <c r="G309" s="193" t="s">
        <v>351</v>
      </c>
    </row>
    <row r="310" spans="2:7" x14ac:dyDescent="0.5">
      <c r="B310" s="160" t="s">
        <v>975</v>
      </c>
      <c r="C310" s="190">
        <v>0.41833333333333245</v>
      </c>
      <c r="D310" s="190">
        <v>5.854514831759744E-2</v>
      </c>
      <c r="E310" s="190">
        <v>7.1454825097366825</v>
      </c>
      <c r="F310" s="190" t="s">
        <v>272</v>
      </c>
      <c r="G310" s="193" t="s">
        <v>351</v>
      </c>
    </row>
    <row r="311" spans="2:7" x14ac:dyDescent="0.5">
      <c r="B311" s="160" t="s">
        <v>976</v>
      </c>
      <c r="C311" s="190">
        <v>0.41166666666666668</v>
      </c>
      <c r="D311" s="190">
        <v>5.854514831759744E-2</v>
      </c>
      <c r="E311" s="190">
        <v>7.0316102785058341</v>
      </c>
      <c r="F311" s="190" t="s">
        <v>272</v>
      </c>
      <c r="G311" s="193" t="s">
        <v>351</v>
      </c>
    </row>
    <row r="312" spans="2:7" x14ac:dyDescent="0.5">
      <c r="B312" s="160" t="s">
        <v>977</v>
      </c>
      <c r="C312" s="190">
        <v>0.40333333333333254</v>
      </c>
      <c r="D312" s="190">
        <v>5.854514831759744E-2</v>
      </c>
      <c r="E312" s="190">
        <v>6.8892699894672402</v>
      </c>
      <c r="F312" s="190" t="s">
        <v>272</v>
      </c>
      <c r="G312" s="193" t="s">
        <v>351</v>
      </c>
    </row>
    <row r="313" spans="2:7" x14ac:dyDescent="0.5">
      <c r="B313" s="160" t="s">
        <v>978</v>
      </c>
      <c r="C313" s="190">
        <v>0.38500000000000006</v>
      </c>
      <c r="D313" s="190">
        <v>5.854514831759744E-2</v>
      </c>
      <c r="E313" s="190">
        <v>6.5761213535823799</v>
      </c>
      <c r="F313" s="190" t="s">
        <v>272</v>
      </c>
      <c r="G313" s="193" t="s">
        <v>351</v>
      </c>
    </row>
    <row r="314" spans="2:7" x14ac:dyDescent="0.5">
      <c r="B314" s="160" t="s">
        <v>979</v>
      </c>
      <c r="C314" s="190">
        <v>0.36833333333333251</v>
      </c>
      <c r="D314" s="190">
        <v>5.854514831759744E-2</v>
      </c>
      <c r="E314" s="190">
        <v>6.2914407755052055</v>
      </c>
      <c r="F314" s="190" t="s">
        <v>272</v>
      </c>
      <c r="G314" s="193" t="s">
        <v>351</v>
      </c>
    </row>
    <row r="315" spans="2:7" x14ac:dyDescent="0.5">
      <c r="B315" s="160" t="s">
        <v>980</v>
      </c>
      <c r="C315" s="190">
        <v>0.35666666666666658</v>
      </c>
      <c r="D315" s="190">
        <v>5.854514831759744E-2</v>
      </c>
      <c r="E315" s="190">
        <v>6.0921643708512061</v>
      </c>
      <c r="F315" s="190" t="s">
        <v>272</v>
      </c>
      <c r="G315" s="193" t="s">
        <v>351</v>
      </c>
    </row>
    <row r="316" spans="2:7" x14ac:dyDescent="0.5">
      <c r="B316" s="160" t="s">
        <v>981</v>
      </c>
      <c r="C316" s="190">
        <v>0.34833333333333333</v>
      </c>
      <c r="D316" s="190">
        <v>5.854514831759744E-2</v>
      </c>
      <c r="E316" s="190">
        <v>5.9498240818126282</v>
      </c>
      <c r="F316" s="190" t="s">
        <v>272</v>
      </c>
      <c r="G316" s="193" t="s">
        <v>351</v>
      </c>
    </row>
    <row r="317" spans="2:7" x14ac:dyDescent="0.5">
      <c r="B317" s="160" t="s">
        <v>982</v>
      </c>
      <c r="C317" s="190">
        <v>0.31666666666666665</v>
      </c>
      <c r="D317" s="190">
        <v>5.854514831759744E-2</v>
      </c>
      <c r="E317" s="190">
        <v>5.4089309834660257</v>
      </c>
      <c r="F317" s="190" t="s">
        <v>272</v>
      </c>
      <c r="G317" s="193" t="s">
        <v>351</v>
      </c>
    </row>
    <row r="318" spans="2:7" x14ac:dyDescent="0.5">
      <c r="B318" s="160" t="s">
        <v>983</v>
      </c>
      <c r="C318" s="190">
        <v>0.31499999999999906</v>
      </c>
      <c r="D318" s="190">
        <v>5.854514831759744E-2</v>
      </c>
      <c r="E318" s="190">
        <v>5.3804629256582936</v>
      </c>
      <c r="F318" s="190" t="s">
        <v>272</v>
      </c>
      <c r="G318" s="193" t="s">
        <v>351</v>
      </c>
    </row>
    <row r="319" spans="2:7" x14ac:dyDescent="0.5">
      <c r="B319" s="160" t="s">
        <v>984</v>
      </c>
      <c r="C319" s="190">
        <v>0.31166666666666659</v>
      </c>
      <c r="D319" s="190">
        <v>5.854514831759744E-2</v>
      </c>
      <c r="E319" s="190">
        <v>5.3235268100428765</v>
      </c>
      <c r="F319" s="190" t="s">
        <v>272</v>
      </c>
      <c r="G319" s="193" t="s">
        <v>351</v>
      </c>
    </row>
    <row r="320" spans="2:7" x14ac:dyDescent="0.5">
      <c r="B320" s="160" t="s">
        <v>985</v>
      </c>
      <c r="C320" s="190">
        <v>0.30999999999999917</v>
      </c>
      <c r="D320" s="190">
        <v>5.854514831759744E-2</v>
      </c>
      <c r="E320" s="190">
        <v>5.295058752235148</v>
      </c>
      <c r="F320" s="190" t="s">
        <v>272</v>
      </c>
      <c r="G320" s="193" t="s">
        <v>351</v>
      </c>
    </row>
    <row r="321" spans="2:7" x14ac:dyDescent="0.5">
      <c r="B321" s="160" t="s">
        <v>986</v>
      </c>
      <c r="C321" s="190">
        <v>0.30666666666666664</v>
      </c>
      <c r="D321" s="190">
        <v>5.854514831759744E-2</v>
      </c>
      <c r="E321" s="190">
        <v>5.23812263661973</v>
      </c>
      <c r="F321" s="190" t="s">
        <v>272</v>
      </c>
      <c r="G321" s="193" t="s">
        <v>351</v>
      </c>
    </row>
    <row r="322" spans="2:7" x14ac:dyDescent="0.5">
      <c r="B322" s="160" t="s">
        <v>987</v>
      </c>
      <c r="C322" s="190">
        <v>0.27499999999999913</v>
      </c>
      <c r="D322" s="190">
        <v>5.854514831759744E-2</v>
      </c>
      <c r="E322" s="190">
        <v>4.6972295382731133</v>
      </c>
      <c r="F322" s="190" t="s">
        <v>272</v>
      </c>
      <c r="G322" s="193" t="s">
        <v>351</v>
      </c>
    </row>
    <row r="323" spans="2:7" x14ac:dyDescent="0.5">
      <c r="B323" s="160" t="s">
        <v>988</v>
      </c>
      <c r="C323" s="190">
        <v>0.21833333333333332</v>
      </c>
      <c r="D323" s="190">
        <v>5.854514831759744E-2</v>
      </c>
      <c r="E323" s="190">
        <v>3.7293155728107861</v>
      </c>
      <c r="F323" s="190">
        <v>2.7165380324301448E-4</v>
      </c>
      <c r="G323" s="193" t="s">
        <v>351</v>
      </c>
    </row>
    <row r="324" spans="2:7" x14ac:dyDescent="0.5">
      <c r="B324" s="160" t="s">
        <v>989</v>
      </c>
      <c r="C324" s="190">
        <v>0.19999999999999996</v>
      </c>
      <c r="D324" s="190">
        <v>5.854514831759744E-2</v>
      </c>
      <c r="E324" s="190">
        <v>3.4161669369259102</v>
      </c>
      <c r="F324" s="190">
        <v>8.1739770460719429E-4</v>
      </c>
      <c r="G324" s="193" t="s">
        <v>351</v>
      </c>
    </row>
    <row r="325" spans="2:7" x14ac:dyDescent="0.5">
      <c r="B325" s="160" t="s">
        <v>990</v>
      </c>
      <c r="C325" s="190">
        <v>0.18333333333333243</v>
      </c>
      <c r="D325" s="190">
        <v>5.854514831759744E-2</v>
      </c>
      <c r="E325" s="190">
        <v>3.1314863588487363</v>
      </c>
      <c r="F325" s="190">
        <v>2.0913922593178351E-3</v>
      </c>
      <c r="G325" s="193" t="s">
        <v>351</v>
      </c>
    </row>
    <row r="326" spans="2:7" x14ac:dyDescent="0.5">
      <c r="B326" s="160" t="s">
        <v>991</v>
      </c>
      <c r="C326" s="190">
        <v>0.14666666666666561</v>
      </c>
      <c r="D326" s="190">
        <v>5.854514831759744E-2</v>
      </c>
      <c r="E326" s="190">
        <v>2.5051890870789832</v>
      </c>
      <c r="F326" s="190">
        <v>1.3306929317181438E-2</v>
      </c>
      <c r="G326" s="193" t="s">
        <v>351</v>
      </c>
    </row>
    <row r="327" spans="2:7" x14ac:dyDescent="0.5">
      <c r="B327" s="160" t="s">
        <v>992</v>
      </c>
      <c r="C327" s="190">
        <v>0.12333333333333246</v>
      </c>
      <c r="D327" s="190">
        <v>5.854514831759744E-2</v>
      </c>
      <c r="E327" s="190">
        <v>2.1066362777709635</v>
      </c>
      <c r="F327" s="190">
        <v>3.681360163352751E-2</v>
      </c>
      <c r="G327" s="193" t="s">
        <v>351</v>
      </c>
    </row>
    <row r="328" spans="2:7" x14ac:dyDescent="0.5">
      <c r="B328" s="160" t="s">
        <v>993</v>
      </c>
      <c r="C328" s="190">
        <v>0.11499999999999999</v>
      </c>
      <c r="D328" s="190">
        <v>5.854514831759744E-2</v>
      </c>
      <c r="E328" s="190">
        <v>1.9642959887323987</v>
      </c>
      <c r="F328" s="190">
        <v>5.1343971499666331E-2</v>
      </c>
      <c r="G328" s="193" t="s">
        <v>352</v>
      </c>
    </row>
    <row r="329" spans="2:7" x14ac:dyDescent="0.5">
      <c r="B329" s="160" t="s">
        <v>994</v>
      </c>
      <c r="C329" s="190">
        <v>9.833333333333244E-2</v>
      </c>
      <c r="D329" s="190">
        <v>5.854514831759744E-2</v>
      </c>
      <c r="E329" s="190">
        <v>1.6796154106552244</v>
      </c>
      <c r="F329" s="190">
        <v>9.5113830386776774E-2</v>
      </c>
      <c r="G329" s="193" t="s">
        <v>352</v>
      </c>
    </row>
    <row r="330" spans="2:7" x14ac:dyDescent="0.5">
      <c r="B330" s="160" t="s">
        <v>995</v>
      </c>
      <c r="C330" s="190">
        <v>4.8333333333333117E-2</v>
      </c>
      <c r="D330" s="190">
        <v>5.854514831759744E-2</v>
      </c>
      <c r="E330" s="190">
        <v>0.82557367642375812</v>
      </c>
      <c r="F330" s="190">
        <v>0.41035706083260703</v>
      </c>
      <c r="G330" s="193" t="s">
        <v>352</v>
      </c>
    </row>
    <row r="331" spans="2:7" x14ac:dyDescent="0.5">
      <c r="B331" s="160" t="s">
        <v>996</v>
      </c>
      <c r="C331" s="190">
        <v>0.38999999999999935</v>
      </c>
      <c r="D331" s="190">
        <v>5.854514831759744E-2</v>
      </c>
      <c r="E331" s="190">
        <v>6.6615255270055158</v>
      </c>
      <c r="F331" s="190" t="s">
        <v>272</v>
      </c>
      <c r="G331" s="193" t="s">
        <v>351</v>
      </c>
    </row>
    <row r="332" spans="2:7" x14ac:dyDescent="0.5">
      <c r="B332" s="160" t="s">
        <v>997</v>
      </c>
      <c r="C332" s="190">
        <v>0.38000000000000228</v>
      </c>
      <c r="D332" s="190">
        <v>5.854514831759744E-2</v>
      </c>
      <c r="E332" s="190">
        <v>6.4907171801592698</v>
      </c>
      <c r="F332" s="190" t="s">
        <v>272</v>
      </c>
      <c r="G332" s="193" t="s">
        <v>351</v>
      </c>
    </row>
    <row r="333" spans="2:7" x14ac:dyDescent="0.5">
      <c r="B333" s="160" t="s">
        <v>998</v>
      </c>
      <c r="C333" s="190">
        <v>0.36999999999999933</v>
      </c>
      <c r="D333" s="190">
        <v>5.854514831759744E-2</v>
      </c>
      <c r="E333" s="190">
        <v>6.3199088333129243</v>
      </c>
      <c r="F333" s="190" t="s">
        <v>272</v>
      </c>
      <c r="G333" s="193" t="s">
        <v>351</v>
      </c>
    </row>
    <row r="334" spans="2:7" x14ac:dyDescent="0.5">
      <c r="B334" s="160" t="s">
        <v>999</v>
      </c>
      <c r="C334" s="190">
        <v>0.36333333333333356</v>
      </c>
      <c r="D334" s="190">
        <v>5.854514831759744E-2</v>
      </c>
      <c r="E334" s="190">
        <v>6.2060366020820759</v>
      </c>
      <c r="F334" s="190" t="s">
        <v>272</v>
      </c>
      <c r="G334" s="193" t="s">
        <v>351</v>
      </c>
    </row>
    <row r="335" spans="2:7" x14ac:dyDescent="0.5">
      <c r="B335" s="160" t="s">
        <v>1000</v>
      </c>
      <c r="C335" s="190">
        <v>0.35499999999999943</v>
      </c>
      <c r="D335" s="190">
        <v>5.854514831759744E-2</v>
      </c>
      <c r="E335" s="190">
        <v>6.063696313043482</v>
      </c>
      <c r="F335" s="190" t="s">
        <v>272</v>
      </c>
      <c r="G335" s="193" t="s">
        <v>351</v>
      </c>
    </row>
    <row r="336" spans="2:7" x14ac:dyDescent="0.5">
      <c r="B336" s="160" t="s">
        <v>1001</v>
      </c>
      <c r="C336" s="190">
        <v>0.33666666666666695</v>
      </c>
      <c r="D336" s="190">
        <v>5.854514831759744E-2</v>
      </c>
      <c r="E336" s="190">
        <v>5.7505476771586217</v>
      </c>
      <c r="F336" s="190" t="s">
        <v>272</v>
      </c>
      <c r="G336" s="193" t="s">
        <v>351</v>
      </c>
    </row>
    <row r="337" spans="2:7" x14ac:dyDescent="0.5">
      <c r="B337" s="160" t="s">
        <v>1002</v>
      </c>
      <c r="C337" s="190">
        <v>0.3199999999999994</v>
      </c>
      <c r="D337" s="190">
        <v>5.854514831759744E-2</v>
      </c>
      <c r="E337" s="190">
        <v>5.4658670990814473</v>
      </c>
      <c r="F337" s="190" t="s">
        <v>272</v>
      </c>
      <c r="G337" s="193" t="s">
        <v>351</v>
      </c>
    </row>
    <row r="338" spans="2:7" x14ac:dyDescent="0.5">
      <c r="B338" s="160" t="s">
        <v>1003</v>
      </c>
      <c r="C338" s="190">
        <v>0.30833333333333346</v>
      </c>
      <c r="D338" s="190">
        <v>5.854514831759744E-2</v>
      </c>
      <c r="E338" s="190">
        <v>5.2665906944274488</v>
      </c>
      <c r="F338" s="190" t="s">
        <v>272</v>
      </c>
      <c r="G338" s="193" t="s">
        <v>351</v>
      </c>
    </row>
    <row r="339" spans="2:7" x14ac:dyDescent="0.5">
      <c r="B339" s="160" t="s">
        <v>1004</v>
      </c>
      <c r="C339" s="190">
        <v>0.30000000000000021</v>
      </c>
      <c r="D339" s="190">
        <v>5.854514831759744E-2</v>
      </c>
      <c r="E339" s="190">
        <v>5.12425040538887</v>
      </c>
      <c r="F339" s="190" t="s">
        <v>272</v>
      </c>
      <c r="G339" s="193" t="s">
        <v>351</v>
      </c>
    </row>
    <row r="340" spans="2:7" x14ac:dyDescent="0.5">
      <c r="B340" s="160" t="s">
        <v>1005</v>
      </c>
      <c r="C340" s="190">
        <v>0.26833333333333353</v>
      </c>
      <c r="D340" s="190">
        <v>5.854514831759744E-2</v>
      </c>
      <c r="E340" s="190">
        <v>4.5833573070422675</v>
      </c>
      <c r="F340" s="190" t="s">
        <v>272</v>
      </c>
      <c r="G340" s="193" t="s">
        <v>351</v>
      </c>
    </row>
    <row r="341" spans="2:7" x14ac:dyDescent="0.5">
      <c r="B341" s="160" t="s">
        <v>1006</v>
      </c>
      <c r="C341" s="190">
        <v>0.26666666666666594</v>
      </c>
      <c r="D341" s="190">
        <v>5.854514831759744E-2</v>
      </c>
      <c r="E341" s="190">
        <v>4.5548892492345354</v>
      </c>
      <c r="F341" s="190" t="s">
        <v>272</v>
      </c>
      <c r="G341" s="193" t="s">
        <v>351</v>
      </c>
    </row>
    <row r="342" spans="2:7" x14ac:dyDescent="0.5">
      <c r="B342" s="160" t="s">
        <v>1007</v>
      </c>
      <c r="C342" s="190">
        <v>0.26333333333333347</v>
      </c>
      <c r="D342" s="190">
        <v>5.854514831759744E-2</v>
      </c>
      <c r="E342" s="190">
        <v>4.4979531336191183</v>
      </c>
      <c r="F342" s="190" t="s">
        <v>272</v>
      </c>
      <c r="G342" s="193" t="s">
        <v>351</v>
      </c>
    </row>
    <row r="343" spans="2:7" x14ac:dyDescent="0.5">
      <c r="B343" s="160" t="s">
        <v>1008</v>
      </c>
      <c r="C343" s="190">
        <v>0.26166666666666605</v>
      </c>
      <c r="D343" s="190">
        <v>5.854514831759744E-2</v>
      </c>
      <c r="E343" s="190">
        <v>4.4694850758113898</v>
      </c>
      <c r="F343" s="190" t="s">
        <v>272</v>
      </c>
      <c r="G343" s="193" t="s">
        <v>351</v>
      </c>
    </row>
    <row r="344" spans="2:7" x14ac:dyDescent="0.5">
      <c r="B344" s="160" t="s">
        <v>1009</v>
      </c>
      <c r="C344" s="190">
        <v>0.25833333333333353</v>
      </c>
      <c r="D344" s="190">
        <v>5.854514831759744E-2</v>
      </c>
      <c r="E344" s="190">
        <v>4.4125489601959718</v>
      </c>
      <c r="F344" s="190" t="s">
        <v>272</v>
      </c>
      <c r="G344" s="193" t="s">
        <v>351</v>
      </c>
    </row>
    <row r="345" spans="2:7" x14ac:dyDescent="0.5">
      <c r="B345" s="160" t="s">
        <v>1010</v>
      </c>
      <c r="C345" s="190">
        <v>0.22666666666666602</v>
      </c>
      <c r="D345" s="190">
        <v>5.854514831759744E-2</v>
      </c>
      <c r="E345" s="190">
        <v>3.8716558618493546</v>
      </c>
      <c r="F345" s="190">
        <v>1.6091234539837286E-4</v>
      </c>
      <c r="G345" s="193" t="s">
        <v>351</v>
      </c>
    </row>
    <row r="346" spans="2:7" x14ac:dyDescent="0.5">
      <c r="B346" s="160" t="s">
        <v>1011</v>
      </c>
      <c r="C346" s="190">
        <v>0.17000000000000021</v>
      </c>
      <c r="D346" s="190">
        <v>5.854514831759744E-2</v>
      </c>
      <c r="E346" s="190">
        <v>2.9037418963870278</v>
      </c>
      <c r="F346" s="190">
        <v>4.2446249655332842E-3</v>
      </c>
      <c r="G346" s="193" t="s">
        <v>351</v>
      </c>
    </row>
    <row r="347" spans="2:7" x14ac:dyDescent="0.5">
      <c r="B347" s="160" t="s">
        <v>1012</v>
      </c>
      <c r="C347" s="190">
        <v>0.15166666666666684</v>
      </c>
      <c r="D347" s="190">
        <v>5.854514831759744E-2</v>
      </c>
      <c r="E347" s="190">
        <v>2.590593260502152</v>
      </c>
      <c r="F347" s="190">
        <v>1.0526180590353065E-2</v>
      </c>
      <c r="G347" s="193" t="s">
        <v>351</v>
      </c>
    </row>
    <row r="348" spans="2:7" x14ac:dyDescent="0.5">
      <c r="B348" s="160" t="s">
        <v>1013</v>
      </c>
      <c r="C348" s="190">
        <v>0.13499999999999931</v>
      </c>
      <c r="D348" s="190">
        <v>5.854514831759744E-2</v>
      </c>
      <c r="E348" s="190">
        <v>2.305912682424978</v>
      </c>
      <c r="F348" s="190">
        <v>2.2485483920838191E-2</v>
      </c>
      <c r="G348" s="193" t="s">
        <v>351</v>
      </c>
    </row>
    <row r="349" spans="2:7" x14ac:dyDescent="0.5">
      <c r="B349" s="160" t="s">
        <v>1014</v>
      </c>
      <c r="C349" s="190">
        <v>9.8333333333332495E-2</v>
      </c>
      <c r="D349" s="190">
        <v>5.854514831759744E-2</v>
      </c>
      <c r="E349" s="190">
        <v>1.6796154106552252</v>
      </c>
      <c r="F349" s="190">
        <v>9.5113830386776774E-2</v>
      </c>
      <c r="G349" s="193" t="s">
        <v>352</v>
      </c>
    </row>
    <row r="350" spans="2:7" x14ac:dyDescent="0.5">
      <c r="B350" s="160" t="s">
        <v>1015</v>
      </c>
      <c r="C350" s="190">
        <v>7.4999999999999345E-2</v>
      </c>
      <c r="D350" s="190">
        <v>5.854514831759744E-2</v>
      </c>
      <c r="E350" s="190">
        <v>1.2810626013472055</v>
      </c>
      <c r="F350" s="190">
        <v>0.20214871114884195</v>
      </c>
      <c r="G350" s="193" t="s">
        <v>352</v>
      </c>
    </row>
    <row r="351" spans="2:7" x14ac:dyDescent="0.5">
      <c r="B351" s="160" t="s">
        <v>1016</v>
      </c>
      <c r="C351" s="190">
        <v>6.6666666666666874E-2</v>
      </c>
      <c r="D351" s="190">
        <v>5.854514831759744E-2</v>
      </c>
      <c r="E351" s="190">
        <v>1.1387223123086405</v>
      </c>
      <c r="F351" s="190">
        <v>0.25663435200821916</v>
      </c>
      <c r="G351" s="193" t="s">
        <v>352</v>
      </c>
    </row>
    <row r="352" spans="2:7" x14ac:dyDescent="0.5">
      <c r="B352" s="160" t="s">
        <v>1017</v>
      </c>
      <c r="C352" s="190">
        <v>4.9999999999999323E-2</v>
      </c>
      <c r="D352" s="190">
        <v>5.854514831759744E-2</v>
      </c>
      <c r="E352" s="190">
        <v>0.85404173423146623</v>
      </c>
      <c r="F352" s="190">
        <v>0.39444372329693156</v>
      </c>
      <c r="G352" s="193" t="s">
        <v>352</v>
      </c>
    </row>
    <row r="353" spans="2:7" x14ac:dyDescent="0.5">
      <c r="B353" s="160" t="s">
        <v>1018</v>
      </c>
      <c r="C353" s="190">
        <v>0.34</v>
      </c>
      <c r="D353" s="190">
        <v>5.854514831759744E-2</v>
      </c>
      <c r="E353" s="190">
        <v>5.8074837927740495</v>
      </c>
      <c r="F353" s="190" t="s">
        <v>272</v>
      </c>
      <c r="G353" s="193" t="s">
        <v>351</v>
      </c>
    </row>
    <row r="354" spans="2:7" x14ac:dyDescent="0.5">
      <c r="B354" s="160" t="s">
        <v>1019</v>
      </c>
      <c r="C354" s="190">
        <v>0.33000000000000296</v>
      </c>
      <c r="D354" s="190">
        <v>5.854514831759744E-2</v>
      </c>
      <c r="E354" s="190">
        <v>5.6366754459278035</v>
      </c>
      <c r="F354" s="190" t="s">
        <v>272</v>
      </c>
      <c r="G354" s="193" t="s">
        <v>351</v>
      </c>
    </row>
    <row r="355" spans="2:7" x14ac:dyDescent="0.5">
      <c r="B355" s="160" t="s">
        <v>1020</v>
      </c>
      <c r="C355" s="190">
        <v>0.32</v>
      </c>
      <c r="D355" s="190">
        <v>5.854514831759744E-2</v>
      </c>
      <c r="E355" s="190">
        <v>5.465867099081458</v>
      </c>
      <c r="F355" s="190" t="s">
        <v>272</v>
      </c>
      <c r="G355" s="193" t="s">
        <v>351</v>
      </c>
    </row>
    <row r="356" spans="2:7" x14ac:dyDescent="0.5">
      <c r="B356" s="160" t="s">
        <v>1021</v>
      </c>
      <c r="C356" s="190">
        <v>0.31333333333333424</v>
      </c>
      <c r="D356" s="190">
        <v>5.854514831759744E-2</v>
      </c>
      <c r="E356" s="190">
        <v>5.3519948678506095</v>
      </c>
      <c r="F356" s="190" t="s">
        <v>272</v>
      </c>
      <c r="G356" s="193" t="s">
        <v>351</v>
      </c>
    </row>
    <row r="357" spans="2:7" x14ac:dyDescent="0.5">
      <c r="B357" s="160" t="s">
        <v>1022</v>
      </c>
      <c r="C357" s="190">
        <v>0.3050000000000001</v>
      </c>
      <c r="D357" s="190">
        <v>5.854514831759744E-2</v>
      </c>
      <c r="E357" s="190">
        <v>5.2096545788120165</v>
      </c>
      <c r="F357" s="190" t="s">
        <v>272</v>
      </c>
      <c r="G357" s="193" t="s">
        <v>351</v>
      </c>
    </row>
    <row r="358" spans="2:7" x14ac:dyDescent="0.5">
      <c r="B358" s="160" t="s">
        <v>1023</v>
      </c>
      <c r="C358" s="190">
        <v>0.28666666666666762</v>
      </c>
      <c r="D358" s="190">
        <v>5.854514831759744E-2</v>
      </c>
      <c r="E358" s="190">
        <v>4.8965059429271554</v>
      </c>
      <c r="F358" s="190" t="s">
        <v>272</v>
      </c>
      <c r="G358" s="193" t="s">
        <v>351</v>
      </c>
    </row>
    <row r="359" spans="2:7" x14ac:dyDescent="0.5">
      <c r="B359" s="160" t="s">
        <v>1024</v>
      </c>
      <c r="C359" s="190">
        <v>0.27000000000000007</v>
      </c>
      <c r="D359" s="190">
        <v>5.854514831759744E-2</v>
      </c>
      <c r="E359" s="190">
        <v>4.611825364849981</v>
      </c>
      <c r="F359" s="190" t="s">
        <v>272</v>
      </c>
      <c r="G359" s="193" t="s">
        <v>351</v>
      </c>
    </row>
    <row r="360" spans="2:7" x14ac:dyDescent="0.5">
      <c r="B360" s="160" t="s">
        <v>1025</v>
      </c>
      <c r="C360" s="190">
        <v>0.25833333333333419</v>
      </c>
      <c r="D360" s="190">
        <v>5.854514831759744E-2</v>
      </c>
      <c r="E360" s="190">
        <v>4.4125489601959833</v>
      </c>
      <c r="F360" s="190" t="s">
        <v>272</v>
      </c>
      <c r="G360" s="193" t="s">
        <v>351</v>
      </c>
    </row>
    <row r="361" spans="2:7" x14ac:dyDescent="0.5">
      <c r="B361" s="160" t="s">
        <v>1026</v>
      </c>
      <c r="C361" s="190">
        <v>0.25000000000000089</v>
      </c>
      <c r="D361" s="190">
        <v>5.854514831759744E-2</v>
      </c>
      <c r="E361" s="190">
        <v>4.2702086711574037</v>
      </c>
      <c r="F361" s="190" t="s">
        <v>272</v>
      </c>
      <c r="G361" s="193" t="s">
        <v>351</v>
      </c>
    </row>
    <row r="362" spans="2:7" x14ac:dyDescent="0.5">
      <c r="B362" s="160" t="s">
        <v>1027</v>
      </c>
      <c r="C362" s="190">
        <v>0.21833333333333421</v>
      </c>
      <c r="D362" s="190">
        <v>5.854514831759744E-2</v>
      </c>
      <c r="E362" s="190">
        <v>3.7293155728108012</v>
      </c>
      <c r="F362" s="190">
        <v>2.7165380324300131E-4</v>
      </c>
      <c r="G362" s="193" t="s">
        <v>351</v>
      </c>
    </row>
    <row r="363" spans="2:7" x14ac:dyDescent="0.5">
      <c r="B363" s="160" t="s">
        <v>1028</v>
      </c>
      <c r="C363" s="190">
        <v>0.21666666666666662</v>
      </c>
      <c r="D363" s="190">
        <v>5.854514831759744E-2</v>
      </c>
      <c r="E363" s="190">
        <v>3.7008475150030695</v>
      </c>
      <c r="F363" s="190">
        <v>3.011359519061732E-4</v>
      </c>
      <c r="G363" s="193" t="s">
        <v>351</v>
      </c>
    </row>
    <row r="364" spans="2:7" x14ac:dyDescent="0.5">
      <c r="B364" s="160" t="s">
        <v>1029</v>
      </c>
      <c r="C364" s="190">
        <v>0.21333333333333415</v>
      </c>
      <c r="D364" s="190">
        <v>5.854514831759744E-2</v>
      </c>
      <c r="E364" s="190">
        <v>3.6439113993876524</v>
      </c>
      <c r="F364" s="190">
        <v>3.694116647337755E-4</v>
      </c>
      <c r="G364" s="193" t="s">
        <v>351</v>
      </c>
    </row>
    <row r="365" spans="2:7" x14ac:dyDescent="0.5">
      <c r="B365" s="160" t="s">
        <v>1030</v>
      </c>
      <c r="C365" s="190">
        <v>0.21166666666666673</v>
      </c>
      <c r="D365" s="190">
        <v>5.854514831759744E-2</v>
      </c>
      <c r="E365" s="190">
        <v>3.6154433415799234</v>
      </c>
      <c r="F365" s="190">
        <v>4.0879918497586769E-4</v>
      </c>
      <c r="G365" s="193" t="s">
        <v>351</v>
      </c>
    </row>
    <row r="366" spans="2:7" x14ac:dyDescent="0.5">
      <c r="B366" s="160" t="s">
        <v>1031</v>
      </c>
      <c r="C366" s="190">
        <v>0.2083333333333342</v>
      </c>
      <c r="D366" s="190">
        <v>5.854514831759744E-2</v>
      </c>
      <c r="E366" s="190">
        <v>3.5585072259645054</v>
      </c>
      <c r="F366" s="190">
        <v>4.9975291908744396E-4</v>
      </c>
      <c r="G366" s="193" t="s">
        <v>351</v>
      </c>
    </row>
    <row r="367" spans="2:7" x14ac:dyDescent="0.5">
      <c r="B367" s="160" t="s">
        <v>1032</v>
      </c>
      <c r="C367" s="190">
        <v>0.17666666666666669</v>
      </c>
      <c r="D367" s="190">
        <v>5.854514831759744E-2</v>
      </c>
      <c r="E367" s="190">
        <v>3.0176141276178887</v>
      </c>
      <c r="F367" s="190">
        <v>2.9941586069374398E-3</v>
      </c>
      <c r="G367" s="193" t="s">
        <v>351</v>
      </c>
    </row>
    <row r="368" spans="2:7" x14ac:dyDescent="0.5">
      <c r="B368" s="160" t="s">
        <v>1033</v>
      </c>
      <c r="C368" s="190">
        <v>0.12000000000000088</v>
      </c>
      <c r="D368" s="190">
        <v>5.854514831759744E-2</v>
      </c>
      <c r="E368" s="190">
        <v>2.0497001621555619</v>
      </c>
      <c r="F368" s="190">
        <v>4.2135466105032181E-2</v>
      </c>
      <c r="G368" s="193" t="s">
        <v>351</v>
      </c>
    </row>
    <row r="369" spans="2:7" x14ac:dyDescent="0.5">
      <c r="B369" s="160" t="s">
        <v>1034</v>
      </c>
      <c r="C369" s="190">
        <v>0.10166666666666752</v>
      </c>
      <c r="D369" s="190">
        <v>5.854514831759744E-2</v>
      </c>
      <c r="E369" s="190">
        <v>1.7365515262706859</v>
      </c>
      <c r="F369" s="190">
        <v>8.4519416170789327E-2</v>
      </c>
      <c r="G369" s="193" t="s">
        <v>352</v>
      </c>
    </row>
    <row r="370" spans="2:7" x14ac:dyDescent="0.5">
      <c r="B370" s="160" t="s">
        <v>1035</v>
      </c>
      <c r="C370" s="190">
        <v>8.4999999999999992E-2</v>
      </c>
      <c r="D370" s="190">
        <v>5.854514831759744E-2</v>
      </c>
      <c r="E370" s="190">
        <v>1.4518709481935121</v>
      </c>
      <c r="F370" s="190">
        <v>0.14862588260291121</v>
      </c>
      <c r="G370" s="193" t="s">
        <v>352</v>
      </c>
    </row>
    <row r="371" spans="2:7" x14ac:dyDescent="0.5">
      <c r="B371" s="160" t="s">
        <v>1036</v>
      </c>
      <c r="C371" s="190">
        <v>4.8333333333333173E-2</v>
      </c>
      <c r="D371" s="190">
        <v>5.854514831759744E-2</v>
      </c>
      <c r="E371" s="190">
        <v>0.82557367642375912</v>
      </c>
      <c r="F371" s="190">
        <v>0.41035706083260703</v>
      </c>
      <c r="G371" s="193" t="s">
        <v>352</v>
      </c>
    </row>
    <row r="372" spans="2:7" x14ac:dyDescent="0.5">
      <c r="B372" s="160" t="s">
        <v>1037</v>
      </c>
      <c r="C372" s="190">
        <v>2.5000000000000022E-2</v>
      </c>
      <c r="D372" s="190">
        <v>5.854514831759744E-2</v>
      </c>
      <c r="E372" s="190">
        <v>0.42702086711573928</v>
      </c>
      <c r="F372" s="190">
        <v>0.66997642697545856</v>
      </c>
      <c r="G372" s="193" t="s">
        <v>352</v>
      </c>
    </row>
    <row r="373" spans="2:7" x14ac:dyDescent="0.5">
      <c r="B373" s="160" t="s">
        <v>1038</v>
      </c>
      <c r="C373" s="190">
        <v>1.6666666666667551E-2</v>
      </c>
      <c r="D373" s="190">
        <v>5.854514831759744E-2</v>
      </c>
      <c r="E373" s="190">
        <v>0.28468057807717434</v>
      </c>
      <c r="F373" s="190">
        <v>0.77628151969240078</v>
      </c>
      <c r="G373" s="199" t="s">
        <v>352</v>
      </c>
    </row>
    <row r="374" spans="2:7" x14ac:dyDescent="0.5">
      <c r="B374" s="160" t="s">
        <v>1039</v>
      </c>
      <c r="C374" s="190">
        <v>0.32333333333333247</v>
      </c>
      <c r="D374" s="190">
        <v>5.854514831759744E-2</v>
      </c>
      <c r="E374" s="190">
        <v>5.5228032146968751</v>
      </c>
      <c r="F374" s="190" t="s">
        <v>272</v>
      </c>
      <c r="G374" s="193" t="s">
        <v>351</v>
      </c>
    </row>
    <row r="375" spans="2:7" x14ac:dyDescent="0.5">
      <c r="B375" s="160" t="s">
        <v>1040</v>
      </c>
      <c r="C375" s="190">
        <v>0.31333333333333541</v>
      </c>
      <c r="D375" s="190">
        <v>5.854514831759744E-2</v>
      </c>
      <c r="E375" s="190">
        <v>5.3519948678506291</v>
      </c>
      <c r="F375" s="190" t="s">
        <v>272</v>
      </c>
      <c r="G375" s="193" t="s">
        <v>351</v>
      </c>
    </row>
    <row r="376" spans="2:7" x14ac:dyDescent="0.5">
      <c r="B376" s="160" t="s">
        <v>1041</v>
      </c>
      <c r="C376" s="190">
        <v>0.30333333333333246</v>
      </c>
      <c r="D376" s="190">
        <v>5.854514831759744E-2</v>
      </c>
      <c r="E376" s="190">
        <v>5.1811865210042836</v>
      </c>
      <c r="F376" s="190" t="s">
        <v>272</v>
      </c>
      <c r="G376" s="193" t="s">
        <v>351</v>
      </c>
    </row>
    <row r="377" spans="2:7" x14ac:dyDescent="0.5">
      <c r="B377" s="160" t="s">
        <v>1042</v>
      </c>
      <c r="C377" s="190">
        <v>0.29666666666666669</v>
      </c>
      <c r="D377" s="190">
        <v>5.854514831759744E-2</v>
      </c>
      <c r="E377" s="190">
        <v>5.0673142897734351</v>
      </c>
      <c r="F377" s="190" t="s">
        <v>272</v>
      </c>
      <c r="G377" s="193" t="s">
        <v>351</v>
      </c>
    </row>
    <row r="378" spans="2:7" x14ac:dyDescent="0.5">
      <c r="B378" s="160" t="s">
        <v>1043</v>
      </c>
      <c r="C378" s="190">
        <v>0.28833333333333255</v>
      </c>
      <c r="D378" s="190">
        <v>5.854514831759744E-2</v>
      </c>
      <c r="E378" s="190">
        <v>4.9249740007348421</v>
      </c>
      <c r="F378" s="190" t="s">
        <v>272</v>
      </c>
      <c r="G378" s="193" t="s">
        <v>351</v>
      </c>
    </row>
    <row r="379" spans="2:7" x14ac:dyDescent="0.5">
      <c r="B379" s="160" t="s">
        <v>1044</v>
      </c>
      <c r="C379" s="190">
        <v>0.27000000000000007</v>
      </c>
      <c r="D379" s="190">
        <v>5.854514831759744E-2</v>
      </c>
      <c r="E379" s="190">
        <v>4.611825364849981</v>
      </c>
      <c r="F379" s="190" t="s">
        <v>272</v>
      </c>
      <c r="G379" s="193" t="s">
        <v>351</v>
      </c>
    </row>
    <row r="380" spans="2:7" x14ac:dyDescent="0.5">
      <c r="B380" s="160" t="s">
        <v>1045</v>
      </c>
      <c r="C380" s="190">
        <v>0.25333333333333252</v>
      </c>
      <c r="D380" s="190">
        <v>5.854514831759744E-2</v>
      </c>
      <c r="E380" s="190">
        <v>4.3271447867728066</v>
      </c>
      <c r="F380" s="190" t="s">
        <v>272</v>
      </c>
      <c r="G380" s="193" t="s">
        <v>351</v>
      </c>
    </row>
    <row r="381" spans="2:7" x14ac:dyDescent="0.5">
      <c r="B381" s="160" t="s">
        <v>1046</v>
      </c>
      <c r="C381" s="190">
        <v>0.24166666666666661</v>
      </c>
      <c r="D381" s="190">
        <v>5.854514831759744E-2</v>
      </c>
      <c r="E381" s="190">
        <v>4.127868382118808</v>
      </c>
      <c r="F381" s="190" t="s">
        <v>272</v>
      </c>
      <c r="G381" s="193" t="s">
        <v>351</v>
      </c>
    </row>
    <row r="382" spans="2:7" x14ac:dyDescent="0.5">
      <c r="B382" s="160" t="s">
        <v>1047</v>
      </c>
      <c r="C382" s="190">
        <v>0.23333333333333334</v>
      </c>
      <c r="D382" s="190">
        <v>5.854514831759744E-2</v>
      </c>
      <c r="E382" s="190">
        <v>3.9855280930802297</v>
      </c>
      <c r="F382" s="190">
        <v>1.0477855517484444E-4</v>
      </c>
      <c r="G382" s="193" t="s">
        <v>351</v>
      </c>
    </row>
    <row r="383" spans="2:7" x14ac:dyDescent="0.5">
      <c r="B383" s="160" t="s">
        <v>1048</v>
      </c>
      <c r="C383" s="190">
        <v>0.20166666666666666</v>
      </c>
      <c r="D383" s="190">
        <v>5.854514831759744E-2</v>
      </c>
      <c r="E383" s="190">
        <v>3.4446349947336268</v>
      </c>
      <c r="F383" s="190">
        <v>7.4166542024677658E-4</v>
      </c>
      <c r="G383" s="193" t="s">
        <v>351</v>
      </c>
    </row>
    <row r="384" spans="2:7" x14ac:dyDescent="0.5">
      <c r="B384" s="160" t="s">
        <v>1049</v>
      </c>
      <c r="C384" s="190">
        <v>0.19999999999999907</v>
      </c>
      <c r="D384" s="190">
        <v>5.854514831759744E-2</v>
      </c>
      <c r="E384" s="190">
        <v>3.4161669369258951</v>
      </c>
      <c r="F384" s="190">
        <v>8.1739770460724189E-4</v>
      </c>
      <c r="G384" s="193" t="s">
        <v>351</v>
      </c>
    </row>
    <row r="385" spans="2:7" x14ac:dyDescent="0.5">
      <c r="B385" s="160" t="s">
        <v>1050</v>
      </c>
      <c r="C385" s="190">
        <v>0.1966666666666666</v>
      </c>
      <c r="D385" s="190">
        <v>5.854514831759744E-2</v>
      </c>
      <c r="E385" s="190">
        <v>3.359230821310478</v>
      </c>
      <c r="F385" s="190">
        <v>9.9109001350558253E-4</v>
      </c>
      <c r="G385" s="193" t="s">
        <v>351</v>
      </c>
    </row>
    <row r="386" spans="2:7" x14ac:dyDescent="0.5">
      <c r="B386" s="160" t="s">
        <v>1051</v>
      </c>
      <c r="C386" s="190">
        <v>0.19499999999999917</v>
      </c>
      <c r="D386" s="190">
        <v>5.854514831759744E-2</v>
      </c>
      <c r="E386" s="190">
        <v>3.330762763502749</v>
      </c>
      <c r="F386" s="190">
        <v>1.0903496779741527E-3</v>
      </c>
      <c r="G386" s="193" t="s">
        <v>351</v>
      </c>
    </row>
    <row r="387" spans="2:7" x14ac:dyDescent="0.5">
      <c r="B387" s="160" t="s">
        <v>1052</v>
      </c>
      <c r="C387" s="190">
        <v>0.19166666666666665</v>
      </c>
      <c r="D387" s="190">
        <v>5.854514831759744E-2</v>
      </c>
      <c r="E387" s="190">
        <v>3.273826647887331</v>
      </c>
      <c r="F387" s="190">
        <v>1.3173251061791753E-3</v>
      </c>
      <c r="G387" s="193" t="s">
        <v>351</v>
      </c>
    </row>
    <row r="388" spans="2:7" x14ac:dyDescent="0.5">
      <c r="B388" s="160" t="s">
        <v>1053</v>
      </c>
      <c r="C388" s="190">
        <v>0.15999999999999914</v>
      </c>
      <c r="D388" s="190">
        <v>5.854514831759744E-2</v>
      </c>
      <c r="E388" s="190">
        <v>2.7329335495407143</v>
      </c>
      <c r="F388" s="190">
        <v>7.0320281468318228E-3</v>
      </c>
      <c r="G388" s="193" t="s">
        <v>351</v>
      </c>
    </row>
    <row r="389" spans="2:7" x14ac:dyDescent="0.5">
      <c r="B389" s="160" t="s">
        <v>1054</v>
      </c>
      <c r="C389" s="190">
        <v>0.10333333333333333</v>
      </c>
      <c r="D389" s="190">
        <v>5.854514831759744E-2</v>
      </c>
      <c r="E389" s="190">
        <v>1.7650195840783873</v>
      </c>
      <c r="F389" s="190">
        <v>7.9595504018645374E-2</v>
      </c>
      <c r="G389" s="193" t="s">
        <v>352</v>
      </c>
    </row>
    <row r="390" spans="2:7" x14ac:dyDescent="0.5">
      <c r="B390" s="160" t="s">
        <v>1055</v>
      </c>
      <c r="C390" s="190">
        <v>8.4999999999999964E-2</v>
      </c>
      <c r="D390" s="190">
        <v>5.854514831759744E-2</v>
      </c>
      <c r="E390" s="190">
        <v>1.4518709481935115</v>
      </c>
      <c r="F390" s="190">
        <v>0.14862588260291121</v>
      </c>
      <c r="G390" s="193" t="s">
        <v>352</v>
      </c>
    </row>
    <row r="391" spans="2:7" x14ac:dyDescent="0.5">
      <c r="B391" s="160" t="s">
        <v>1056</v>
      </c>
      <c r="C391" s="190">
        <v>6.8333333333332441E-2</v>
      </c>
      <c r="D391" s="190">
        <v>5.854514831759744E-2</v>
      </c>
      <c r="E391" s="190">
        <v>1.1671903701163377</v>
      </c>
      <c r="F391" s="190">
        <v>0.24498560749618967</v>
      </c>
      <c r="G391" s="193" t="s">
        <v>352</v>
      </c>
    </row>
    <row r="392" spans="2:7" x14ac:dyDescent="0.5">
      <c r="B392" s="160" t="s">
        <v>1057</v>
      </c>
      <c r="C392" s="190">
        <v>3.1666666666665622E-2</v>
      </c>
      <c r="D392" s="190">
        <v>5.854514831759744E-2</v>
      </c>
      <c r="E392" s="190">
        <v>0.54089309834658472</v>
      </c>
      <c r="F392" s="190">
        <v>0.58938360182430227</v>
      </c>
      <c r="G392" s="193" t="s">
        <v>352</v>
      </c>
    </row>
    <row r="393" spans="2:7" x14ac:dyDescent="0.5">
      <c r="B393" s="160" t="s">
        <v>1058</v>
      </c>
      <c r="C393" s="190">
        <v>8.3333333333324711E-3</v>
      </c>
      <c r="D393" s="190">
        <v>5.854514831759744E-2</v>
      </c>
      <c r="E393" s="190">
        <v>0.14234028903856491</v>
      </c>
      <c r="F393" s="190">
        <v>0.88700223532211453</v>
      </c>
      <c r="G393" s="193" t="s">
        <v>352</v>
      </c>
    </row>
    <row r="394" spans="2:7" x14ac:dyDescent="0.5">
      <c r="B394" s="160" t="s">
        <v>1059</v>
      </c>
      <c r="C394" s="190">
        <v>0.315</v>
      </c>
      <c r="D394" s="190">
        <v>5.854514831759744E-2</v>
      </c>
      <c r="E394" s="190">
        <v>5.3804629256583096</v>
      </c>
      <c r="F394" s="190" t="s">
        <v>272</v>
      </c>
      <c r="G394" s="193" t="s">
        <v>351</v>
      </c>
    </row>
    <row r="395" spans="2:7" x14ac:dyDescent="0.5">
      <c r="B395" s="160" t="s">
        <v>1060</v>
      </c>
      <c r="C395" s="190">
        <v>0.30500000000000294</v>
      </c>
      <c r="D395" s="190">
        <v>5.854514831759744E-2</v>
      </c>
      <c r="E395" s="190">
        <v>5.2096545788120645</v>
      </c>
      <c r="F395" s="190" t="s">
        <v>272</v>
      </c>
      <c r="G395" s="193" t="s">
        <v>351</v>
      </c>
    </row>
    <row r="396" spans="2:7" x14ac:dyDescent="0.5">
      <c r="B396" s="160" t="s">
        <v>1061</v>
      </c>
      <c r="C396" s="190">
        <v>0.29499999999999998</v>
      </c>
      <c r="D396" s="190">
        <v>5.854514831759744E-2</v>
      </c>
      <c r="E396" s="190">
        <v>5.0388462319657181</v>
      </c>
      <c r="F396" s="190" t="s">
        <v>272</v>
      </c>
      <c r="G396" s="193" t="s">
        <v>351</v>
      </c>
    </row>
    <row r="397" spans="2:7" x14ac:dyDescent="0.5">
      <c r="B397" s="160" t="s">
        <v>1062</v>
      </c>
      <c r="C397" s="190">
        <v>0.28833333333333422</v>
      </c>
      <c r="D397" s="190">
        <v>5.854514831759744E-2</v>
      </c>
      <c r="E397" s="190">
        <v>4.9249740007348706</v>
      </c>
      <c r="F397" s="190" t="s">
        <v>272</v>
      </c>
      <c r="G397" s="193" t="s">
        <v>351</v>
      </c>
    </row>
    <row r="398" spans="2:7" x14ac:dyDescent="0.5">
      <c r="B398" s="160" t="s">
        <v>1063</v>
      </c>
      <c r="C398" s="190">
        <v>0.28000000000000008</v>
      </c>
      <c r="D398" s="190">
        <v>5.854514831759744E-2</v>
      </c>
      <c r="E398" s="190">
        <v>4.7826337116962767</v>
      </c>
      <c r="F398" s="190" t="s">
        <v>272</v>
      </c>
      <c r="G398" s="193" t="s">
        <v>351</v>
      </c>
    </row>
    <row r="399" spans="2:7" x14ac:dyDescent="0.5">
      <c r="B399" s="160" t="s">
        <v>1064</v>
      </c>
      <c r="C399" s="190">
        <v>0.2616666666666676</v>
      </c>
      <c r="D399" s="190">
        <v>5.854514831759744E-2</v>
      </c>
      <c r="E399" s="190">
        <v>4.4694850758114164</v>
      </c>
      <c r="F399" s="190" t="s">
        <v>272</v>
      </c>
      <c r="G399" s="193" t="s">
        <v>351</v>
      </c>
    </row>
    <row r="400" spans="2:7" x14ac:dyDescent="0.5">
      <c r="B400" s="160" t="s">
        <v>1065</v>
      </c>
      <c r="C400" s="190">
        <v>0.24500000000000002</v>
      </c>
      <c r="D400" s="190">
        <v>5.854514831759744E-2</v>
      </c>
      <c r="E400" s="190">
        <v>4.1848044977342411</v>
      </c>
      <c r="F400" s="190" t="s">
        <v>272</v>
      </c>
      <c r="G400" s="193" t="s">
        <v>351</v>
      </c>
    </row>
    <row r="401" spans="2:7" x14ac:dyDescent="0.5">
      <c r="B401" s="160" t="s">
        <v>1066</v>
      </c>
      <c r="C401" s="190">
        <v>0.23333333333333414</v>
      </c>
      <c r="D401" s="190">
        <v>5.854514831759744E-2</v>
      </c>
      <c r="E401" s="190">
        <v>3.9855280930802435</v>
      </c>
      <c r="F401" s="190">
        <v>1.0477855517483944E-4</v>
      </c>
      <c r="G401" s="193" t="s">
        <v>351</v>
      </c>
    </row>
    <row r="402" spans="2:7" x14ac:dyDescent="0.5">
      <c r="B402" s="160" t="s">
        <v>1067</v>
      </c>
      <c r="C402" s="190">
        <v>0.22500000000000087</v>
      </c>
      <c r="D402" s="190">
        <v>5.854514831759744E-2</v>
      </c>
      <c r="E402" s="190">
        <v>3.8431878040416647</v>
      </c>
      <c r="F402" s="190">
        <v>1.7888088426947559E-4</v>
      </c>
      <c r="G402" s="193" t="s">
        <v>351</v>
      </c>
    </row>
    <row r="403" spans="2:7" x14ac:dyDescent="0.5">
      <c r="B403" s="160" t="s">
        <v>1068</v>
      </c>
      <c r="C403" s="190">
        <v>0.19333333333333419</v>
      </c>
      <c r="D403" s="190">
        <v>5.854514831759744E-2</v>
      </c>
      <c r="E403" s="190">
        <v>3.3022947056950618</v>
      </c>
      <c r="F403" s="190">
        <v>1.1988348216597818E-3</v>
      </c>
      <c r="G403" s="193" t="s">
        <v>351</v>
      </c>
    </row>
    <row r="404" spans="2:7" x14ac:dyDescent="0.5">
      <c r="B404" s="160" t="s">
        <v>1069</v>
      </c>
      <c r="C404" s="190">
        <v>0.1916666666666666</v>
      </c>
      <c r="D404" s="190">
        <v>5.854514831759744E-2</v>
      </c>
      <c r="E404" s="190">
        <v>3.2738266478873301</v>
      </c>
      <c r="F404" s="190">
        <v>1.3173251061791753E-3</v>
      </c>
      <c r="G404" s="193" t="s">
        <v>351</v>
      </c>
    </row>
    <row r="405" spans="2:7" x14ac:dyDescent="0.5">
      <c r="B405" s="160" t="s">
        <v>1070</v>
      </c>
      <c r="C405" s="190">
        <v>0.18833333333333413</v>
      </c>
      <c r="D405" s="190">
        <v>5.854514831759744E-2</v>
      </c>
      <c r="E405" s="190">
        <v>3.216890532271913</v>
      </c>
      <c r="F405" s="190">
        <v>1.5877325482684481E-3</v>
      </c>
      <c r="G405" s="193" t="s">
        <v>351</v>
      </c>
    </row>
    <row r="406" spans="2:7" x14ac:dyDescent="0.5">
      <c r="B406" s="160" t="s">
        <v>1071</v>
      </c>
      <c r="C406" s="190">
        <v>0.1866666666666667</v>
      </c>
      <c r="D406" s="190">
        <v>5.854514831759744E-2</v>
      </c>
      <c r="E406" s="190">
        <v>3.1884224744641845</v>
      </c>
      <c r="F406" s="190">
        <v>1.7415124951818788E-3</v>
      </c>
      <c r="G406" s="193" t="s">
        <v>351</v>
      </c>
    </row>
    <row r="407" spans="2:7" x14ac:dyDescent="0.5">
      <c r="B407" s="160" t="s">
        <v>1072</v>
      </c>
      <c r="C407" s="190">
        <v>0.18333333333333418</v>
      </c>
      <c r="D407" s="190">
        <v>5.854514831759744E-2</v>
      </c>
      <c r="E407" s="190">
        <v>3.1314863588487665</v>
      </c>
      <c r="F407" s="190">
        <v>2.0913922593176334E-3</v>
      </c>
      <c r="G407" s="193" t="s">
        <v>351</v>
      </c>
    </row>
    <row r="408" spans="2:7" x14ac:dyDescent="0.5">
      <c r="B408" s="160" t="s">
        <v>1073</v>
      </c>
      <c r="C408" s="190">
        <v>0.15166666666666667</v>
      </c>
      <c r="D408" s="190">
        <v>5.854514831759744E-2</v>
      </c>
      <c r="E408" s="190">
        <v>2.5905932605021493</v>
      </c>
      <c r="F408" s="190">
        <v>1.0526180590353167E-2</v>
      </c>
      <c r="G408" s="213" t="s">
        <v>351</v>
      </c>
    </row>
    <row r="409" spans="2:7" x14ac:dyDescent="0.5">
      <c r="B409" s="160" t="s">
        <v>1074</v>
      </c>
      <c r="C409" s="190">
        <v>9.5000000000000862E-2</v>
      </c>
      <c r="D409" s="190">
        <v>5.854514831759744E-2</v>
      </c>
      <c r="E409" s="190">
        <v>1.6226792950398226</v>
      </c>
      <c r="F409" s="190">
        <v>0.10675785131667735</v>
      </c>
      <c r="G409" s="199" t="s">
        <v>352</v>
      </c>
    </row>
    <row r="410" spans="2:7" x14ac:dyDescent="0.5">
      <c r="B410" s="160" t="s">
        <v>1075</v>
      </c>
      <c r="C410" s="190">
        <v>7.6666666666667493E-2</v>
      </c>
      <c r="D410" s="190">
        <v>5.854514831759744E-2</v>
      </c>
      <c r="E410" s="190">
        <v>1.3095306591549467</v>
      </c>
      <c r="F410" s="190">
        <v>0.1923568981629469</v>
      </c>
      <c r="G410" s="193" t="s">
        <v>352</v>
      </c>
    </row>
    <row r="411" spans="2:7" x14ac:dyDescent="0.5">
      <c r="B411" s="160" t="s">
        <v>1076</v>
      </c>
      <c r="C411" s="190">
        <v>5.999999999999997E-2</v>
      </c>
      <c r="D411" s="190">
        <v>5.854514831759744E-2</v>
      </c>
      <c r="E411" s="190">
        <v>1.0248500810777728</v>
      </c>
      <c r="F411" s="190">
        <v>0.30708384078121581</v>
      </c>
      <c r="G411" s="193" t="s">
        <v>352</v>
      </c>
    </row>
    <row r="412" spans="2:7" x14ac:dyDescent="0.5">
      <c r="B412" s="160" t="s">
        <v>1077</v>
      </c>
      <c r="C412" s="190">
        <v>2.3333333333333151E-2</v>
      </c>
      <c r="D412" s="190">
        <v>5.854514831759744E-2</v>
      </c>
      <c r="E412" s="190">
        <v>0.39855280930801984</v>
      </c>
      <c r="F412" s="190">
        <v>0.69078949012058655</v>
      </c>
      <c r="G412" s="193" t="s">
        <v>352</v>
      </c>
    </row>
    <row r="413" spans="2:7" x14ac:dyDescent="0.5">
      <c r="B413" s="160" t="s">
        <v>1078</v>
      </c>
      <c r="C413" s="190">
        <v>0.29166666666666685</v>
      </c>
      <c r="D413" s="190">
        <v>5.854514831759744E-2</v>
      </c>
      <c r="E413" s="190">
        <v>4.9819101163502904</v>
      </c>
      <c r="F413" s="190" t="s">
        <v>272</v>
      </c>
      <c r="G413" s="193" t="s">
        <v>351</v>
      </c>
    </row>
    <row r="414" spans="2:7" x14ac:dyDescent="0.5">
      <c r="B414" s="160" t="s">
        <v>1079</v>
      </c>
      <c r="C414" s="190">
        <v>0.28166666666666978</v>
      </c>
      <c r="D414" s="190">
        <v>5.854514831759744E-2</v>
      </c>
      <c r="E414" s="190">
        <v>4.8111017695040443</v>
      </c>
      <c r="F414" s="190" t="s">
        <v>272</v>
      </c>
      <c r="G414" s="193" t="s">
        <v>351</v>
      </c>
    </row>
    <row r="415" spans="2:7" x14ac:dyDescent="0.5">
      <c r="B415" s="160" t="s">
        <v>1080</v>
      </c>
      <c r="C415" s="190">
        <v>0.27166666666666683</v>
      </c>
      <c r="D415" s="190">
        <v>5.854514831759744E-2</v>
      </c>
      <c r="E415" s="190">
        <v>4.6402934226576988</v>
      </c>
      <c r="F415" s="190" t="s">
        <v>272</v>
      </c>
      <c r="G415" s="193" t="s">
        <v>351</v>
      </c>
    </row>
    <row r="416" spans="2:7" x14ac:dyDescent="0.5">
      <c r="B416" s="160" t="s">
        <v>1081</v>
      </c>
      <c r="C416" s="190">
        <v>0.26500000000000107</v>
      </c>
      <c r="D416" s="190">
        <v>5.854514831759744E-2</v>
      </c>
      <c r="E416" s="190">
        <v>4.5264211914268504</v>
      </c>
      <c r="F416" s="190" t="s">
        <v>272</v>
      </c>
      <c r="G416" s="193" t="s">
        <v>351</v>
      </c>
    </row>
    <row r="417" spans="2:7" x14ac:dyDescent="0.5">
      <c r="B417" s="160" t="s">
        <v>1082</v>
      </c>
      <c r="C417" s="190">
        <v>0.25666666666666693</v>
      </c>
      <c r="D417" s="190">
        <v>5.854514831759744E-2</v>
      </c>
      <c r="E417" s="190">
        <v>4.3840809023882574</v>
      </c>
      <c r="F417" s="190" t="s">
        <v>272</v>
      </c>
      <c r="G417" s="193" t="s">
        <v>351</v>
      </c>
    </row>
    <row r="418" spans="2:7" x14ac:dyDescent="0.5">
      <c r="B418" s="160" t="s">
        <v>1083</v>
      </c>
      <c r="C418" s="190">
        <v>0.23833333333333445</v>
      </c>
      <c r="D418" s="190">
        <v>5.854514831759744E-2</v>
      </c>
      <c r="E418" s="190">
        <v>4.0709322665033962</v>
      </c>
      <c r="F418" s="190" t="s">
        <v>272</v>
      </c>
      <c r="G418" s="193" t="s">
        <v>351</v>
      </c>
    </row>
    <row r="419" spans="2:7" x14ac:dyDescent="0.5">
      <c r="B419" s="160" t="s">
        <v>1084</v>
      </c>
      <c r="C419" s="190">
        <v>0.22166666666666687</v>
      </c>
      <c r="D419" s="190">
        <v>5.854514831759744E-2</v>
      </c>
      <c r="E419" s="190">
        <v>3.7862516884262214</v>
      </c>
      <c r="F419" s="190">
        <v>2.2068914449525651E-4</v>
      </c>
      <c r="G419" s="193" t="s">
        <v>351</v>
      </c>
    </row>
    <row r="420" spans="2:7" x14ac:dyDescent="0.5">
      <c r="B420" s="160" t="s">
        <v>1085</v>
      </c>
      <c r="C420" s="190">
        <v>0.21000000000000099</v>
      </c>
      <c r="D420" s="190">
        <v>5.854514831759744E-2</v>
      </c>
      <c r="E420" s="190">
        <v>3.5869752837722237</v>
      </c>
      <c r="F420" s="190">
        <v>4.521250332932301E-4</v>
      </c>
      <c r="G420" s="193" t="s">
        <v>351</v>
      </c>
    </row>
    <row r="421" spans="2:7" x14ac:dyDescent="0.5">
      <c r="B421" s="160" t="s">
        <v>1086</v>
      </c>
      <c r="C421" s="190">
        <v>0.20166666666666772</v>
      </c>
      <c r="D421" s="190">
        <v>5.854514831759744E-2</v>
      </c>
      <c r="E421" s="190">
        <v>3.444634994733645</v>
      </c>
      <c r="F421" s="190">
        <v>7.4166542024672638E-4</v>
      </c>
      <c r="G421" s="193" t="s">
        <v>351</v>
      </c>
    </row>
    <row r="422" spans="2:7" x14ac:dyDescent="0.5">
      <c r="B422" s="160" t="s">
        <v>1087</v>
      </c>
      <c r="C422" s="190">
        <v>0.17000000000000104</v>
      </c>
      <c r="D422" s="190">
        <v>5.854514831759744E-2</v>
      </c>
      <c r="E422" s="190">
        <v>2.9037418963870421</v>
      </c>
      <c r="F422" s="190">
        <v>4.2446249655330786E-3</v>
      </c>
      <c r="G422" s="193" t="s">
        <v>351</v>
      </c>
    </row>
    <row r="423" spans="2:7" x14ac:dyDescent="0.5">
      <c r="B423" s="160" t="s">
        <v>1088</v>
      </c>
      <c r="C423" s="190">
        <v>0.16833333333333345</v>
      </c>
      <c r="D423" s="190">
        <v>5.854514831759744E-2</v>
      </c>
      <c r="E423" s="190">
        <v>2.8752738385793104</v>
      </c>
      <c r="F423" s="190">
        <v>4.624423224863926E-3</v>
      </c>
      <c r="G423" s="193" t="s">
        <v>351</v>
      </c>
    </row>
    <row r="424" spans="2:7" x14ac:dyDescent="0.5">
      <c r="B424" s="160" t="s">
        <v>1089</v>
      </c>
      <c r="C424" s="190">
        <v>0.16500000000000098</v>
      </c>
      <c r="D424" s="190">
        <v>5.854514831759744E-2</v>
      </c>
      <c r="E424" s="190">
        <v>2.8183377229638933</v>
      </c>
      <c r="F424" s="190">
        <v>5.4787593033809893E-3</v>
      </c>
      <c r="G424" s="193" t="s">
        <v>351</v>
      </c>
    </row>
    <row r="425" spans="2:7" x14ac:dyDescent="0.5">
      <c r="B425" s="160" t="s">
        <v>1090</v>
      </c>
      <c r="C425" s="190">
        <v>0.16333333333333355</v>
      </c>
      <c r="D425" s="190">
        <v>5.854514831759744E-2</v>
      </c>
      <c r="E425" s="190">
        <v>2.7898696651561643</v>
      </c>
      <c r="F425" s="190">
        <v>5.9578204609089152E-3</v>
      </c>
      <c r="G425" s="193" t="s">
        <v>351</v>
      </c>
    </row>
    <row r="426" spans="2:7" x14ac:dyDescent="0.5">
      <c r="B426" s="160" t="s">
        <v>1091</v>
      </c>
      <c r="C426" s="190">
        <v>0.16000000000000103</v>
      </c>
      <c r="D426" s="190">
        <v>5.854514831759744E-2</v>
      </c>
      <c r="E426" s="190">
        <v>2.7329335495407463</v>
      </c>
      <c r="F426" s="190">
        <v>7.0320281468311393E-3</v>
      </c>
      <c r="G426" s="193" t="s">
        <v>351</v>
      </c>
    </row>
    <row r="427" spans="2:7" x14ac:dyDescent="0.5">
      <c r="B427" s="160" t="s">
        <v>1092</v>
      </c>
      <c r="C427" s="190">
        <v>0.12833333333333352</v>
      </c>
      <c r="D427" s="190">
        <v>5.854514831759744E-2</v>
      </c>
      <c r="E427" s="190">
        <v>2.1920404511941296</v>
      </c>
      <c r="F427" s="190">
        <v>2.9918184982981939E-2</v>
      </c>
      <c r="G427" s="193" t="s">
        <v>351</v>
      </c>
    </row>
    <row r="428" spans="2:7" x14ac:dyDescent="0.5">
      <c r="B428" s="160" t="s">
        <v>1093</v>
      </c>
      <c r="C428" s="190">
        <v>7.1666666666667711E-2</v>
      </c>
      <c r="D428" s="190">
        <v>5.854514831759744E-2</v>
      </c>
      <c r="E428" s="190">
        <v>1.2241264857318026</v>
      </c>
      <c r="F428" s="190">
        <v>0.22282371733322209</v>
      </c>
      <c r="G428" s="193" t="s">
        <v>352</v>
      </c>
    </row>
    <row r="429" spans="2:7" x14ac:dyDescent="0.5">
      <c r="B429" s="160" t="s">
        <v>1094</v>
      </c>
      <c r="C429" s="190">
        <v>5.3333333333334343E-2</v>
      </c>
      <c r="D429" s="190">
        <v>5.854514831759744E-2</v>
      </c>
      <c r="E429" s="190">
        <v>0.91097784984692687</v>
      </c>
      <c r="F429" s="190">
        <v>0.36376866750353909</v>
      </c>
      <c r="G429" s="199" t="s">
        <v>352</v>
      </c>
    </row>
    <row r="430" spans="2:7" x14ac:dyDescent="0.5">
      <c r="B430" s="160" t="s">
        <v>1095</v>
      </c>
      <c r="C430" s="190">
        <v>3.666666666666682E-2</v>
      </c>
      <c r="D430" s="190">
        <v>5.854514831759744E-2</v>
      </c>
      <c r="E430" s="190">
        <v>0.62629727176975292</v>
      </c>
      <c r="F430" s="190">
        <v>0.53207189549562539</v>
      </c>
      <c r="G430" s="193" t="s">
        <v>352</v>
      </c>
    </row>
    <row r="431" spans="2:7" x14ac:dyDescent="0.5">
      <c r="B431" s="160" t="s">
        <v>1096</v>
      </c>
      <c r="C431" s="190">
        <v>0.25500000000000006</v>
      </c>
      <c r="D431" s="190">
        <v>5.854514831759744E-2</v>
      </c>
      <c r="E431" s="190">
        <v>4.3556128445805378</v>
      </c>
      <c r="F431" s="190" t="s">
        <v>272</v>
      </c>
      <c r="G431" s="193" t="s">
        <v>351</v>
      </c>
    </row>
    <row r="432" spans="2:7" x14ac:dyDescent="0.5">
      <c r="B432" s="160" t="s">
        <v>1097</v>
      </c>
      <c r="C432" s="190">
        <v>0.24500000000000297</v>
      </c>
      <c r="D432" s="190">
        <v>5.854514831759744E-2</v>
      </c>
      <c r="E432" s="190">
        <v>4.1848044977342918</v>
      </c>
      <c r="F432" s="190" t="s">
        <v>272</v>
      </c>
      <c r="G432" s="193" t="s">
        <v>351</v>
      </c>
    </row>
    <row r="433" spans="2:7" x14ac:dyDescent="0.5">
      <c r="B433" s="160" t="s">
        <v>1098</v>
      </c>
      <c r="C433" s="190">
        <v>0.23500000000000001</v>
      </c>
      <c r="D433" s="190">
        <v>5.854514831759744E-2</v>
      </c>
      <c r="E433" s="190">
        <v>4.0139961508879454</v>
      </c>
      <c r="F433" s="190" t="s">
        <v>272</v>
      </c>
      <c r="G433" s="193" t="s">
        <v>351</v>
      </c>
    </row>
    <row r="434" spans="2:7" x14ac:dyDescent="0.5">
      <c r="B434" s="160" t="s">
        <v>1099</v>
      </c>
      <c r="C434" s="190">
        <v>0.22833333333333428</v>
      </c>
      <c r="D434" s="190">
        <v>5.854514831759744E-2</v>
      </c>
      <c r="E434" s="190">
        <v>3.9001239196570978</v>
      </c>
      <c r="F434" s="190">
        <v>1.4466783916841151E-4</v>
      </c>
      <c r="G434" s="193" t="s">
        <v>351</v>
      </c>
    </row>
    <row r="435" spans="2:7" x14ac:dyDescent="0.5">
      <c r="B435" s="160" t="s">
        <v>1100</v>
      </c>
      <c r="C435" s="190">
        <v>0.22000000000000008</v>
      </c>
      <c r="D435" s="190">
        <v>5.854514831759744E-2</v>
      </c>
      <c r="E435" s="190">
        <v>3.7577836306185035</v>
      </c>
      <c r="F435" s="190">
        <v>2.4491851144553702E-4</v>
      </c>
      <c r="G435" s="193" t="s">
        <v>351</v>
      </c>
    </row>
    <row r="436" spans="2:7" x14ac:dyDescent="0.5">
      <c r="B436" s="160" t="s">
        <v>1101</v>
      </c>
      <c r="C436" s="190">
        <v>0.2016666666666676</v>
      </c>
      <c r="D436" s="190">
        <v>5.854514831759744E-2</v>
      </c>
      <c r="E436" s="190">
        <v>3.4446349947336432</v>
      </c>
      <c r="F436" s="190">
        <v>7.4166542024673354E-4</v>
      </c>
      <c r="G436" s="193" t="s">
        <v>351</v>
      </c>
    </row>
    <row r="437" spans="2:7" x14ac:dyDescent="0.5">
      <c r="B437" s="160" t="s">
        <v>1102</v>
      </c>
      <c r="C437" s="190">
        <v>0.18500000000000005</v>
      </c>
      <c r="D437" s="190">
        <v>5.854514831759744E-2</v>
      </c>
      <c r="E437" s="190">
        <v>3.1599544166564688</v>
      </c>
      <c r="F437" s="190">
        <v>1.9090305928809519E-3</v>
      </c>
      <c r="G437" s="193" t="s">
        <v>351</v>
      </c>
    </row>
    <row r="438" spans="2:7" x14ac:dyDescent="0.5">
      <c r="B438" s="160" t="s">
        <v>1103</v>
      </c>
      <c r="C438" s="190">
        <v>0.17333333333333417</v>
      </c>
      <c r="D438" s="190">
        <v>5.854514831759744E-2</v>
      </c>
      <c r="E438" s="190">
        <v>2.9606780120024707</v>
      </c>
      <c r="F438" s="190">
        <v>3.5693906605047438E-3</v>
      </c>
      <c r="G438" s="193" t="s">
        <v>351</v>
      </c>
    </row>
    <row r="439" spans="2:7" x14ac:dyDescent="0.5">
      <c r="B439" s="160" t="s">
        <v>1104</v>
      </c>
      <c r="C439" s="190">
        <v>0.16500000000000087</v>
      </c>
      <c r="D439" s="190">
        <v>5.854514831759744E-2</v>
      </c>
      <c r="E439" s="190">
        <v>2.8183377229638915</v>
      </c>
      <c r="F439" s="190">
        <v>5.4787593033809893E-3</v>
      </c>
      <c r="G439" s="193" t="s">
        <v>351</v>
      </c>
    </row>
    <row r="440" spans="2:7" x14ac:dyDescent="0.5">
      <c r="B440" s="160" t="s">
        <v>1105</v>
      </c>
      <c r="C440" s="190">
        <v>0.13333333333333419</v>
      </c>
      <c r="D440" s="190">
        <v>5.854514831759744E-2</v>
      </c>
      <c r="E440" s="190">
        <v>2.2774446246172886</v>
      </c>
      <c r="F440" s="190">
        <v>2.4173042879277826E-2</v>
      </c>
      <c r="G440" s="193" t="s">
        <v>351</v>
      </c>
    </row>
    <row r="441" spans="2:7" x14ac:dyDescent="0.5">
      <c r="B441" s="160" t="s">
        <v>1106</v>
      </c>
      <c r="C441" s="190">
        <v>0.1316666666666666</v>
      </c>
      <c r="D441" s="190">
        <v>5.854514831759744E-2</v>
      </c>
      <c r="E441" s="190">
        <v>2.2489765668095569</v>
      </c>
      <c r="F441" s="190">
        <v>2.5970484488364722E-2</v>
      </c>
      <c r="G441" s="193" t="s">
        <v>351</v>
      </c>
    </row>
    <row r="442" spans="2:7" x14ac:dyDescent="0.5">
      <c r="B442" s="160" t="s">
        <v>1107</v>
      </c>
      <c r="C442" s="190">
        <v>0.12833333333333416</v>
      </c>
      <c r="D442" s="190">
        <v>5.854514831759744E-2</v>
      </c>
      <c r="E442" s="190">
        <v>2.1920404511941403</v>
      </c>
      <c r="F442" s="190">
        <v>2.991818498298135E-2</v>
      </c>
      <c r="G442" s="199" t="s">
        <v>351</v>
      </c>
    </row>
    <row r="443" spans="2:7" x14ac:dyDescent="0.5">
      <c r="B443" s="160" t="s">
        <v>1108</v>
      </c>
      <c r="C443" s="190">
        <v>0.12666666666666673</v>
      </c>
      <c r="D443" s="190">
        <v>5.854514831759744E-2</v>
      </c>
      <c r="E443" s="190">
        <v>2.1635723933864113</v>
      </c>
      <c r="F443" s="190">
        <v>3.2080501369165834E-2</v>
      </c>
      <c r="G443" s="193" t="s">
        <v>351</v>
      </c>
    </row>
    <row r="444" spans="2:7" x14ac:dyDescent="0.5">
      <c r="B444" s="160" t="s">
        <v>1109</v>
      </c>
      <c r="C444" s="190">
        <v>0.12333333333333422</v>
      </c>
      <c r="D444" s="190">
        <v>5.854514831759744E-2</v>
      </c>
      <c r="E444" s="190">
        <v>2.1066362777709937</v>
      </c>
      <c r="F444" s="190">
        <v>3.6813601633524921E-2</v>
      </c>
      <c r="G444" s="193" t="s">
        <v>351</v>
      </c>
    </row>
    <row r="445" spans="2:7" x14ac:dyDescent="0.5">
      <c r="B445" s="160" t="s">
        <v>1110</v>
      </c>
      <c r="C445" s="190">
        <v>9.1666666666666702E-2</v>
      </c>
      <c r="D445" s="190">
        <v>5.854514831759744E-2</v>
      </c>
      <c r="E445" s="190">
        <v>1.5657431794243766</v>
      </c>
      <c r="F445" s="190">
        <v>0.11951598293288691</v>
      </c>
      <c r="G445" s="193" t="s">
        <v>352</v>
      </c>
    </row>
    <row r="446" spans="2:7" x14ac:dyDescent="0.5">
      <c r="B446" s="160" t="s">
        <v>1111</v>
      </c>
      <c r="C446" s="190">
        <v>3.5000000000000892E-2</v>
      </c>
      <c r="D446" s="190">
        <v>5.854514831759744E-2</v>
      </c>
      <c r="E446" s="190">
        <v>0.59782921396204969</v>
      </c>
      <c r="F446" s="190">
        <v>0.55085540469668859</v>
      </c>
      <c r="G446" s="193" t="s">
        <v>352</v>
      </c>
    </row>
    <row r="447" spans="2:7" x14ac:dyDescent="0.5">
      <c r="B447" s="160" t="s">
        <v>1112</v>
      </c>
      <c r="C447" s="190">
        <v>1.6666666666667523E-2</v>
      </c>
      <c r="D447" s="190">
        <v>5.854514831759744E-2</v>
      </c>
      <c r="E447" s="190">
        <v>0.2846805780771739</v>
      </c>
      <c r="F447" s="190">
        <v>0.77628151969240078</v>
      </c>
      <c r="G447" s="193" t="s">
        <v>352</v>
      </c>
    </row>
    <row r="448" spans="2:7" x14ac:dyDescent="0.5">
      <c r="B448" s="160" t="s">
        <v>1113</v>
      </c>
      <c r="C448" s="190">
        <v>0.23833333333333251</v>
      </c>
      <c r="D448" s="190">
        <v>5.854514831759744E-2</v>
      </c>
      <c r="E448" s="190">
        <v>4.0709322665033634</v>
      </c>
      <c r="F448" s="190" t="s">
        <v>272</v>
      </c>
      <c r="G448" s="193" t="s">
        <v>351</v>
      </c>
    </row>
    <row r="449" spans="2:7" x14ac:dyDescent="0.5">
      <c r="B449" s="160" t="s">
        <v>1114</v>
      </c>
      <c r="C449" s="190">
        <v>0.22833333333333544</v>
      </c>
      <c r="D449" s="190">
        <v>5.854514831759744E-2</v>
      </c>
      <c r="E449" s="190">
        <v>3.9001239196571178</v>
      </c>
      <c r="F449" s="190">
        <v>1.4466783916840053E-4</v>
      </c>
      <c r="G449" s="193" t="s">
        <v>351</v>
      </c>
    </row>
    <row r="450" spans="2:7" x14ac:dyDescent="0.5">
      <c r="B450" s="160" t="s">
        <v>1115</v>
      </c>
      <c r="C450" s="190">
        <v>0.21833333333333249</v>
      </c>
      <c r="D450" s="190">
        <v>5.854514831759744E-2</v>
      </c>
      <c r="E450" s="190">
        <v>3.7293155728107719</v>
      </c>
      <c r="F450" s="190">
        <v>2.7165380324303004E-4</v>
      </c>
      <c r="G450" s="193" t="s">
        <v>351</v>
      </c>
    </row>
    <row r="451" spans="2:7" x14ac:dyDescent="0.5">
      <c r="B451" s="160" t="s">
        <v>1116</v>
      </c>
      <c r="C451" s="190">
        <v>0.21166666666666675</v>
      </c>
      <c r="D451" s="190">
        <v>5.854514831759744E-2</v>
      </c>
      <c r="E451" s="190">
        <v>3.6154433415799239</v>
      </c>
      <c r="F451" s="190">
        <v>4.0879918497586769E-4</v>
      </c>
      <c r="G451" s="193" t="s">
        <v>351</v>
      </c>
    </row>
    <row r="452" spans="2:7" x14ac:dyDescent="0.5">
      <c r="B452" s="160" t="s">
        <v>1117</v>
      </c>
      <c r="C452" s="190">
        <v>0.20333333333333256</v>
      </c>
      <c r="D452" s="190">
        <v>5.854514831759744E-2</v>
      </c>
      <c r="E452" s="190">
        <v>3.4731030525413296</v>
      </c>
      <c r="F452" s="190">
        <v>6.7255329466955134E-4</v>
      </c>
      <c r="G452" s="193" t="s">
        <v>351</v>
      </c>
    </row>
    <row r="453" spans="2:7" x14ac:dyDescent="0.5">
      <c r="B453" s="160" t="s">
        <v>1118</v>
      </c>
      <c r="C453" s="190">
        <v>0.18500000000000011</v>
      </c>
      <c r="D453" s="190">
        <v>5.854514831759744E-2</v>
      </c>
      <c r="E453" s="190">
        <v>3.1599544166564697</v>
      </c>
      <c r="F453" s="190">
        <v>1.9090305928809519E-3</v>
      </c>
      <c r="G453" s="193" t="s">
        <v>351</v>
      </c>
    </row>
    <row r="454" spans="2:7" x14ac:dyDescent="0.5">
      <c r="B454" s="160" t="s">
        <v>1119</v>
      </c>
      <c r="C454" s="190">
        <v>0.16833333333333253</v>
      </c>
      <c r="D454" s="190">
        <v>5.854514831759744E-2</v>
      </c>
      <c r="E454" s="190">
        <v>2.8752738385792949</v>
      </c>
      <c r="F454" s="190">
        <v>4.6244232248641524E-3</v>
      </c>
      <c r="G454" s="193" t="s">
        <v>351</v>
      </c>
    </row>
    <row r="455" spans="2:7" x14ac:dyDescent="0.5">
      <c r="B455" s="160" t="s">
        <v>1120</v>
      </c>
      <c r="C455" s="190">
        <v>0.15666666666666665</v>
      </c>
      <c r="D455" s="190">
        <v>5.854514831759744E-2</v>
      </c>
      <c r="E455" s="190">
        <v>2.6759974339252968</v>
      </c>
      <c r="F455" s="190">
        <v>8.2790489005738314E-3</v>
      </c>
      <c r="G455" s="193" t="s">
        <v>351</v>
      </c>
    </row>
    <row r="456" spans="2:7" x14ac:dyDescent="0.5">
      <c r="B456" s="160" t="s">
        <v>1121</v>
      </c>
      <c r="C456" s="190">
        <v>0.14833333333333337</v>
      </c>
      <c r="D456" s="190">
        <v>5.854514831759744E-2</v>
      </c>
      <c r="E456" s="190">
        <v>2.533657144886718</v>
      </c>
      <c r="F456" s="190">
        <v>1.2314559864393749E-2</v>
      </c>
      <c r="G456" s="193" t="s">
        <v>351</v>
      </c>
    </row>
    <row r="457" spans="2:7" x14ac:dyDescent="0.5">
      <c r="B457" s="160" t="s">
        <v>1122</v>
      </c>
      <c r="C457" s="190">
        <v>0.11666666666666668</v>
      </c>
      <c r="D457" s="190">
        <v>5.854514831759744E-2</v>
      </c>
      <c r="E457" s="190">
        <v>1.9927640465401151</v>
      </c>
      <c r="F457" s="190">
        <v>4.8101445115906277E-2</v>
      </c>
      <c r="G457" s="193" t="s">
        <v>351</v>
      </c>
    </row>
    <row r="458" spans="2:7" x14ac:dyDescent="0.5">
      <c r="B458" s="160" t="s">
        <v>1123</v>
      </c>
      <c r="C458" s="190">
        <v>0.11499999999999909</v>
      </c>
      <c r="D458" s="190">
        <v>5.854514831759744E-2</v>
      </c>
      <c r="E458" s="190">
        <v>1.9642959887323832</v>
      </c>
      <c r="F458" s="190">
        <v>5.1343971499668427E-2</v>
      </c>
      <c r="G458" s="193" t="s">
        <v>352</v>
      </c>
    </row>
    <row r="459" spans="2:7" x14ac:dyDescent="0.5">
      <c r="B459" s="160" t="s">
        <v>1124</v>
      </c>
      <c r="C459" s="190">
        <v>0.11166666666666664</v>
      </c>
      <c r="D459" s="190">
        <v>5.854514831759744E-2</v>
      </c>
      <c r="E459" s="190">
        <v>1.9073598731169665</v>
      </c>
      <c r="F459" s="190">
        <v>5.8385348145209778E-2</v>
      </c>
      <c r="G459" s="193" t="s">
        <v>352</v>
      </c>
    </row>
    <row r="460" spans="2:7" x14ac:dyDescent="0.5">
      <c r="B460" s="160" t="s">
        <v>1125</v>
      </c>
      <c r="C460" s="190">
        <v>0.10999999999999921</v>
      </c>
      <c r="D460" s="190">
        <v>5.854514831759744E-2</v>
      </c>
      <c r="E460" s="190">
        <v>1.8788918153092375</v>
      </c>
      <c r="F460" s="190">
        <v>6.2199483045822138E-2</v>
      </c>
      <c r="G460" s="193" t="s">
        <v>352</v>
      </c>
    </row>
    <row r="461" spans="2:7" x14ac:dyDescent="0.5">
      <c r="B461" s="160" t="s">
        <v>1126</v>
      </c>
      <c r="C461" s="190">
        <v>0.1066666666666667</v>
      </c>
      <c r="D461" s="190">
        <v>5.854514831759744E-2</v>
      </c>
      <c r="E461" s="190">
        <v>1.8219556996938198</v>
      </c>
      <c r="F461" s="190">
        <v>7.0453677736171602E-2</v>
      </c>
      <c r="G461" s="193" t="s">
        <v>352</v>
      </c>
    </row>
    <row r="462" spans="2:7" x14ac:dyDescent="0.5">
      <c r="B462" s="160" t="s">
        <v>1127</v>
      </c>
      <c r="C462" s="190">
        <v>7.4999999999999178E-2</v>
      </c>
      <c r="D462" s="190">
        <v>5.854514831759744E-2</v>
      </c>
      <c r="E462" s="190">
        <v>1.2810626013472026</v>
      </c>
      <c r="F462" s="190">
        <v>0.20214871114884195</v>
      </c>
      <c r="G462" s="193" t="s">
        <v>352</v>
      </c>
    </row>
    <row r="463" spans="2:7" x14ac:dyDescent="0.5">
      <c r="B463" s="160" t="s">
        <v>1128</v>
      </c>
      <c r="C463" s="190">
        <v>1.8333333333333368E-2</v>
      </c>
      <c r="D463" s="190">
        <v>5.854514831759744E-2</v>
      </c>
      <c r="E463" s="190">
        <v>0.31314863588487579</v>
      </c>
      <c r="F463" s="190">
        <v>0.75460272933273687</v>
      </c>
      <c r="G463" s="193" t="s">
        <v>352</v>
      </c>
    </row>
    <row r="464" spans="2:7" x14ac:dyDescent="0.5">
      <c r="B464" s="160" t="s">
        <v>1129</v>
      </c>
      <c r="C464" s="190">
        <v>0.21999999999999914</v>
      </c>
      <c r="D464" s="190">
        <v>5.854514831759744E-2</v>
      </c>
      <c r="E464" s="190">
        <v>3.7577836306184875</v>
      </c>
      <c r="F464" s="190">
        <v>2.4491851144555149E-4</v>
      </c>
      <c r="G464" s="193" t="s">
        <v>351</v>
      </c>
    </row>
    <row r="465" spans="2:7" x14ac:dyDescent="0.5">
      <c r="B465" s="160" t="s">
        <v>1130</v>
      </c>
      <c r="C465" s="190">
        <v>0.21000000000000207</v>
      </c>
      <c r="D465" s="190">
        <v>5.854514831759744E-2</v>
      </c>
      <c r="E465" s="190">
        <v>3.586975283772242</v>
      </c>
      <c r="F465" s="190">
        <v>4.5212503329319947E-4</v>
      </c>
      <c r="G465" s="193" t="s">
        <v>351</v>
      </c>
    </row>
    <row r="466" spans="2:7" x14ac:dyDescent="0.5">
      <c r="B466" s="160" t="s">
        <v>1131</v>
      </c>
      <c r="C466" s="190">
        <v>0.19999999999999912</v>
      </c>
      <c r="D466" s="190">
        <v>5.854514831759744E-2</v>
      </c>
      <c r="E466" s="190">
        <v>3.416166936925896</v>
      </c>
      <c r="F466" s="190">
        <v>8.1739770460723376E-4</v>
      </c>
      <c r="G466" s="193" t="s">
        <v>351</v>
      </c>
    </row>
    <row r="467" spans="2:7" x14ac:dyDescent="0.5">
      <c r="B467" s="160" t="s">
        <v>1132</v>
      </c>
      <c r="C467" s="190">
        <v>0.19333333333333338</v>
      </c>
      <c r="D467" s="190">
        <v>5.854514831759744E-2</v>
      </c>
      <c r="E467" s="190">
        <v>3.302294705695048</v>
      </c>
      <c r="F467" s="190">
        <v>1.1988348216598404E-3</v>
      </c>
      <c r="G467" s="193" t="s">
        <v>351</v>
      </c>
    </row>
    <row r="468" spans="2:7" x14ac:dyDescent="0.5">
      <c r="B468" s="160" t="s">
        <v>1133</v>
      </c>
      <c r="C468" s="190">
        <v>0.18499999999999919</v>
      </c>
      <c r="D468" s="190">
        <v>5.854514831759744E-2</v>
      </c>
      <c r="E468" s="190">
        <v>3.1599544166564537</v>
      </c>
      <c r="F468" s="190">
        <v>1.909030592881043E-3</v>
      </c>
      <c r="G468" s="193" t="s">
        <v>351</v>
      </c>
    </row>
    <row r="469" spans="2:7" x14ac:dyDescent="0.5">
      <c r="B469" s="160" t="s">
        <v>1134</v>
      </c>
      <c r="C469" s="190">
        <v>0.16666666666666674</v>
      </c>
      <c r="D469" s="190">
        <v>5.854514831759744E-2</v>
      </c>
      <c r="E469" s="190">
        <v>2.8468057807715939</v>
      </c>
      <c r="F469" s="190">
        <v>5.0350688008049399E-3</v>
      </c>
      <c r="G469" s="193" t="s">
        <v>351</v>
      </c>
    </row>
    <row r="470" spans="2:7" x14ac:dyDescent="0.5">
      <c r="B470" s="160" t="s">
        <v>1135</v>
      </c>
      <c r="C470" s="190">
        <v>0.14999999999999916</v>
      </c>
      <c r="D470" s="190">
        <v>5.854514831759744E-2</v>
      </c>
      <c r="E470" s="190">
        <v>2.562125202694419</v>
      </c>
      <c r="F470" s="190">
        <v>1.138893363102361E-2</v>
      </c>
      <c r="G470" s="193" t="s">
        <v>351</v>
      </c>
    </row>
    <row r="471" spans="2:7" x14ac:dyDescent="0.5">
      <c r="B471" s="160" t="s">
        <v>1136</v>
      </c>
      <c r="C471" s="190">
        <v>0.13833333333333328</v>
      </c>
      <c r="D471" s="190">
        <v>5.854514831759744E-2</v>
      </c>
      <c r="E471" s="190">
        <v>2.3628487980404209</v>
      </c>
      <c r="F471" s="190">
        <v>1.9417991761819839E-2</v>
      </c>
      <c r="G471" s="193" t="s">
        <v>351</v>
      </c>
    </row>
    <row r="472" spans="2:7" x14ac:dyDescent="0.5">
      <c r="B472" s="160" t="s">
        <v>1137</v>
      </c>
      <c r="C472" s="190">
        <v>0.13</v>
      </c>
      <c r="D472" s="190">
        <v>5.854514831759744E-2</v>
      </c>
      <c r="E472" s="190">
        <v>2.2205085090018422</v>
      </c>
      <c r="F472" s="190">
        <v>2.7883553589008715E-2</v>
      </c>
      <c r="G472" s="193" t="s">
        <v>351</v>
      </c>
    </row>
    <row r="473" spans="2:7" x14ac:dyDescent="0.5">
      <c r="B473" s="160" t="s">
        <v>1138</v>
      </c>
      <c r="C473" s="190">
        <v>9.8333333333333314E-2</v>
      </c>
      <c r="D473" s="190">
        <v>5.854514831759744E-2</v>
      </c>
      <c r="E473" s="190">
        <v>1.6796154106552392</v>
      </c>
      <c r="F473" s="190">
        <v>9.5113830386773776E-2</v>
      </c>
      <c r="G473" s="213" t="s">
        <v>352</v>
      </c>
    </row>
    <row r="474" spans="2:7" x14ac:dyDescent="0.5">
      <c r="B474" s="160" t="s">
        <v>1139</v>
      </c>
      <c r="C474" s="190">
        <v>9.6666666666665721E-2</v>
      </c>
      <c r="D474" s="190">
        <v>5.854514831759744E-2</v>
      </c>
      <c r="E474" s="190">
        <v>1.6511473528475076</v>
      </c>
      <c r="F474" s="190">
        <v>0.10080058920023323</v>
      </c>
      <c r="G474" s="193" t="s">
        <v>352</v>
      </c>
    </row>
    <row r="475" spans="2:7" x14ac:dyDescent="0.5">
      <c r="B475" s="160" t="s">
        <v>1140</v>
      </c>
      <c r="C475" s="190">
        <v>9.3333333333333268E-2</v>
      </c>
      <c r="D475" s="190">
        <v>5.854514831759744E-2</v>
      </c>
      <c r="E475" s="190">
        <v>1.5942112372320907</v>
      </c>
      <c r="F475" s="190">
        <v>0.11299365958796505</v>
      </c>
      <c r="G475" s="193" t="s">
        <v>352</v>
      </c>
    </row>
    <row r="476" spans="2:7" x14ac:dyDescent="0.5">
      <c r="B476" s="160" t="s">
        <v>1141</v>
      </c>
      <c r="C476" s="190">
        <v>9.1666666666665841E-2</v>
      </c>
      <c r="D476" s="190">
        <v>5.854514831759744E-2</v>
      </c>
      <c r="E476" s="190">
        <v>1.5657431794243617</v>
      </c>
      <c r="F476" s="190">
        <v>0.11951598293288951</v>
      </c>
      <c r="G476" s="193" t="s">
        <v>352</v>
      </c>
    </row>
    <row r="477" spans="2:7" x14ac:dyDescent="0.5">
      <c r="B477" s="160" t="s">
        <v>1142</v>
      </c>
      <c r="C477" s="190">
        <v>8.8333333333333333E-2</v>
      </c>
      <c r="D477" s="190">
        <v>5.854514831759744E-2</v>
      </c>
      <c r="E477" s="190">
        <v>1.5088070638089441</v>
      </c>
      <c r="F477" s="190">
        <v>0.13345153936405924</v>
      </c>
      <c r="G477" s="193" t="s">
        <v>352</v>
      </c>
    </row>
    <row r="478" spans="2:7" x14ac:dyDescent="0.5">
      <c r="B478" s="160" t="s">
        <v>1143</v>
      </c>
      <c r="C478" s="190">
        <v>5.666666666666581E-2</v>
      </c>
      <c r="D478" s="190">
        <v>5.854514831759744E-2</v>
      </c>
      <c r="E478" s="190">
        <v>0.96791396546232689</v>
      </c>
      <c r="F478" s="190">
        <v>0.33464537718595461</v>
      </c>
      <c r="G478" s="193" t="s">
        <v>352</v>
      </c>
    </row>
    <row r="479" spans="2:7" x14ac:dyDescent="0.5">
      <c r="B479" s="160" t="s">
        <v>1144</v>
      </c>
      <c r="C479" s="190">
        <v>0.16333333333333333</v>
      </c>
      <c r="D479" s="190">
        <v>5.854514831759744E-2</v>
      </c>
      <c r="E479" s="190">
        <v>2.7898696651561607</v>
      </c>
      <c r="F479" s="190">
        <v>5.9578204609089698E-3</v>
      </c>
      <c r="G479" s="193" t="s">
        <v>351</v>
      </c>
    </row>
    <row r="480" spans="2:7" x14ac:dyDescent="0.5">
      <c r="B480" s="160" t="s">
        <v>1145</v>
      </c>
      <c r="C480" s="190">
        <v>0.15333333333333626</v>
      </c>
      <c r="D480" s="190">
        <v>5.854514831759744E-2</v>
      </c>
      <c r="E480" s="190">
        <v>2.6190613183099152</v>
      </c>
      <c r="F480" s="190">
        <v>9.7226048538475596E-3</v>
      </c>
      <c r="G480" s="193" t="s">
        <v>351</v>
      </c>
    </row>
    <row r="481" spans="2:7" x14ac:dyDescent="0.5">
      <c r="B481" s="160" t="s">
        <v>1146</v>
      </c>
      <c r="C481" s="190">
        <v>0.14333333333333331</v>
      </c>
      <c r="D481" s="190">
        <v>5.854514831759744E-2</v>
      </c>
      <c r="E481" s="190">
        <v>2.4482529714635692</v>
      </c>
      <c r="F481" s="190">
        <v>1.5508269985644462E-2</v>
      </c>
      <c r="G481" s="193" t="s">
        <v>351</v>
      </c>
    </row>
    <row r="482" spans="2:7" x14ac:dyDescent="0.5">
      <c r="B482" s="160" t="s">
        <v>1147</v>
      </c>
      <c r="C482" s="190">
        <v>0.13666666666666757</v>
      </c>
      <c r="D482" s="190">
        <v>5.854514831759744E-2</v>
      </c>
      <c r="E482" s="190">
        <v>2.3343807402327212</v>
      </c>
      <c r="F482" s="190">
        <v>2.0902254074062748E-2</v>
      </c>
      <c r="G482" s="193" t="s">
        <v>351</v>
      </c>
    </row>
    <row r="483" spans="2:7" x14ac:dyDescent="0.5">
      <c r="B483" s="160" t="s">
        <v>1148</v>
      </c>
      <c r="C483" s="190">
        <v>0.12833333333333338</v>
      </c>
      <c r="D483" s="190">
        <v>5.854514831759744E-2</v>
      </c>
      <c r="E483" s="190">
        <v>2.1920404511941269</v>
      </c>
      <c r="F483" s="190">
        <v>2.9918184982982234E-2</v>
      </c>
      <c r="G483" s="193" t="s">
        <v>351</v>
      </c>
    </row>
    <row r="484" spans="2:7" x14ac:dyDescent="0.5">
      <c r="B484" s="160" t="s">
        <v>1149</v>
      </c>
      <c r="C484" s="190">
        <v>0.11000000000000092</v>
      </c>
      <c r="D484" s="190">
        <v>5.854514831759744E-2</v>
      </c>
      <c r="E484" s="190">
        <v>1.8788918153092666</v>
      </c>
      <c r="F484" s="190">
        <v>6.2199483045818307E-2</v>
      </c>
      <c r="G484" s="193" t="s">
        <v>352</v>
      </c>
    </row>
    <row r="485" spans="2:7" x14ac:dyDescent="0.5">
      <c r="B485" s="160" t="s">
        <v>1150</v>
      </c>
      <c r="C485" s="190">
        <v>9.3333333333333351E-2</v>
      </c>
      <c r="D485" s="190">
        <v>5.854514831759744E-2</v>
      </c>
      <c r="E485" s="190">
        <v>1.5942112372320922</v>
      </c>
      <c r="F485" s="190">
        <v>0.11299365958796505</v>
      </c>
      <c r="G485" s="193" t="s">
        <v>352</v>
      </c>
    </row>
    <row r="486" spans="2:7" x14ac:dyDescent="0.5">
      <c r="B486" s="160" t="s">
        <v>1151</v>
      </c>
      <c r="C486" s="190">
        <v>8.166666666666747E-2</v>
      </c>
      <c r="D486" s="190">
        <v>5.854514831759744E-2</v>
      </c>
      <c r="E486" s="190">
        <v>1.3949348325780941</v>
      </c>
      <c r="F486" s="190">
        <v>0.1650976127753275</v>
      </c>
      <c r="G486" s="193" t="s">
        <v>352</v>
      </c>
    </row>
    <row r="487" spans="2:7" x14ac:dyDescent="0.5">
      <c r="B487" s="160" t="s">
        <v>1152</v>
      </c>
      <c r="C487" s="190">
        <v>7.333333333333418E-2</v>
      </c>
      <c r="D487" s="190">
        <v>5.854514831759744E-2</v>
      </c>
      <c r="E487" s="190">
        <v>1.2525945435395152</v>
      </c>
      <c r="F487" s="190">
        <v>0.2123026258699596</v>
      </c>
      <c r="G487" s="193" t="s">
        <v>352</v>
      </c>
    </row>
    <row r="488" spans="2:7" x14ac:dyDescent="0.5">
      <c r="B488" s="160" t="s">
        <v>1153</v>
      </c>
      <c r="C488" s="190">
        <v>4.1666666666667504E-2</v>
      </c>
      <c r="D488" s="190">
        <v>5.854514831759744E-2</v>
      </c>
      <c r="E488" s="190">
        <v>0.71170144519291245</v>
      </c>
      <c r="F488" s="190">
        <v>0.47775505926743328</v>
      </c>
      <c r="G488" s="199" t="s">
        <v>352</v>
      </c>
    </row>
    <row r="489" spans="2:7" x14ac:dyDescent="0.5">
      <c r="B489" s="160" t="s">
        <v>1154</v>
      </c>
      <c r="C489" s="190">
        <v>3.9999999999999911E-2</v>
      </c>
      <c r="D489" s="190">
        <v>5.854514831759744E-2</v>
      </c>
      <c r="E489" s="190">
        <v>0.68323338738518069</v>
      </c>
      <c r="F489" s="190">
        <v>0.49551333762464611</v>
      </c>
      <c r="G489" s="193" t="s">
        <v>352</v>
      </c>
    </row>
    <row r="490" spans="2:7" x14ac:dyDescent="0.5">
      <c r="B490" s="160" t="s">
        <v>1155</v>
      </c>
      <c r="C490" s="190">
        <v>3.6666666666667458E-2</v>
      </c>
      <c r="D490" s="190">
        <v>5.854514831759744E-2</v>
      </c>
      <c r="E490" s="190">
        <v>0.62629727176976391</v>
      </c>
      <c r="F490" s="190">
        <v>0.53207189549562539</v>
      </c>
      <c r="G490" s="193" t="s">
        <v>352</v>
      </c>
    </row>
    <row r="491" spans="2:7" x14ac:dyDescent="0.5">
      <c r="B491" s="160" t="s">
        <v>1156</v>
      </c>
      <c r="C491" s="190">
        <v>3.5000000000000031E-2</v>
      </c>
      <c r="D491" s="190">
        <v>5.854514831759744E-2</v>
      </c>
      <c r="E491" s="190">
        <v>0.59782921396203492</v>
      </c>
      <c r="F491" s="190">
        <v>0.55085540469669825</v>
      </c>
      <c r="G491" s="193" t="s">
        <v>352</v>
      </c>
    </row>
    <row r="492" spans="2:7" x14ac:dyDescent="0.5">
      <c r="B492" s="160" t="s">
        <v>1157</v>
      </c>
      <c r="C492" s="190">
        <v>3.1666666666667523E-2</v>
      </c>
      <c r="D492" s="190">
        <v>5.854514831759744E-2</v>
      </c>
      <c r="E492" s="190">
        <v>0.54089309834661725</v>
      </c>
      <c r="F492" s="190">
        <v>0.58938360182428096</v>
      </c>
      <c r="G492" s="193" t="s">
        <v>352</v>
      </c>
    </row>
    <row r="493" spans="2:7" x14ac:dyDescent="0.5">
      <c r="B493" s="160" t="s">
        <v>1158</v>
      </c>
      <c r="C493" s="190">
        <v>0.13166666666666582</v>
      </c>
      <c r="D493" s="190">
        <v>5.854514831759744E-2</v>
      </c>
      <c r="E493" s="190">
        <v>2.2489765668095436</v>
      </c>
      <c r="F493" s="190">
        <v>2.5970484488365749E-2</v>
      </c>
      <c r="G493" s="193" t="s">
        <v>351</v>
      </c>
    </row>
    <row r="494" spans="2:7" x14ac:dyDescent="0.5">
      <c r="B494" s="160" t="s">
        <v>1159</v>
      </c>
      <c r="C494" s="190">
        <v>0.12166666666666874</v>
      </c>
      <c r="D494" s="190">
        <v>5.854514831759744E-2</v>
      </c>
      <c r="E494" s="190">
        <v>2.078168219963298</v>
      </c>
      <c r="F494" s="190">
        <v>3.9397540897615012E-2</v>
      </c>
      <c r="G494" s="193" t="s">
        <v>351</v>
      </c>
    </row>
    <row r="495" spans="2:7" x14ac:dyDescent="0.5">
      <c r="B495" s="160" t="s">
        <v>1160</v>
      </c>
      <c r="C495" s="190">
        <v>0.11166666666666579</v>
      </c>
      <c r="D495" s="190">
        <v>5.854514831759744E-2</v>
      </c>
      <c r="E495" s="190">
        <v>1.9073598731169521</v>
      </c>
      <c r="F495" s="190">
        <v>5.8385348145212172E-2</v>
      </c>
      <c r="G495" s="193" t="s">
        <v>352</v>
      </c>
    </row>
    <row r="496" spans="2:7" x14ac:dyDescent="0.5">
      <c r="B496" s="160" t="s">
        <v>1161</v>
      </c>
      <c r="C496" s="190">
        <v>0.10500000000000004</v>
      </c>
      <c r="D496" s="190">
        <v>5.854514831759744E-2</v>
      </c>
      <c r="E496" s="190">
        <v>1.7934876418861039</v>
      </c>
      <c r="F496" s="190">
        <v>7.4909622099051859E-2</v>
      </c>
      <c r="G496" s="193" t="s">
        <v>352</v>
      </c>
    </row>
    <row r="497" spans="2:7" x14ac:dyDescent="0.5">
      <c r="B497" s="160" t="s">
        <v>1162</v>
      </c>
      <c r="C497" s="190">
        <v>9.666666666666586E-2</v>
      </c>
      <c r="D497" s="190">
        <v>5.854514831759744E-2</v>
      </c>
      <c r="E497" s="190">
        <v>1.6511473528475098</v>
      </c>
      <c r="F497" s="190">
        <v>0.10080058920023217</v>
      </c>
      <c r="G497" s="193" t="s">
        <v>352</v>
      </c>
    </row>
    <row r="498" spans="2:7" x14ac:dyDescent="0.5">
      <c r="B498" s="160" t="s">
        <v>1163</v>
      </c>
      <c r="C498" s="190">
        <v>7.8333333333333394E-2</v>
      </c>
      <c r="D498" s="190">
        <v>5.854514831759744E-2</v>
      </c>
      <c r="E498" s="190">
        <v>1.3379987169626495</v>
      </c>
      <c r="F498" s="190">
        <v>0.18292172032384998</v>
      </c>
      <c r="G498" s="193" t="s">
        <v>352</v>
      </c>
    </row>
    <row r="499" spans="2:7" x14ac:dyDescent="0.5">
      <c r="B499" s="160" t="s">
        <v>1164</v>
      </c>
      <c r="C499" s="190">
        <v>6.1666666666665836E-2</v>
      </c>
      <c r="D499" s="190">
        <v>5.854514831759744E-2</v>
      </c>
      <c r="E499" s="190">
        <v>1.0533181388854751</v>
      </c>
      <c r="F499" s="190">
        <v>0.29388897935389968</v>
      </c>
      <c r="G499" s="199" t="s">
        <v>352</v>
      </c>
    </row>
    <row r="500" spans="2:7" x14ac:dyDescent="0.5">
      <c r="B500" s="160" t="s">
        <v>1165</v>
      </c>
      <c r="C500" s="190">
        <v>4.9999999999999947E-2</v>
      </c>
      <c r="D500" s="190">
        <v>5.854514831759744E-2</v>
      </c>
      <c r="E500" s="190">
        <v>0.85404173423147689</v>
      </c>
      <c r="F500" s="190">
        <v>0.39444372329692629</v>
      </c>
      <c r="G500" s="193" t="s">
        <v>352</v>
      </c>
    </row>
    <row r="501" spans="2:7" x14ac:dyDescent="0.5">
      <c r="B501" s="160" t="s">
        <v>1166</v>
      </c>
      <c r="C501" s="190">
        <v>4.1666666666666657E-2</v>
      </c>
      <c r="D501" s="190">
        <v>5.854514831759744E-2</v>
      </c>
      <c r="E501" s="190">
        <v>0.71170144519289802</v>
      </c>
      <c r="F501" s="190">
        <v>0.47775505926744061</v>
      </c>
      <c r="G501" s="193" t="s">
        <v>352</v>
      </c>
    </row>
    <row r="502" spans="2:7" x14ac:dyDescent="0.5">
      <c r="B502" s="160" t="s">
        <v>1167</v>
      </c>
      <c r="C502" s="190">
        <v>9.9999999999999811E-3</v>
      </c>
      <c r="D502" s="190">
        <v>5.854514831759744E-2</v>
      </c>
      <c r="E502" s="190">
        <v>0.17080834684629523</v>
      </c>
      <c r="F502" s="190">
        <v>0.86460465196635417</v>
      </c>
      <c r="G502" s="193" t="s">
        <v>352</v>
      </c>
    </row>
    <row r="503" spans="2:7" x14ac:dyDescent="0.5">
      <c r="B503" s="160" t="s">
        <v>1168</v>
      </c>
      <c r="C503" s="190">
        <v>8.3333333333323878E-3</v>
      </c>
      <c r="D503" s="190">
        <v>5.854514831759744E-2</v>
      </c>
      <c r="E503" s="190">
        <v>0.14234028903856347</v>
      </c>
      <c r="F503" s="190">
        <v>0.88700223532211453</v>
      </c>
      <c r="G503" s="193" t="s">
        <v>352</v>
      </c>
    </row>
    <row r="504" spans="2:7" x14ac:dyDescent="0.5">
      <c r="B504" s="160" t="s">
        <v>1169</v>
      </c>
      <c r="C504" s="190">
        <v>4.9999999999999351E-3</v>
      </c>
      <c r="D504" s="190">
        <v>5.854514831759744E-2</v>
      </c>
      <c r="E504" s="190">
        <v>8.540417342314667E-2</v>
      </c>
      <c r="F504" s="190">
        <v>0.93205396217829972</v>
      </c>
      <c r="G504" s="193" t="s">
        <v>352</v>
      </c>
    </row>
    <row r="505" spans="2:7" x14ac:dyDescent="0.5">
      <c r="B505" s="160" t="s">
        <v>1170</v>
      </c>
      <c r="C505" s="190">
        <v>3.3333333333325083E-3</v>
      </c>
      <c r="D505" s="190">
        <v>5.854514831759744E-2</v>
      </c>
      <c r="E505" s="190">
        <v>5.6936115615417761E-2</v>
      </c>
      <c r="F505" s="190">
        <v>0.95467185750630845</v>
      </c>
      <c r="G505" s="193" t="s">
        <v>352</v>
      </c>
    </row>
    <row r="506" spans="2:7" x14ac:dyDescent="0.5">
      <c r="B506" s="160" t="s">
        <v>1171</v>
      </c>
      <c r="C506" s="190">
        <v>0.1283333333333333</v>
      </c>
      <c r="D506" s="190">
        <v>5.854514831759744E-2</v>
      </c>
      <c r="E506" s="190">
        <v>2.1920404511941256</v>
      </c>
      <c r="F506" s="190">
        <v>2.9918184982982234E-2</v>
      </c>
      <c r="G506" s="193" t="s">
        <v>351</v>
      </c>
    </row>
    <row r="507" spans="2:7" x14ac:dyDescent="0.5">
      <c r="B507" s="160" t="s">
        <v>1172</v>
      </c>
      <c r="C507" s="190">
        <v>0.11833333333333623</v>
      </c>
      <c r="D507" s="190">
        <v>5.854514831759744E-2</v>
      </c>
      <c r="E507" s="190">
        <v>2.02123210434788</v>
      </c>
      <c r="F507" s="190">
        <v>4.503438040951474E-2</v>
      </c>
      <c r="G507" s="193" t="s">
        <v>351</v>
      </c>
    </row>
    <row r="508" spans="2:7" x14ac:dyDescent="0.5">
      <c r="B508" s="160" t="s">
        <v>1173</v>
      </c>
      <c r="C508" s="190">
        <v>0.10833333333333328</v>
      </c>
      <c r="D508" s="190">
        <v>5.854514831759744E-2</v>
      </c>
      <c r="E508" s="190">
        <v>1.8504237575015343</v>
      </c>
      <c r="F508" s="190">
        <v>6.62196253492012E-2</v>
      </c>
      <c r="G508" s="193" t="s">
        <v>352</v>
      </c>
    </row>
    <row r="509" spans="2:7" x14ac:dyDescent="0.5">
      <c r="B509" s="160" t="s">
        <v>1174</v>
      </c>
      <c r="C509" s="190">
        <v>0.10166666666666753</v>
      </c>
      <c r="D509" s="190">
        <v>5.854514831759744E-2</v>
      </c>
      <c r="E509" s="190">
        <v>1.7365515262706861</v>
      </c>
      <c r="F509" s="190">
        <v>8.4519416170789327E-2</v>
      </c>
      <c r="G509" s="193" t="s">
        <v>352</v>
      </c>
    </row>
    <row r="510" spans="2:7" x14ac:dyDescent="0.5">
      <c r="B510" s="160" t="s">
        <v>1175</v>
      </c>
      <c r="C510" s="190">
        <v>9.3333333333333351E-2</v>
      </c>
      <c r="D510" s="190">
        <v>5.854514831759744E-2</v>
      </c>
      <c r="E510" s="190">
        <v>1.5942112372320922</v>
      </c>
      <c r="F510" s="190">
        <v>0.11299365958796505</v>
      </c>
      <c r="G510" s="193" t="s">
        <v>352</v>
      </c>
    </row>
    <row r="511" spans="2:7" x14ac:dyDescent="0.5">
      <c r="B511" s="160" t="s">
        <v>1176</v>
      </c>
      <c r="C511" s="190">
        <v>7.5000000000000885E-2</v>
      </c>
      <c r="D511" s="190">
        <v>5.854514831759744E-2</v>
      </c>
      <c r="E511" s="190">
        <v>1.2810626013472317</v>
      </c>
      <c r="F511" s="190">
        <v>0.20214871114883259</v>
      </c>
      <c r="G511" s="193" t="s">
        <v>352</v>
      </c>
    </row>
    <row r="512" spans="2:7" x14ac:dyDescent="0.5">
      <c r="B512" s="160" t="s">
        <v>1177</v>
      </c>
      <c r="C512" s="190">
        <v>5.8333333333333327E-2</v>
      </c>
      <c r="D512" s="190">
        <v>5.854514831759744E-2</v>
      </c>
      <c r="E512" s="190">
        <v>0.99638202327005732</v>
      </c>
      <c r="F512" s="190">
        <v>0.32066918011770557</v>
      </c>
      <c r="G512" s="193" t="s">
        <v>352</v>
      </c>
    </row>
    <row r="513" spans="2:7" x14ac:dyDescent="0.5">
      <c r="B513" s="160" t="s">
        <v>1178</v>
      </c>
      <c r="C513" s="190">
        <v>4.6666666666667439E-2</v>
      </c>
      <c r="D513" s="190">
        <v>5.854514831759744E-2</v>
      </c>
      <c r="E513" s="190">
        <v>0.79710561861605911</v>
      </c>
      <c r="F513" s="190">
        <v>0.42664961330194007</v>
      </c>
      <c r="G513" s="193" t="s">
        <v>352</v>
      </c>
    </row>
    <row r="514" spans="2:7" x14ac:dyDescent="0.5">
      <c r="B514" s="160" t="s">
        <v>1179</v>
      </c>
      <c r="C514" s="190">
        <v>3.8333333333334149E-2</v>
      </c>
      <c r="D514" s="190">
        <v>5.854514831759744E-2</v>
      </c>
      <c r="E514" s="190">
        <v>0.65476532957748024</v>
      </c>
      <c r="F514" s="190">
        <v>0.51362162461012972</v>
      </c>
      <c r="G514" s="199" t="s">
        <v>352</v>
      </c>
    </row>
    <row r="515" spans="2:7" x14ac:dyDescent="0.5">
      <c r="B515" s="160" t="s">
        <v>1180</v>
      </c>
      <c r="C515" s="190">
        <v>6.6666666666674729E-3</v>
      </c>
      <c r="D515" s="190">
        <v>5.854514831759744E-2</v>
      </c>
      <c r="E515" s="190">
        <v>0.11387223123087747</v>
      </c>
      <c r="F515" s="190">
        <v>0.90949134986317914</v>
      </c>
      <c r="G515" s="193" t="s">
        <v>352</v>
      </c>
    </row>
    <row r="516" spans="2:7" x14ac:dyDescent="0.5">
      <c r="B516" s="160" t="s">
        <v>1181</v>
      </c>
      <c r="C516" s="190">
        <v>4.9999999999998795E-3</v>
      </c>
      <c r="D516" s="190">
        <v>5.854514831759744E-2</v>
      </c>
      <c r="E516" s="190">
        <v>8.5404173423145713E-2</v>
      </c>
      <c r="F516" s="190">
        <v>0.93205396217829972</v>
      </c>
      <c r="G516" s="193" t="s">
        <v>352</v>
      </c>
    </row>
    <row r="517" spans="2:7" x14ac:dyDescent="0.5">
      <c r="B517" s="160" t="s">
        <v>1182</v>
      </c>
      <c r="C517" s="190">
        <v>1.6666666666674268E-3</v>
      </c>
      <c r="D517" s="190">
        <v>5.854514831759744E-2</v>
      </c>
      <c r="E517" s="190">
        <v>2.846805780772891E-2</v>
      </c>
      <c r="F517" s="190">
        <v>0.97732668440624715</v>
      </c>
      <c r="G517" s="193" t="s">
        <v>352</v>
      </c>
    </row>
    <row r="518" spans="2:7" x14ac:dyDescent="0.5">
      <c r="B518" s="160" t="s">
        <v>1183</v>
      </c>
      <c r="C518" s="190">
        <v>0.12666666666666587</v>
      </c>
      <c r="D518" s="190">
        <v>5.854514831759744E-2</v>
      </c>
      <c r="E518" s="190">
        <v>2.1635723933863966</v>
      </c>
      <c r="F518" s="190">
        <v>3.2080501369167118E-2</v>
      </c>
      <c r="G518" s="193" t="s">
        <v>351</v>
      </c>
    </row>
    <row r="519" spans="2:7" x14ac:dyDescent="0.5">
      <c r="B519" s="160" t="s">
        <v>1184</v>
      </c>
      <c r="C519" s="190">
        <v>0.11666666666666881</v>
      </c>
      <c r="D519" s="190">
        <v>5.854514831759744E-2</v>
      </c>
      <c r="E519" s="190">
        <v>1.9927640465401513</v>
      </c>
      <c r="F519" s="190">
        <v>4.8101445115902364E-2</v>
      </c>
      <c r="G519" s="193" t="s">
        <v>351</v>
      </c>
    </row>
    <row r="520" spans="2:7" x14ac:dyDescent="0.5">
      <c r="B520" s="160" t="s">
        <v>1185</v>
      </c>
      <c r="C520" s="190">
        <v>0.10666666666666585</v>
      </c>
      <c r="D520" s="190">
        <v>5.854514831759744E-2</v>
      </c>
      <c r="E520" s="190">
        <v>1.8219556996938053</v>
      </c>
      <c r="F520" s="190">
        <v>7.0453677736173795E-2</v>
      </c>
      <c r="G520" s="193" t="s">
        <v>352</v>
      </c>
    </row>
    <row r="521" spans="2:7" x14ac:dyDescent="0.5">
      <c r="B521" s="160" t="s">
        <v>1186</v>
      </c>
      <c r="C521" s="190">
        <v>0.1000000000000001</v>
      </c>
      <c r="D521" s="190">
        <v>5.854514831759744E-2</v>
      </c>
      <c r="E521" s="190">
        <v>1.7080834684629573</v>
      </c>
      <c r="F521" s="190">
        <v>8.9689480672908883E-2</v>
      </c>
      <c r="G521" s="193" t="s">
        <v>352</v>
      </c>
    </row>
    <row r="522" spans="2:7" x14ac:dyDescent="0.5">
      <c r="B522" s="160" t="s">
        <v>1187</v>
      </c>
      <c r="C522" s="190">
        <v>9.1666666666665925E-2</v>
      </c>
      <c r="D522" s="190">
        <v>5.854514831759744E-2</v>
      </c>
      <c r="E522" s="190">
        <v>1.5657431794243633</v>
      </c>
      <c r="F522" s="190">
        <v>0.11951598293288951</v>
      </c>
      <c r="G522" s="193" t="s">
        <v>352</v>
      </c>
    </row>
    <row r="523" spans="2:7" x14ac:dyDescent="0.5">
      <c r="B523" s="160" t="s">
        <v>1188</v>
      </c>
      <c r="C523" s="190">
        <v>7.3333333333333459E-2</v>
      </c>
      <c r="D523" s="190">
        <v>5.854514831759744E-2</v>
      </c>
      <c r="E523" s="190">
        <v>1.2525945435395029</v>
      </c>
      <c r="F523" s="190">
        <v>0.21230262586996451</v>
      </c>
      <c r="G523" s="193" t="s">
        <v>352</v>
      </c>
    </row>
    <row r="524" spans="2:7" x14ac:dyDescent="0.5">
      <c r="B524" s="160" t="s">
        <v>1189</v>
      </c>
      <c r="C524" s="190">
        <v>5.6666666666665901E-2</v>
      </c>
      <c r="D524" s="190">
        <v>5.854514831759744E-2</v>
      </c>
      <c r="E524" s="190">
        <v>0.96791396546232833</v>
      </c>
      <c r="F524" s="190">
        <v>0.33464537718595461</v>
      </c>
      <c r="G524" s="193" t="s">
        <v>352</v>
      </c>
    </row>
    <row r="525" spans="2:7" x14ac:dyDescent="0.5">
      <c r="B525" s="160" t="s">
        <v>1190</v>
      </c>
      <c r="C525" s="190">
        <v>4.5000000000000012E-2</v>
      </c>
      <c r="D525" s="190">
        <v>5.854514831759744E-2</v>
      </c>
      <c r="E525" s="190">
        <v>0.76863756080833023</v>
      </c>
      <c r="F525" s="190">
        <v>0.44331699284334469</v>
      </c>
      <c r="G525" s="193" t="s">
        <v>352</v>
      </c>
    </row>
    <row r="526" spans="2:7" x14ac:dyDescent="0.5">
      <c r="B526" s="160" t="s">
        <v>1191</v>
      </c>
      <c r="C526" s="190">
        <v>3.6666666666666722E-2</v>
      </c>
      <c r="D526" s="190">
        <v>5.854514831759744E-2</v>
      </c>
      <c r="E526" s="190">
        <v>0.62629727176975136</v>
      </c>
      <c r="F526" s="190">
        <v>0.53207189549562539</v>
      </c>
      <c r="G526" s="193" t="s">
        <v>352</v>
      </c>
    </row>
    <row r="527" spans="2:7" x14ac:dyDescent="0.5">
      <c r="B527" s="160" t="s">
        <v>1192</v>
      </c>
      <c r="C527" s="190">
        <v>5.0000000000000461E-3</v>
      </c>
      <c r="D527" s="190">
        <v>5.854514831759744E-2</v>
      </c>
      <c r="E527" s="190">
        <v>8.5404173423148558E-2</v>
      </c>
      <c r="F527" s="190">
        <v>0.93205396217829972</v>
      </c>
      <c r="G527" s="193" t="s">
        <v>352</v>
      </c>
    </row>
    <row r="528" spans="2:7" x14ac:dyDescent="0.5">
      <c r="B528" s="160" t="s">
        <v>1193</v>
      </c>
      <c r="C528" s="190">
        <v>3.3333333333324527E-3</v>
      </c>
      <c r="D528" s="190">
        <v>5.854514831759744E-2</v>
      </c>
      <c r="E528" s="190">
        <v>5.693611561541681E-2</v>
      </c>
      <c r="F528" s="190">
        <v>0.95467185750630845</v>
      </c>
      <c r="G528" s="193" t="s">
        <v>352</v>
      </c>
    </row>
    <row r="529" spans="2:7" x14ac:dyDescent="0.5">
      <c r="B529" s="160" t="s">
        <v>1194</v>
      </c>
      <c r="C529" s="190">
        <v>0.12333333333333343</v>
      </c>
      <c r="D529" s="190">
        <v>5.854514831759744E-2</v>
      </c>
      <c r="E529" s="190">
        <v>2.1066362777709804</v>
      </c>
      <c r="F529" s="190">
        <v>3.6813601633526039E-2</v>
      </c>
      <c r="G529" s="193" t="s">
        <v>351</v>
      </c>
    </row>
    <row r="530" spans="2:7" x14ac:dyDescent="0.5">
      <c r="B530" s="160" t="s">
        <v>1195</v>
      </c>
      <c r="C530" s="190">
        <v>0.11333333333333635</v>
      </c>
      <c r="D530" s="190">
        <v>5.854514831759744E-2</v>
      </c>
      <c r="E530" s="190">
        <v>1.9358279309247346</v>
      </c>
      <c r="F530" s="190">
        <v>5.4769411625961273E-2</v>
      </c>
      <c r="G530" s="193" t="s">
        <v>352</v>
      </c>
    </row>
    <row r="531" spans="2:7" x14ac:dyDescent="0.5">
      <c r="B531" s="160" t="s">
        <v>1196</v>
      </c>
      <c r="C531" s="190">
        <v>0.1033333333333334</v>
      </c>
      <c r="D531" s="190">
        <v>5.854514831759744E-2</v>
      </c>
      <c r="E531" s="190">
        <v>1.7650195840783884</v>
      </c>
      <c r="F531" s="190">
        <v>7.9595504018645374E-2</v>
      </c>
      <c r="G531" s="193" t="s">
        <v>352</v>
      </c>
    </row>
    <row r="532" spans="2:7" x14ac:dyDescent="0.5">
      <c r="B532" s="160" t="s">
        <v>1197</v>
      </c>
      <c r="C532" s="190">
        <v>9.666666666666765E-2</v>
      </c>
      <c r="D532" s="190">
        <v>5.854514831759744E-2</v>
      </c>
      <c r="E532" s="190">
        <v>1.6511473528475404</v>
      </c>
      <c r="F532" s="190">
        <v>0.10080058920022684</v>
      </c>
      <c r="G532" s="193" t="s">
        <v>352</v>
      </c>
    </row>
    <row r="533" spans="2:7" x14ac:dyDescent="0.5">
      <c r="B533" s="160" t="s">
        <v>1198</v>
      </c>
      <c r="C533" s="190">
        <v>8.8333333333333472E-2</v>
      </c>
      <c r="D533" s="190">
        <v>5.854514831759744E-2</v>
      </c>
      <c r="E533" s="190">
        <v>1.5088070638089464</v>
      </c>
      <c r="F533" s="190">
        <v>0.13345153936405924</v>
      </c>
      <c r="G533" s="193" t="s">
        <v>352</v>
      </c>
    </row>
    <row r="534" spans="2:7" x14ac:dyDescent="0.5">
      <c r="B534" s="160" t="s">
        <v>1199</v>
      </c>
      <c r="C534" s="190">
        <v>7.0000000000001006E-2</v>
      </c>
      <c r="D534" s="190">
        <v>5.854514831759744E-2</v>
      </c>
      <c r="E534" s="190">
        <v>1.1956584279240861</v>
      </c>
      <c r="F534" s="190">
        <v>0.23371664138649051</v>
      </c>
      <c r="G534" s="193" t="s">
        <v>352</v>
      </c>
    </row>
    <row r="535" spans="2:7" x14ac:dyDescent="0.5">
      <c r="B535" s="160" t="s">
        <v>1200</v>
      </c>
      <c r="C535" s="190">
        <v>5.3333333333333448E-2</v>
      </c>
      <c r="D535" s="190">
        <v>5.854514831759744E-2</v>
      </c>
      <c r="E535" s="190">
        <v>0.91097784984691155</v>
      </c>
      <c r="F535" s="190">
        <v>0.36376866750354869</v>
      </c>
      <c r="G535" s="193" t="s">
        <v>352</v>
      </c>
    </row>
    <row r="536" spans="2:7" x14ac:dyDescent="0.5">
      <c r="B536" s="160" t="s">
        <v>1201</v>
      </c>
      <c r="C536" s="190">
        <v>4.1666666666667559E-2</v>
      </c>
      <c r="D536" s="190">
        <v>5.854514831759744E-2</v>
      </c>
      <c r="E536" s="190">
        <v>0.71170144519291334</v>
      </c>
      <c r="F536" s="190">
        <v>0.47775505926743328</v>
      </c>
      <c r="G536" s="199" t="s">
        <v>352</v>
      </c>
    </row>
    <row r="537" spans="2:7" x14ac:dyDescent="0.5">
      <c r="B537" s="160" t="s">
        <v>1202</v>
      </c>
      <c r="C537" s="190">
        <v>3.333333333333427E-2</v>
      </c>
      <c r="D537" s="190">
        <v>5.854514831759744E-2</v>
      </c>
      <c r="E537" s="190">
        <v>0.56936115615433447</v>
      </c>
      <c r="F537" s="190">
        <v>0.56996269374914188</v>
      </c>
      <c r="G537" s="193" t="s">
        <v>352</v>
      </c>
    </row>
    <row r="538" spans="2:7" x14ac:dyDescent="0.5">
      <c r="B538" s="160" t="s">
        <v>1203</v>
      </c>
      <c r="C538" s="190">
        <v>1.6666666666675933E-3</v>
      </c>
      <c r="D538" s="190">
        <v>5.854514831759744E-2</v>
      </c>
      <c r="E538" s="190">
        <v>2.8468057807731754E-2</v>
      </c>
      <c r="F538" s="190">
        <v>0.97732668440624715</v>
      </c>
      <c r="G538" s="193" t="s">
        <v>352</v>
      </c>
    </row>
    <row r="539" spans="2:7" x14ac:dyDescent="0.5">
      <c r="B539" s="160" t="s">
        <v>1204</v>
      </c>
      <c r="C539" s="190">
        <v>0.12166666666666584</v>
      </c>
      <c r="D539" s="190">
        <v>5.854514831759744E-2</v>
      </c>
      <c r="E539" s="190">
        <v>2.0781682199632483</v>
      </c>
      <c r="F539" s="190">
        <v>3.9397540897619369E-2</v>
      </c>
      <c r="G539" s="193" t="s">
        <v>351</v>
      </c>
    </row>
    <row r="540" spans="2:7" x14ac:dyDescent="0.5">
      <c r="B540" s="160" t="s">
        <v>1205</v>
      </c>
      <c r="C540" s="190">
        <v>0.11166666666666876</v>
      </c>
      <c r="D540" s="190">
        <v>5.854514831759744E-2</v>
      </c>
      <c r="E540" s="190">
        <v>1.9073598731170027</v>
      </c>
      <c r="F540" s="190">
        <v>5.8385348145205004E-2</v>
      </c>
      <c r="G540" s="193" t="s">
        <v>352</v>
      </c>
    </row>
    <row r="541" spans="2:7" x14ac:dyDescent="0.5">
      <c r="B541" s="160" t="s">
        <v>1206</v>
      </c>
      <c r="C541" s="190">
        <v>0.10166666666666581</v>
      </c>
      <c r="D541" s="190">
        <v>5.854514831759744E-2</v>
      </c>
      <c r="E541" s="190">
        <v>1.7365515262706568</v>
      </c>
      <c r="F541" s="190">
        <v>8.4519416170794615E-2</v>
      </c>
      <c r="G541" s="193" t="s">
        <v>352</v>
      </c>
    </row>
    <row r="542" spans="2:7" x14ac:dyDescent="0.5">
      <c r="B542" s="160" t="s">
        <v>1207</v>
      </c>
      <c r="C542" s="190">
        <v>9.5000000000000057E-2</v>
      </c>
      <c r="D542" s="190">
        <v>5.854514831759744E-2</v>
      </c>
      <c r="E542" s="190">
        <v>1.6226792950398088</v>
      </c>
      <c r="F542" s="190">
        <v>0.10675785131667959</v>
      </c>
      <c r="G542" s="193" t="s">
        <v>352</v>
      </c>
    </row>
    <row r="543" spans="2:7" x14ac:dyDescent="0.5">
      <c r="B543" s="160" t="s">
        <v>1208</v>
      </c>
      <c r="C543" s="190">
        <v>8.6666666666665879E-2</v>
      </c>
      <c r="D543" s="190">
        <v>5.854514831759744E-2</v>
      </c>
      <c r="E543" s="190">
        <v>1.4803390060012147</v>
      </c>
      <c r="F543" s="190">
        <v>0.14088012561882265</v>
      </c>
      <c r="G543" s="193" t="s">
        <v>352</v>
      </c>
    </row>
    <row r="544" spans="2:7" x14ac:dyDescent="0.5">
      <c r="B544" s="160" t="s">
        <v>1209</v>
      </c>
      <c r="C544" s="190">
        <v>6.8333333333333413E-2</v>
      </c>
      <c r="D544" s="190">
        <v>5.854514831759744E-2</v>
      </c>
      <c r="E544" s="190">
        <v>1.1671903701163544</v>
      </c>
      <c r="F544" s="190">
        <v>0.24498560749618378</v>
      </c>
      <c r="G544" s="193" t="s">
        <v>352</v>
      </c>
    </row>
    <row r="545" spans="2:7" x14ac:dyDescent="0.5">
      <c r="B545" s="160" t="s">
        <v>1210</v>
      </c>
      <c r="C545" s="190">
        <v>5.1666666666665854E-2</v>
      </c>
      <c r="D545" s="190">
        <v>5.854514831759744E-2</v>
      </c>
      <c r="E545" s="190">
        <v>0.88250979203917979</v>
      </c>
      <c r="F545" s="190">
        <v>0.37891327142430403</v>
      </c>
      <c r="G545" s="193" t="s">
        <v>352</v>
      </c>
    </row>
    <row r="546" spans="2:7" x14ac:dyDescent="0.5">
      <c r="B546" s="160" t="s">
        <v>1211</v>
      </c>
      <c r="C546" s="190">
        <v>3.9999999999999966E-2</v>
      </c>
      <c r="D546" s="190">
        <v>5.854514831759744E-2</v>
      </c>
      <c r="E546" s="190">
        <v>0.68323338738518158</v>
      </c>
      <c r="F546" s="190">
        <v>0.49551333762463839</v>
      </c>
      <c r="G546" s="193" t="s">
        <v>352</v>
      </c>
    </row>
    <row r="547" spans="2:7" x14ac:dyDescent="0.5">
      <c r="B547" s="160" t="s">
        <v>1212</v>
      </c>
      <c r="C547" s="190">
        <v>3.1666666666666676E-2</v>
      </c>
      <c r="D547" s="190">
        <v>5.854514831759744E-2</v>
      </c>
      <c r="E547" s="190">
        <v>0.54089309834660271</v>
      </c>
      <c r="F547" s="190">
        <v>0.58938360182429173</v>
      </c>
      <c r="G547" s="193" t="s">
        <v>352</v>
      </c>
    </row>
    <row r="548" spans="2:7" x14ac:dyDescent="0.5">
      <c r="B548" s="160" t="s">
        <v>1213</v>
      </c>
      <c r="C548" s="190">
        <v>8.9999999999999164E-2</v>
      </c>
      <c r="D548" s="190">
        <v>5.854514831759744E-2</v>
      </c>
      <c r="E548" s="190">
        <v>1.5372751216166456</v>
      </c>
      <c r="F548" s="190">
        <v>0.12633269289048821</v>
      </c>
      <c r="G548" s="193" t="s">
        <v>352</v>
      </c>
    </row>
    <row r="549" spans="2:7" x14ac:dyDescent="0.5">
      <c r="B549" s="160" t="s">
        <v>1214</v>
      </c>
      <c r="C549" s="190">
        <v>8.0000000000002083E-2</v>
      </c>
      <c r="D549" s="190">
        <v>5.854514831759744E-2</v>
      </c>
      <c r="E549" s="190">
        <v>1.3664667747704</v>
      </c>
      <c r="F549" s="190">
        <v>0.17383734726865765</v>
      </c>
      <c r="G549" s="193" t="s">
        <v>352</v>
      </c>
    </row>
    <row r="550" spans="2:7" x14ac:dyDescent="0.5">
      <c r="B550" s="160" t="s">
        <v>1215</v>
      </c>
      <c r="C550" s="190">
        <v>6.9999999999999132E-2</v>
      </c>
      <c r="D550" s="190">
        <v>5.854514831759744E-2</v>
      </c>
      <c r="E550" s="190">
        <v>1.1956584279240541</v>
      </c>
      <c r="F550" s="190">
        <v>0.23371664138650433</v>
      </c>
      <c r="G550" s="193" t="s">
        <v>352</v>
      </c>
    </row>
    <row r="551" spans="2:7" x14ac:dyDescent="0.5">
      <c r="B551" s="160" t="s">
        <v>1216</v>
      </c>
      <c r="C551" s="190">
        <v>6.333333333333338E-2</v>
      </c>
      <c r="D551" s="190">
        <v>5.854514831759744E-2</v>
      </c>
      <c r="E551" s="190">
        <v>1.0817861966932059</v>
      </c>
      <c r="F551" s="190">
        <v>0.28108360001942162</v>
      </c>
      <c r="G551" s="193" t="s">
        <v>352</v>
      </c>
    </row>
    <row r="552" spans="2:7" x14ac:dyDescent="0.5">
      <c r="B552" s="160" t="s">
        <v>1217</v>
      </c>
      <c r="C552" s="190">
        <v>5.4999999999999202E-2</v>
      </c>
      <c r="D552" s="190">
        <v>5.854514831759744E-2</v>
      </c>
      <c r="E552" s="190">
        <v>0.93944590765461189</v>
      </c>
      <c r="F552" s="190">
        <v>0.34901217616956826</v>
      </c>
      <c r="G552" s="193" t="s">
        <v>352</v>
      </c>
    </row>
    <row r="553" spans="2:7" x14ac:dyDescent="0.5">
      <c r="B553" s="160" t="s">
        <v>1218</v>
      </c>
      <c r="C553" s="190">
        <v>3.6666666666666736E-2</v>
      </c>
      <c r="D553" s="190">
        <v>5.854514831759744E-2</v>
      </c>
      <c r="E553" s="190">
        <v>0.62629727176975158</v>
      </c>
      <c r="F553" s="190">
        <v>0.53207189549562539</v>
      </c>
      <c r="G553" s="193" t="s">
        <v>352</v>
      </c>
    </row>
    <row r="554" spans="2:7" x14ac:dyDescent="0.5">
      <c r="B554" s="160" t="s">
        <v>1219</v>
      </c>
      <c r="C554" s="190">
        <v>1.9999999999999178E-2</v>
      </c>
      <c r="D554" s="190">
        <v>5.854514831759744E-2</v>
      </c>
      <c r="E554" s="190">
        <v>0.34161669369257708</v>
      </c>
      <c r="F554" s="190">
        <v>0.73311747810200878</v>
      </c>
      <c r="G554" s="193" t="s">
        <v>352</v>
      </c>
    </row>
    <row r="555" spans="2:7" x14ac:dyDescent="0.5">
      <c r="B555" s="160" t="s">
        <v>1220</v>
      </c>
      <c r="C555" s="190">
        <v>8.3333333333332898E-3</v>
      </c>
      <c r="D555" s="190">
        <v>5.854514831759744E-2</v>
      </c>
      <c r="E555" s="190">
        <v>0.14234028903857887</v>
      </c>
      <c r="F555" s="190">
        <v>0.88700223532206834</v>
      </c>
      <c r="G555" s="193" t="s">
        <v>352</v>
      </c>
    </row>
    <row r="556" spans="2:7" x14ac:dyDescent="0.5">
      <c r="B556" s="160" t="s">
        <v>1221</v>
      </c>
      <c r="C556" s="190">
        <v>8.1666666666665874E-2</v>
      </c>
      <c r="D556" s="190">
        <v>5.854514831759744E-2</v>
      </c>
      <c r="E556" s="190">
        <v>1.3949348325780668</v>
      </c>
      <c r="F556" s="190">
        <v>0.16509761277533488</v>
      </c>
      <c r="G556" s="193" t="s">
        <v>352</v>
      </c>
    </row>
    <row r="557" spans="2:7" x14ac:dyDescent="0.5">
      <c r="B557" s="160" t="s">
        <v>1222</v>
      </c>
      <c r="C557" s="190">
        <v>7.1666666666668793E-2</v>
      </c>
      <c r="D557" s="190">
        <v>5.854514831759744E-2</v>
      </c>
      <c r="E557" s="190">
        <v>1.224126485731821</v>
      </c>
      <c r="F557" s="190">
        <v>0.22282371733321432</v>
      </c>
      <c r="G557" s="193" t="s">
        <v>352</v>
      </c>
    </row>
    <row r="558" spans="2:7" x14ac:dyDescent="0.5">
      <c r="B558" s="160" t="s">
        <v>1223</v>
      </c>
      <c r="C558" s="190">
        <v>6.1666666666665843E-2</v>
      </c>
      <c r="D558" s="190">
        <v>5.854514831759744E-2</v>
      </c>
      <c r="E558" s="190">
        <v>1.0533181388854751</v>
      </c>
      <c r="F558" s="190">
        <v>0.29388897935389968</v>
      </c>
      <c r="G558" s="193" t="s">
        <v>352</v>
      </c>
    </row>
    <row r="559" spans="2:7" x14ac:dyDescent="0.5">
      <c r="B559" s="160" t="s">
        <v>1224</v>
      </c>
      <c r="C559" s="190">
        <v>5.500000000000009E-2</v>
      </c>
      <c r="D559" s="190">
        <v>5.854514831759744E-2</v>
      </c>
      <c r="E559" s="190">
        <v>0.9394459076546271</v>
      </c>
      <c r="F559" s="190">
        <v>0.34901217616956393</v>
      </c>
      <c r="G559" s="193" t="s">
        <v>352</v>
      </c>
    </row>
    <row r="560" spans="2:7" x14ac:dyDescent="0.5">
      <c r="B560" s="160" t="s">
        <v>1225</v>
      </c>
      <c r="C560" s="190">
        <v>4.6666666666665912E-2</v>
      </c>
      <c r="D560" s="190">
        <v>5.854514831759744E-2</v>
      </c>
      <c r="E560" s="190">
        <v>0.79710561861603302</v>
      </c>
      <c r="F560" s="190">
        <v>0.42664961330195239</v>
      </c>
      <c r="G560" s="193" t="s">
        <v>352</v>
      </c>
    </row>
    <row r="561" spans="2:7" x14ac:dyDescent="0.5">
      <c r="B561" s="160" t="s">
        <v>1226</v>
      </c>
      <c r="C561" s="190">
        <v>2.8333333333333446E-2</v>
      </c>
      <c r="D561" s="190">
        <v>5.854514831759744E-2</v>
      </c>
      <c r="E561" s="190">
        <v>0.48395698273117266</v>
      </c>
      <c r="F561" s="190">
        <v>0.62912220078374204</v>
      </c>
      <c r="G561" s="193" t="s">
        <v>352</v>
      </c>
    </row>
    <row r="562" spans="2:7" x14ac:dyDescent="0.5">
      <c r="B562" s="160" t="s">
        <v>1227</v>
      </c>
      <c r="C562" s="190">
        <v>1.1666666666665888E-2</v>
      </c>
      <c r="D562" s="190">
        <v>5.854514831759744E-2</v>
      </c>
      <c r="E562" s="190">
        <v>0.19927640465399818</v>
      </c>
      <c r="F562" s="190">
        <v>0.84231640794180374</v>
      </c>
      <c r="G562" s="193" t="s">
        <v>352</v>
      </c>
    </row>
    <row r="563" spans="2:7" x14ac:dyDescent="0.5">
      <c r="B563" s="160" t="s">
        <v>1228</v>
      </c>
      <c r="C563" s="190">
        <v>6.9999999999999979E-2</v>
      </c>
      <c r="D563" s="190">
        <v>5.854514831759744E-2</v>
      </c>
      <c r="E563" s="190">
        <v>1.1956584279240685</v>
      </c>
      <c r="F563" s="190">
        <v>0.23371664138649886</v>
      </c>
      <c r="G563" s="193" t="s">
        <v>352</v>
      </c>
    </row>
    <row r="564" spans="2:7" x14ac:dyDescent="0.5">
      <c r="B564" s="160" t="s">
        <v>1229</v>
      </c>
      <c r="C564" s="190">
        <v>6.0000000000002905E-2</v>
      </c>
      <c r="D564" s="190">
        <v>5.854514831759744E-2</v>
      </c>
      <c r="E564" s="190">
        <v>1.0248500810778229</v>
      </c>
      <c r="F564" s="190">
        <v>0.30708384078119255</v>
      </c>
      <c r="G564" s="193" t="s">
        <v>352</v>
      </c>
    </row>
    <row r="565" spans="2:7" x14ac:dyDescent="0.5">
      <c r="B565" s="160" t="s">
        <v>1230</v>
      </c>
      <c r="C565" s="190">
        <v>4.9999999999999961E-2</v>
      </c>
      <c r="D565" s="190">
        <v>5.854514831759744E-2</v>
      </c>
      <c r="E565" s="190">
        <v>0.85404173423147711</v>
      </c>
      <c r="F565" s="190">
        <v>0.39444372329692629</v>
      </c>
      <c r="G565" s="193" t="s">
        <v>352</v>
      </c>
    </row>
    <row r="566" spans="2:7" x14ac:dyDescent="0.5">
      <c r="B566" s="160" t="s">
        <v>1231</v>
      </c>
      <c r="C566" s="190">
        <v>4.3333333333334209E-2</v>
      </c>
      <c r="D566" s="190">
        <v>5.854514831759744E-2</v>
      </c>
      <c r="E566" s="190">
        <v>0.740169503000629</v>
      </c>
      <c r="F566" s="190">
        <v>0.46035408795711041</v>
      </c>
      <c r="G566" s="193" t="s">
        <v>352</v>
      </c>
    </row>
    <row r="567" spans="2:7" x14ac:dyDescent="0.5">
      <c r="B567" s="160" t="s">
        <v>1232</v>
      </c>
      <c r="C567" s="190">
        <v>3.5000000000000031E-2</v>
      </c>
      <c r="D567" s="190">
        <v>5.854514831759744E-2</v>
      </c>
      <c r="E567" s="190">
        <v>0.59782921396203492</v>
      </c>
      <c r="F567" s="190">
        <v>0.55085540469669825</v>
      </c>
      <c r="G567" s="193" t="s">
        <v>352</v>
      </c>
    </row>
    <row r="568" spans="2:7" x14ac:dyDescent="0.5">
      <c r="B568" s="160" t="s">
        <v>1233</v>
      </c>
      <c r="C568" s="190">
        <v>1.6666666666667558E-2</v>
      </c>
      <c r="D568" s="190">
        <v>5.854514831759744E-2</v>
      </c>
      <c r="E568" s="190">
        <v>0.28468057807717451</v>
      </c>
      <c r="F568" s="190">
        <v>0.77628151969237857</v>
      </c>
      <c r="G568" s="193" t="s">
        <v>352</v>
      </c>
    </row>
    <row r="569" spans="2:7" x14ac:dyDescent="0.5">
      <c r="B569" s="160" t="s">
        <v>1234</v>
      </c>
      <c r="C569" s="190">
        <v>5.3333333333332421E-2</v>
      </c>
      <c r="D569" s="190">
        <v>5.854514831759744E-2</v>
      </c>
      <c r="E569" s="190">
        <v>0.91097784984689401</v>
      </c>
      <c r="F569" s="190">
        <v>0.3637686675035583</v>
      </c>
      <c r="G569" s="193" t="s">
        <v>352</v>
      </c>
    </row>
    <row r="570" spans="2:7" x14ac:dyDescent="0.5">
      <c r="B570" s="160" t="s">
        <v>1235</v>
      </c>
      <c r="C570" s="190">
        <v>4.3333333333335347E-2</v>
      </c>
      <c r="D570" s="190">
        <v>5.854514831759744E-2</v>
      </c>
      <c r="E570" s="190">
        <v>0.74016950300064843</v>
      </c>
      <c r="F570" s="190">
        <v>0.46035408795709676</v>
      </c>
      <c r="G570" s="193" t="s">
        <v>352</v>
      </c>
    </row>
    <row r="571" spans="2:7" x14ac:dyDescent="0.5">
      <c r="B571" s="160" t="s">
        <v>1236</v>
      </c>
      <c r="C571" s="190">
        <v>3.3333333333332396E-2</v>
      </c>
      <c r="D571" s="190">
        <v>5.854514831759744E-2</v>
      </c>
      <c r="E571" s="190">
        <v>0.56936115615430249</v>
      </c>
      <c r="F571" s="190">
        <v>0.56996269374916186</v>
      </c>
      <c r="G571" s="199" t="s">
        <v>352</v>
      </c>
    </row>
    <row r="572" spans="2:7" x14ac:dyDescent="0.5">
      <c r="B572" s="160" t="s">
        <v>1237</v>
      </c>
      <c r="C572" s="190">
        <v>2.6666666666666648E-2</v>
      </c>
      <c r="D572" s="190">
        <v>5.854514831759744E-2</v>
      </c>
      <c r="E572" s="190">
        <v>0.4554889249234545</v>
      </c>
      <c r="F572" s="190">
        <v>0.64941618834883774</v>
      </c>
      <c r="G572" s="193" t="s">
        <v>352</v>
      </c>
    </row>
    <row r="573" spans="2:7" x14ac:dyDescent="0.5">
      <c r="B573" s="160" t="s">
        <v>1238</v>
      </c>
      <c r="C573" s="190">
        <v>1.833333333333247E-2</v>
      </c>
      <c r="D573" s="190">
        <v>5.854514831759744E-2</v>
      </c>
      <c r="E573" s="190">
        <v>0.31314863588486042</v>
      </c>
      <c r="F573" s="190">
        <v>0.75460272933273687</v>
      </c>
      <c r="G573" s="193" t="s">
        <v>352</v>
      </c>
    </row>
    <row r="574" spans="2:7" x14ac:dyDescent="0.5">
      <c r="B574" s="160" t="s">
        <v>1239</v>
      </c>
      <c r="C574" s="190">
        <v>3.4999999999999955E-2</v>
      </c>
      <c r="D574" s="190">
        <v>5.854514831759744E-2</v>
      </c>
      <c r="E574" s="190">
        <v>0.5978292139620337</v>
      </c>
      <c r="F574" s="190">
        <v>0.55085540469669825</v>
      </c>
      <c r="G574" s="193" t="s">
        <v>352</v>
      </c>
    </row>
    <row r="575" spans="2:7" x14ac:dyDescent="0.5">
      <c r="B575" s="160" t="s">
        <v>1240</v>
      </c>
      <c r="C575" s="190">
        <v>2.5000000000002878E-2</v>
      </c>
      <c r="D575" s="190">
        <v>5.854514831759744E-2</v>
      </c>
      <c r="E575" s="190">
        <v>0.42702086711578802</v>
      </c>
      <c r="F575" s="190">
        <v>0.66997642697541582</v>
      </c>
      <c r="G575" s="193" t="s">
        <v>352</v>
      </c>
    </row>
    <row r="576" spans="2:7" x14ac:dyDescent="0.5">
      <c r="B576" s="160" t="s">
        <v>1241</v>
      </c>
      <c r="C576" s="190">
        <v>1.499999999999993E-2</v>
      </c>
      <c r="D576" s="190">
        <v>5.854514831759744E-2</v>
      </c>
      <c r="E576" s="190">
        <v>0.25621252026944213</v>
      </c>
      <c r="F576" s="190">
        <v>0.7981377873722304</v>
      </c>
      <c r="G576" s="193" t="s">
        <v>352</v>
      </c>
    </row>
    <row r="577" spans="2:18" x14ac:dyDescent="0.5">
      <c r="B577" s="160" t="s">
        <v>1242</v>
      </c>
      <c r="C577" s="190">
        <v>8.333333333334178E-3</v>
      </c>
      <c r="D577" s="190">
        <v>5.854514831759744E-2</v>
      </c>
      <c r="E577" s="190">
        <v>0.14234028903859405</v>
      </c>
      <c r="F577" s="190">
        <v>0.88700223532206834</v>
      </c>
      <c r="G577" s="199" t="s">
        <v>352</v>
      </c>
    </row>
    <row r="578" spans="2:18" x14ac:dyDescent="0.5">
      <c r="B578" s="160" t="s">
        <v>1243</v>
      </c>
      <c r="C578" s="190">
        <v>2.6666666666665777E-2</v>
      </c>
      <c r="D578" s="190">
        <v>5.854514831759744E-2</v>
      </c>
      <c r="E578" s="190">
        <v>0.45548892492343962</v>
      </c>
      <c r="F578" s="190">
        <v>0.64941618834885062</v>
      </c>
      <c r="G578" s="193" t="s">
        <v>352</v>
      </c>
    </row>
    <row r="579" spans="2:18" x14ac:dyDescent="0.5">
      <c r="B579" s="160" t="s">
        <v>1244</v>
      </c>
      <c r="C579" s="190">
        <v>1.66666666666687E-2</v>
      </c>
      <c r="D579" s="190">
        <v>5.854514831759744E-2</v>
      </c>
      <c r="E579" s="190">
        <v>0.28468057807719399</v>
      </c>
      <c r="F579" s="190">
        <v>0.77628151969237857</v>
      </c>
      <c r="G579" s="193" t="s">
        <v>352</v>
      </c>
    </row>
    <row r="580" spans="2:18" x14ac:dyDescent="0.5">
      <c r="B580" s="160" t="s">
        <v>1245</v>
      </c>
      <c r="C580" s="190">
        <v>6.666666666665752E-3</v>
      </c>
      <c r="D580" s="190">
        <v>5.854514831759744E-2</v>
      </c>
      <c r="E580" s="190">
        <v>0.11387223123084808</v>
      </c>
      <c r="F580" s="190">
        <v>0.90949134986317914</v>
      </c>
      <c r="G580" s="193" t="s">
        <v>352</v>
      </c>
    </row>
    <row r="581" spans="2:18" x14ac:dyDescent="0.5">
      <c r="B581" s="160" t="s">
        <v>1246</v>
      </c>
      <c r="C581" s="190">
        <v>2.0000000000000025E-2</v>
      </c>
      <c r="D581" s="190">
        <v>5.854514831759744E-2</v>
      </c>
      <c r="E581" s="190">
        <v>0.34161669369259151</v>
      </c>
      <c r="F581" s="190">
        <v>0.73311747810199035</v>
      </c>
      <c r="G581" s="193" t="s">
        <v>352</v>
      </c>
    </row>
    <row r="582" spans="2:18" x14ac:dyDescent="0.5">
      <c r="B582" s="160" t="s">
        <v>1247</v>
      </c>
      <c r="C582" s="190">
        <v>1.0000000000002948E-2</v>
      </c>
      <c r="D582" s="190">
        <v>5.854514831759744E-2</v>
      </c>
      <c r="E582" s="190">
        <v>0.17080834684634591</v>
      </c>
      <c r="F582" s="190">
        <v>0.86460465196631597</v>
      </c>
      <c r="G582" s="193" t="s">
        <v>352</v>
      </c>
    </row>
    <row r="583" spans="2:18" ht="14.7" thickBot="1" x14ac:dyDescent="0.55000000000000004">
      <c r="B583" s="167" t="s">
        <v>1248</v>
      </c>
      <c r="C583" s="191">
        <v>9.9999999999970755E-3</v>
      </c>
      <c r="D583" s="191">
        <v>5.854514831759744E-2</v>
      </c>
      <c r="E583" s="191">
        <v>0.1708083468462456</v>
      </c>
      <c r="F583" s="191">
        <v>0.86460465196639247</v>
      </c>
      <c r="G583" s="200" t="s">
        <v>352</v>
      </c>
    </row>
    <row r="584" spans="2:18" x14ac:dyDescent="0.5">
      <c r="B584" s="194" t="s">
        <v>353</v>
      </c>
      <c r="E584" s="195">
        <v>5.407160000815705</v>
      </c>
    </row>
    <row r="586" spans="2:18" ht="14.7" thickBot="1" x14ac:dyDescent="0.55000000000000004"/>
    <row r="587" spans="2:18" x14ac:dyDescent="0.5">
      <c r="B587" s="161" t="s">
        <v>354</v>
      </c>
      <c r="C587" s="162" t="s">
        <v>355</v>
      </c>
      <c r="D587" s="315" t="s">
        <v>360</v>
      </c>
      <c r="E587" s="316"/>
      <c r="F587" s="316"/>
      <c r="G587" s="316"/>
      <c r="H587" s="316"/>
      <c r="I587" s="316"/>
      <c r="J587" s="316"/>
      <c r="K587" s="316"/>
      <c r="L587" s="316"/>
      <c r="M587" s="316"/>
      <c r="N587" s="316"/>
      <c r="O587" s="316"/>
      <c r="P587" s="316"/>
      <c r="Q587" s="316"/>
      <c r="R587" s="316"/>
    </row>
    <row r="588" spans="2:18" x14ac:dyDescent="0.5">
      <c r="B588" s="163" t="s">
        <v>812</v>
      </c>
      <c r="C588" s="168">
        <v>0.74000000000000066</v>
      </c>
      <c r="D588" s="196" t="s">
        <v>356</v>
      </c>
      <c r="E588" s="196"/>
      <c r="F588" s="196"/>
      <c r="G588" s="196"/>
      <c r="H588" s="196"/>
      <c r="I588" s="196"/>
      <c r="J588" s="196"/>
      <c r="K588" s="196"/>
      <c r="L588" s="196"/>
      <c r="M588" s="196"/>
      <c r="N588" s="196"/>
      <c r="O588" s="196"/>
      <c r="P588" s="196"/>
      <c r="Q588" s="196"/>
      <c r="R588" s="196"/>
    </row>
    <row r="589" spans="2:18" x14ac:dyDescent="0.5">
      <c r="B589" s="160" t="s">
        <v>797</v>
      </c>
      <c r="C589" s="169">
        <v>0.663333333333333</v>
      </c>
      <c r="D589" s="197" t="s">
        <v>356</v>
      </c>
      <c r="E589" s="197" t="s">
        <v>357</v>
      </c>
      <c r="F589" s="197"/>
      <c r="G589" s="197"/>
      <c r="H589" s="197"/>
      <c r="I589" s="197"/>
      <c r="J589" s="197"/>
      <c r="K589" s="197"/>
      <c r="L589" s="197"/>
      <c r="M589" s="197"/>
      <c r="N589" s="197"/>
      <c r="O589" s="197"/>
      <c r="P589" s="197"/>
      <c r="Q589" s="197"/>
      <c r="R589" s="197"/>
    </row>
    <row r="590" spans="2:18" x14ac:dyDescent="0.5">
      <c r="B590" s="160" t="s">
        <v>811</v>
      </c>
      <c r="C590" s="169">
        <v>0.60333333333333383</v>
      </c>
      <c r="D590" s="197"/>
      <c r="E590" s="197" t="s">
        <v>357</v>
      </c>
      <c r="F590" s="197"/>
      <c r="G590" s="197"/>
      <c r="H590" s="197"/>
      <c r="I590" s="197"/>
      <c r="J590" s="197"/>
      <c r="K590" s="197"/>
      <c r="L590" s="197"/>
      <c r="M590" s="197"/>
      <c r="N590" s="197"/>
      <c r="O590" s="197"/>
      <c r="P590" s="197"/>
      <c r="Q590" s="197"/>
      <c r="R590" s="197"/>
    </row>
    <row r="591" spans="2:18" x14ac:dyDescent="0.5">
      <c r="B591" s="160" t="s">
        <v>796</v>
      </c>
      <c r="C591" s="169">
        <v>0.58166666666666622</v>
      </c>
      <c r="D591" s="197"/>
      <c r="E591" s="197" t="s">
        <v>357</v>
      </c>
      <c r="F591" s="197" t="s">
        <v>358</v>
      </c>
      <c r="G591" s="197"/>
      <c r="H591" s="197"/>
      <c r="I591" s="197"/>
      <c r="J591" s="197"/>
      <c r="K591" s="197"/>
      <c r="L591" s="197"/>
      <c r="M591" s="197"/>
      <c r="N591" s="197"/>
      <c r="O591" s="197"/>
      <c r="P591" s="197"/>
      <c r="Q591" s="197"/>
      <c r="R591" s="197"/>
    </row>
    <row r="592" spans="2:18" x14ac:dyDescent="0.5">
      <c r="B592" s="160" t="s">
        <v>803</v>
      </c>
      <c r="C592" s="169">
        <v>0.48500000000000054</v>
      </c>
      <c r="D592" s="197"/>
      <c r="E592" s="197"/>
      <c r="F592" s="197" t="s">
        <v>358</v>
      </c>
      <c r="G592" s="197" t="s">
        <v>2</v>
      </c>
      <c r="H592" s="197"/>
      <c r="I592" s="197"/>
      <c r="J592" s="197"/>
      <c r="K592" s="197"/>
      <c r="L592" s="197"/>
      <c r="M592" s="197"/>
      <c r="N592" s="197"/>
      <c r="O592" s="197"/>
      <c r="P592" s="197"/>
      <c r="Q592" s="197"/>
      <c r="R592" s="197"/>
    </row>
    <row r="593" spans="2:18" x14ac:dyDescent="0.5">
      <c r="B593" s="160" t="s">
        <v>809</v>
      </c>
      <c r="C593" s="169">
        <v>0.48000000000000065</v>
      </c>
      <c r="D593" s="197"/>
      <c r="E593" s="197"/>
      <c r="F593" s="197" t="s">
        <v>358</v>
      </c>
      <c r="G593" s="197" t="s">
        <v>2</v>
      </c>
      <c r="H593" s="197"/>
      <c r="I593" s="197"/>
      <c r="J593" s="197"/>
      <c r="K593" s="197"/>
      <c r="L593" s="197"/>
      <c r="M593" s="197"/>
      <c r="N593" s="197"/>
      <c r="O593" s="197"/>
      <c r="P593" s="197"/>
      <c r="Q593" s="197"/>
      <c r="R593" s="197"/>
    </row>
    <row r="594" spans="2:18" x14ac:dyDescent="0.5">
      <c r="B594" s="160" t="s">
        <v>788</v>
      </c>
      <c r="C594" s="169">
        <v>0.47166666666666623</v>
      </c>
      <c r="D594" s="197"/>
      <c r="E594" s="197"/>
      <c r="F594" s="197" t="s">
        <v>358</v>
      </c>
      <c r="G594" s="197" t="s">
        <v>2</v>
      </c>
      <c r="H594" s="197" t="s">
        <v>359</v>
      </c>
      <c r="I594" s="197"/>
      <c r="J594" s="197"/>
      <c r="K594" s="197"/>
      <c r="L594" s="197"/>
      <c r="M594" s="197"/>
      <c r="N594" s="197"/>
      <c r="O594" s="197"/>
      <c r="P594" s="197"/>
      <c r="Q594" s="197"/>
      <c r="R594" s="197"/>
    </row>
    <row r="595" spans="2:18" x14ac:dyDescent="0.5">
      <c r="B595" s="160" t="s">
        <v>794</v>
      </c>
      <c r="C595" s="169">
        <v>0.42333333333333312</v>
      </c>
      <c r="D595" s="197"/>
      <c r="E595" s="197"/>
      <c r="F595" s="197"/>
      <c r="G595" s="197" t="s">
        <v>2</v>
      </c>
      <c r="H595" s="197" t="s">
        <v>359</v>
      </c>
      <c r="I595" s="197" t="s">
        <v>62</v>
      </c>
      <c r="J595" s="197"/>
      <c r="K595" s="197"/>
      <c r="L595" s="197"/>
      <c r="M595" s="197"/>
      <c r="N595" s="197"/>
      <c r="O595" s="197"/>
      <c r="P595" s="197"/>
      <c r="Q595" s="197"/>
      <c r="R595" s="197"/>
    </row>
    <row r="596" spans="2:18" x14ac:dyDescent="0.5">
      <c r="B596" s="160" t="s">
        <v>802</v>
      </c>
      <c r="C596" s="169">
        <v>0.37333333333333379</v>
      </c>
      <c r="D596" s="197"/>
      <c r="E596" s="197"/>
      <c r="F596" s="197"/>
      <c r="G596" s="197" t="s">
        <v>2</v>
      </c>
      <c r="H596" s="197" t="s">
        <v>359</v>
      </c>
      <c r="I596" s="197" t="s">
        <v>62</v>
      </c>
      <c r="J596" s="197" t="s">
        <v>689</v>
      </c>
      <c r="K596" s="197"/>
      <c r="L596" s="197"/>
      <c r="M596" s="197"/>
      <c r="N596" s="197"/>
      <c r="O596" s="197"/>
      <c r="P596" s="197"/>
      <c r="Q596" s="197"/>
      <c r="R596" s="197"/>
    </row>
    <row r="597" spans="2:18" x14ac:dyDescent="0.5">
      <c r="B597" s="160" t="s">
        <v>787</v>
      </c>
      <c r="C597" s="169">
        <v>0.35666666666666624</v>
      </c>
      <c r="D597" s="197"/>
      <c r="E597" s="197"/>
      <c r="F597" s="197"/>
      <c r="G597" s="197"/>
      <c r="H597" s="197" t="s">
        <v>359</v>
      </c>
      <c r="I597" s="197" t="s">
        <v>62</v>
      </c>
      <c r="J597" s="197" t="s">
        <v>689</v>
      </c>
      <c r="K597" s="197" t="s">
        <v>1249</v>
      </c>
      <c r="L597" s="197"/>
      <c r="M597" s="197"/>
      <c r="N597" s="197"/>
      <c r="O597" s="197"/>
      <c r="P597" s="197"/>
      <c r="Q597" s="197"/>
      <c r="R597" s="197"/>
    </row>
    <row r="598" spans="2:18" x14ac:dyDescent="0.5">
      <c r="B598" s="160" t="s">
        <v>810</v>
      </c>
      <c r="C598" s="169">
        <v>0.34833333333333377</v>
      </c>
      <c r="D598" s="197"/>
      <c r="E598" s="197"/>
      <c r="F598" s="197"/>
      <c r="G598" s="197"/>
      <c r="H598" s="197"/>
      <c r="I598" s="197" t="s">
        <v>62</v>
      </c>
      <c r="J598" s="197" t="s">
        <v>689</v>
      </c>
      <c r="K598" s="197" t="s">
        <v>1249</v>
      </c>
      <c r="L598" s="197"/>
      <c r="M598" s="197"/>
      <c r="N598" s="197"/>
      <c r="O598" s="197"/>
      <c r="P598" s="197"/>
      <c r="Q598" s="197"/>
      <c r="R598" s="197"/>
    </row>
    <row r="599" spans="2:18" x14ac:dyDescent="0.5">
      <c r="B599" s="160" t="s">
        <v>808</v>
      </c>
      <c r="C599" s="169">
        <v>0.32500000000000062</v>
      </c>
      <c r="D599" s="197"/>
      <c r="E599" s="197"/>
      <c r="F599" s="197"/>
      <c r="G599" s="197"/>
      <c r="H599" s="197"/>
      <c r="I599" s="197" t="s">
        <v>62</v>
      </c>
      <c r="J599" s="197" t="s">
        <v>689</v>
      </c>
      <c r="K599" s="197" t="s">
        <v>1249</v>
      </c>
      <c r="L599" s="197"/>
      <c r="M599" s="197"/>
      <c r="N599" s="197"/>
      <c r="O599" s="197"/>
      <c r="P599" s="197"/>
      <c r="Q599" s="197"/>
      <c r="R599" s="197"/>
    </row>
    <row r="600" spans="2:18" x14ac:dyDescent="0.5">
      <c r="B600" s="160" t="s">
        <v>806</v>
      </c>
      <c r="C600" s="169">
        <v>0.28833333333333377</v>
      </c>
      <c r="D600" s="197"/>
      <c r="E600" s="197"/>
      <c r="F600" s="197"/>
      <c r="G600" s="197"/>
      <c r="H600" s="197"/>
      <c r="I600" s="197"/>
      <c r="J600" s="197" t="s">
        <v>689</v>
      </c>
      <c r="K600" s="197" t="s">
        <v>1249</v>
      </c>
      <c r="L600" s="197" t="s">
        <v>1250</v>
      </c>
      <c r="M600" s="197"/>
      <c r="N600" s="197"/>
      <c r="O600" s="197"/>
      <c r="P600" s="197"/>
      <c r="Q600" s="197"/>
      <c r="R600" s="197"/>
    </row>
    <row r="601" spans="2:18" x14ac:dyDescent="0.5">
      <c r="B601" s="160" t="s">
        <v>793</v>
      </c>
      <c r="C601" s="169">
        <v>0.27166666666666628</v>
      </c>
      <c r="D601" s="197"/>
      <c r="E601" s="197"/>
      <c r="F601" s="197"/>
      <c r="G601" s="197"/>
      <c r="H601" s="197"/>
      <c r="I601" s="197"/>
      <c r="J601" s="197" t="s">
        <v>689</v>
      </c>
      <c r="K601" s="197" t="s">
        <v>1249</v>
      </c>
      <c r="L601" s="197" t="s">
        <v>1250</v>
      </c>
      <c r="M601" s="197" t="s">
        <v>1251</v>
      </c>
      <c r="N601" s="197"/>
      <c r="O601" s="197"/>
      <c r="P601" s="197"/>
      <c r="Q601" s="197"/>
      <c r="R601" s="197"/>
    </row>
    <row r="602" spans="2:18" x14ac:dyDescent="0.5">
      <c r="B602" s="160" t="s">
        <v>795</v>
      </c>
      <c r="C602" s="169">
        <v>0.25333333333333291</v>
      </c>
      <c r="D602" s="197"/>
      <c r="E602" s="197"/>
      <c r="F602" s="197"/>
      <c r="G602" s="197"/>
      <c r="H602" s="197"/>
      <c r="I602" s="197"/>
      <c r="J602" s="197"/>
      <c r="K602" s="197" t="s">
        <v>1249</v>
      </c>
      <c r="L602" s="197" t="s">
        <v>1250</v>
      </c>
      <c r="M602" s="197" t="s">
        <v>1251</v>
      </c>
      <c r="N602" s="197" t="s">
        <v>1252</v>
      </c>
      <c r="O602" s="197"/>
      <c r="P602" s="197"/>
      <c r="Q602" s="197"/>
      <c r="R602" s="197"/>
    </row>
    <row r="603" spans="2:18" x14ac:dyDescent="0.5">
      <c r="B603" s="160" t="s">
        <v>801</v>
      </c>
      <c r="C603" s="169">
        <v>0.1966666666666671</v>
      </c>
      <c r="D603" s="197"/>
      <c r="E603" s="197"/>
      <c r="F603" s="197"/>
      <c r="G603" s="197"/>
      <c r="H603" s="197"/>
      <c r="I603" s="197"/>
      <c r="J603" s="197"/>
      <c r="K603" s="197"/>
      <c r="L603" s="197" t="s">
        <v>1250</v>
      </c>
      <c r="M603" s="197" t="s">
        <v>1251</v>
      </c>
      <c r="N603" s="197" t="s">
        <v>1252</v>
      </c>
      <c r="O603" s="197" t="s">
        <v>187</v>
      </c>
      <c r="P603" s="197"/>
      <c r="Q603" s="197"/>
      <c r="R603" s="197"/>
    </row>
    <row r="604" spans="2:18" x14ac:dyDescent="0.5">
      <c r="B604" s="160" t="s">
        <v>785</v>
      </c>
      <c r="C604" s="169">
        <v>0.16499999999999956</v>
      </c>
      <c r="D604" s="197"/>
      <c r="E604" s="197"/>
      <c r="F604" s="197"/>
      <c r="G604" s="197"/>
      <c r="H604" s="197"/>
      <c r="I604" s="197"/>
      <c r="J604" s="197"/>
      <c r="K604" s="197"/>
      <c r="L604" s="197"/>
      <c r="M604" s="197" t="s">
        <v>1251</v>
      </c>
      <c r="N604" s="197" t="s">
        <v>1252</v>
      </c>
      <c r="O604" s="197" t="s">
        <v>187</v>
      </c>
      <c r="P604" s="197" t="s">
        <v>4</v>
      </c>
      <c r="Q604" s="197"/>
      <c r="R604" s="197"/>
    </row>
    <row r="605" spans="2:18" x14ac:dyDescent="0.5">
      <c r="B605" s="160" t="s">
        <v>807</v>
      </c>
      <c r="C605" s="169">
        <v>0.16166666666666707</v>
      </c>
      <c r="D605" s="197"/>
      <c r="E605" s="197"/>
      <c r="F605" s="197"/>
      <c r="G605" s="197"/>
      <c r="H605" s="197"/>
      <c r="I605" s="197"/>
      <c r="J605" s="197"/>
      <c r="K605" s="197"/>
      <c r="L605" s="197"/>
      <c r="M605" s="197" t="s">
        <v>1251</v>
      </c>
      <c r="N605" s="197" t="s">
        <v>1252</v>
      </c>
      <c r="O605" s="197" t="s">
        <v>187</v>
      </c>
      <c r="P605" s="197" t="s">
        <v>4</v>
      </c>
      <c r="Q605" s="197"/>
      <c r="R605" s="197"/>
    </row>
    <row r="606" spans="2:18" x14ac:dyDescent="0.5">
      <c r="B606" s="160" t="s">
        <v>791</v>
      </c>
      <c r="C606" s="169">
        <v>0.15999999999999964</v>
      </c>
      <c r="D606" s="197"/>
      <c r="E606" s="197"/>
      <c r="F606" s="197"/>
      <c r="G606" s="197"/>
      <c r="H606" s="197"/>
      <c r="I606" s="197"/>
      <c r="J606" s="197"/>
      <c r="K606" s="197"/>
      <c r="L606" s="197"/>
      <c r="M606" s="197" t="s">
        <v>1251</v>
      </c>
      <c r="N606" s="197" t="s">
        <v>1252</v>
      </c>
      <c r="O606" s="197" t="s">
        <v>187</v>
      </c>
      <c r="P606" s="197" t="s">
        <v>4</v>
      </c>
      <c r="Q606" s="197"/>
      <c r="R606" s="197"/>
    </row>
    <row r="607" spans="2:18" x14ac:dyDescent="0.5">
      <c r="B607" s="160" t="s">
        <v>805</v>
      </c>
      <c r="C607" s="169">
        <v>0.15666666666666718</v>
      </c>
      <c r="D607" s="197"/>
      <c r="E607" s="197"/>
      <c r="F607" s="197"/>
      <c r="G607" s="197"/>
      <c r="H607" s="197"/>
      <c r="I607" s="197"/>
      <c r="J607" s="197"/>
      <c r="K607" s="197"/>
      <c r="L607" s="197"/>
      <c r="M607" s="197" t="s">
        <v>1251</v>
      </c>
      <c r="N607" s="197" t="s">
        <v>1252</v>
      </c>
      <c r="O607" s="197" t="s">
        <v>187</v>
      </c>
      <c r="P607" s="197" t="s">
        <v>4</v>
      </c>
      <c r="Q607" s="197" t="s">
        <v>1253</v>
      </c>
      <c r="R607" s="197"/>
    </row>
    <row r="608" spans="2:18" x14ac:dyDescent="0.5">
      <c r="B608" s="160" t="s">
        <v>786</v>
      </c>
      <c r="C608" s="169">
        <v>0.15499999999999958</v>
      </c>
      <c r="D608" s="197"/>
      <c r="E608" s="197"/>
      <c r="F608" s="197"/>
      <c r="G608" s="197"/>
      <c r="H608" s="197"/>
      <c r="I608" s="197"/>
      <c r="J608" s="197"/>
      <c r="K608" s="197"/>
      <c r="L608" s="197"/>
      <c r="M608" s="197"/>
      <c r="N608" s="197" t="s">
        <v>1252</v>
      </c>
      <c r="O608" s="197" t="s">
        <v>187</v>
      </c>
      <c r="P608" s="197" t="s">
        <v>4</v>
      </c>
      <c r="Q608" s="197" t="s">
        <v>1253</v>
      </c>
      <c r="R608" s="197"/>
    </row>
    <row r="609" spans="2:18" x14ac:dyDescent="0.5">
      <c r="B609" s="160" t="s">
        <v>792</v>
      </c>
      <c r="C609" s="169">
        <v>0.12333333333333291</v>
      </c>
      <c r="D609" s="197"/>
      <c r="E609" s="197"/>
      <c r="F609" s="197"/>
      <c r="G609" s="197"/>
      <c r="H609" s="197"/>
      <c r="I609" s="197"/>
      <c r="J609" s="197"/>
      <c r="K609" s="197"/>
      <c r="L609" s="197"/>
      <c r="M609" s="197"/>
      <c r="N609" s="197"/>
      <c r="O609" s="197" t="s">
        <v>187</v>
      </c>
      <c r="P609" s="197" t="s">
        <v>4</v>
      </c>
      <c r="Q609" s="197" t="s">
        <v>1253</v>
      </c>
      <c r="R609" s="197" t="s">
        <v>1254</v>
      </c>
    </row>
    <row r="610" spans="2:18" x14ac:dyDescent="0.5">
      <c r="B610" s="160" t="s">
        <v>790</v>
      </c>
      <c r="C610" s="169">
        <v>0.11499999999999963</v>
      </c>
      <c r="D610" s="197"/>
      <c r="E610" s="197"/>
      <c r="F610" s="197"/>
      <c r="G610" s="197"/>
      <c r="H610" s="197"/>
      <c r="I610" s="197"/>
      <c r="J610" s="197"/>
      <c r="K610" s="197"/>
      <c r="L610" s="197"/>
      <c r="M610" s="197"/>
      <c r="N610" s="197"/>
      <c r="O610" s="197" t="s">
        <v>187</v>
      </c>
      <c r="P610" s="197" t="s">
        <v>4</v>
      </c>
      <c r="Q610" s="197" t="s">
        <v>1253</v>
      </c>
      <c r="R610" s="197" t="s">
        <v>1254</v>
      </c>
    </row>
    <row r="611" spans="2:18" x14ac:dyDescent="0.5">
      <c r="B611" s="160" t="s">
        <v>800</v>
      </c>
      <c r="C611" s="169">
        <v>0.10333333333333374</v>
      </c>
      <c r="D611" s="197"/>
      <c r="E611" s="197"/>
      <c r="F611" s="197"/>
      <c r="G611" s="197"/>
      <c r="H611" s="197"/>
      <c r="I611" s="197"/>
      <c r="J611" s="197"/>
      <c r="K611" s="197"/>
      <c r="L611" s="197"/>
      <c r="M611" s="197"/>
      <c r="N611" s="197"/>
      <c r="O611" s="197" t="s">
        <v>187</v>
      </c>
      <c r="P611" s="197" t="s">
        <v>4</v>
      </c>
      <c r="Q611" s="197" t="s">
        <v>1253</v>
      </c>
      <c r="R611" s="197" t="s">
        <v>1254</v>
      </c>
    </row>
    <row r="612" spans="2:18" x14ac:dyDescent="0.5">
      <c r="B612" s="160" t="s">
        <v>784</v>
      </c>
      <c r="C612" s="169">
        <v>8.666666666666617E-2</v>
      </c>
      <c r="D612" s="197"/>
      <c r="E612" s="197"/>
      <c r="F612" s="197"/>
      <c r="G612" s="197"/>
      <c r="H612" s="197"/>
      <c r="I612" s="197"/>
      <c r="J612" s="197"/>
      <c r="K612" s="197"/>
      <c r="L612" s="197"/>
      <c r="M612" s="197"/>
      <c r="N612" s="197"/>
      <c r="O612" s="197" t="s">
        <v>187</v>
      </c>
      <c r="P612" s="197" t="s">
        <v>4</v>
      </c>
      <c r="Q612" s="197" t="s">
        <v>1253</v>
      </c>
      <c r="R612" s="197" t="s">
        <v>1254</v>
      </c>
    </row>
    <row r="613" spans="2:18" x14ac:dyDescent="0.5">
      <c r="B613" s="160" t="s">
        <v>804</v>
      </c>
      <c r="C613" s="169">
        <v>6.8333333333333704E-2</v>
      </c>
      <c r="D613" s="197"/>
      <c r="E613" s="197"/>
      <c r="F613" s="197"/>
      <c r="G613" s="197"/>
      <c r="H613" s="197"/>
      <c r="I613" s="197"/>
      <c r="J613" s="197"/>
      <c r="K613" s="197"/>
      <c r="L613" s="197"/>
      <c r="M613" s="197"/>
      <c r="N613" s="197"/>
      <c r="O613" s="197"/>
      <c r="P613" s="197" t="s">
        <v>4</v>
      </c>
      <c r="Q613" s="197" t="s">
        <v>1253</v>
      </c>
      <c r="R613" s="197" t="s">
        <v>1254</v>
      </c>
    </row>
    <row r="614" spans="2:18" x14ac:dyDescent="0.5">
      <c r="B614" s="160" t="s">
        <v>789</v>
      </c>
      <c r="C614" s="169">
        <v>5.9999999999999526E-2</v>
      </c>
      <c r="D614" s="197"/>
      <c r="E614" s="197"/>
      <c r="F614" s="197"/>
      <c r="G614" s="197"/>
      <c r="H614" s="197"/>
      <c r="I614" s="197"/>
      <c r="J614" s="197"/>
      <c r="K614" s="197"/>
      <c r="L614" s="197"/>
      <c r="M614" s="197"/>
      <c r="N614" s="197"/>
      <c r="O614" s="197"/>
      <c r="P614" s="197" t="s">
        <v>4</v>
      </c>
      <c r="Q614" s="197" t="s">
        <v>1253</v>
      </c>
      <c r="R614" s="197" t="s">
        <v>1254</v>
      </c>
    </row>
    <row r="615" spans="2:18" x14ac:dyDescent="0.5">
      <c r="B615" s="160" t="s">
        <v>799</v>
      </c>
      <c r="C615" s="169">
        <v>5.3333333333333774E-2</v>
      </c>
      <c r="D615" s="197"/>
      <c r="E615" s="197"/>
      <c r="F615" s="197"/>
      <c r="G615" s="197"/>
      <c r="H615" s="197"/>
      <c r="I615" s="197"/>
      <c r="J615" s="197"/>
      <c r="K615" s="197"/>
      <c r="L615" s="197"/>
      <c r="M615" s="197"/>
      <c r="N615" s="197"/>
      <c r="O615" s="197"/>
      <c r="P615" s="197" t="s">
        <v>4</v>
      </c>
      <c r="Q615" s="197" t="s">
        <v>1253</v>
      </c>
      <c r="R615" s="197" t="s">
        <v>1254</v>
      </c>
    </row>
    <row r="616" spans="2:18" x14ac:dyDescent="0.5">
      <c r="B616" s="160" t="s">
        <v>783</v>
      </c>
      <c r="C616" s="169">
        <v>4.333333333333083E-2</v>
      </c>
      <c r="D616" s="197"/>
      <c r="E616" s="197"/>
      <c r="F616" s="197"/>
      <c r="G616" s="197"/>
      <c r="H616" s="197"/>
      <c r="I616" s="197"/>
      <c r="J616" s="197"/>
      <c r="K616" s="197"/>
      <c r="L616" s="197"/>
      <c r="M616" s="197"/>
      <c r="N616" s="197"/>
      <c r="O616" s="197"/>
      <c r="P616" s="197"/>
      <c r="Q616" s="197" t="s">
        <v>1253</v>
      </c>
      <c r="R616" s="197" t="s">
        <v>1254</v>
      </c>
    </row>
    <row r="617" spans="2:18" ht="14.7" thickBot="1" x14ac:dyDescent="0.55000000000000004">
      <c r="B617" s="167" t="s">
        <v>798</v>
      </c>
      <c r="C617" s="170">
        <v>3.3333333333333756E-2</v>
      </c>
      <c r="D617" s="198"/>
      <c r="E617" s="198"/>
      <c r="F617" s="198"/>
      <c r="G617" s="198"/>
      <c r="H617" s="198"/>
      <c r="I617" s="198"/>
      <c r="J617" s="198"/>
      <c r="K617" s="198"/>
      <c r="L617" s="198"/>
      <c r="M617" s="198"/>
      <c r="N617" s="198"/>
      <c r="O617" s="198"/>
      <c r="P617" s="198"/>
      <c r="Q617" s="198"/>
      <c r="R617" s="198" t="s">
        <v>1254</v>
      </c>
    </row>
  </sheetData>
  <mergeCells count="1">
    <mergeCell ref="D587:R587"/>
  </mergeCells>
  <pageMargins left="0.7" right="0.7" top="0.75" bottom="0.75" header="0.3" footer="0.3"/>
  <pageSetup paperSize="9" orientation="portrait" verticalDpi="0" r:id="rId1"/>
  <ignoredErrors>
    <ignoredError sqref="A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2C5C15-474B-428F-8D17-9B4BB51983D1}">
  <dimension ref="B1:X350"/>
  <sheetViews>
    <sheetView topLeftCell="A211" zoomScaleNormal="100" workbookViewId="0">
      <selection activeCell="G224" sqref="G224"/>
    </sheetView>
  </sheetViews>
  <sheetFormatPr defaultRowHeight="14.35" x14ac:dyDescent="0.5"/>
  <cols>
    <col min="1" max="1" width="4.76171875" customWidth="1"/>
    <col min="2" max="2" width="58.52734375" customWidth="1"/>
  </cols>
  <sheetData>
    <row r="1" spans="2:9" x14ac:dyDescent="0.5">
      <c r="B1" t="s">
        <v>471</v>
      </c>
    </row>
    <row r="2" spans="2:9" x14ac:dyDescent="0.5">
      <c r="B2" t="s">
        <v>472</v>
      </c>
    </row>
    <row r="3" spans="2:9" x14ac:dyDescent="0.5">
      <c r="B3" t="s">
        <v>473</v>
      </c>
    </row>
    <row r="4" spans="2:9" x14ac:dyDescent="0.5">
      <c r="B4" t="s">
        <v>213</v>
      </c>
    </row>
    <row r="5" spans="2:9" x14ac:dyDescent="0.5">
      <c r="B5" t="s">
        <v>214</v>
      </c>
    </row>
    <row r="6" spans="2:9" x14ac:dyDescent="0.5">
      <c r="B6" t="s">
        <v>215</v>
      </c>
    </row>
    <row r="7" spans="2:9" x14ac:dyDescent="0.5">
      <c r="B7" t="s">
        <v>216</v>
      </c>
    </row>
    <row r="8" spans="2:9" x14ac:dyDescent="0.5">
      <c r="B8" t="s">
        <v>217</v>
      </c>
    </row>
    <row r="9" spans="2:9" x14ac:dyDescent="0.5">
      <c r="B9" t="s">
        <v>218</v>
      </c>
    </row>
    <row r="13" spans="2:9" x14ac:dyDescent="0.5">
      <c r="B13" t="s">
        <v>219</v>
      </c>
    </row>
    <row r="14" spans="2:9" ht="14.7" thickBot="1" x14ac:dyDescent="0.55000000000000004"/>
    <row r="15" spans="2:9" x14ac:dyDescent="0.5">
      <c r="B15" s="161" t="s">
        <v>220</v>
      </c>
      <c r="C15" s="162" t="s">
        <v>221</v>
      </c>
      <c r="D15" s="162" t="s">
        <v>222</v>
      </c>
      <c r="E15" s="162" t="s">
        <v>223</v>
      </c>
      <c r="F15" s="162" t="s">
        <v>224</v>
      </c>
      <c r="G15" s="162" t="s">
        <v>225</v>
      </c>
      <c r="H15" s="162" t="s">
        <v>77</v>
      </c>
      <c r="I15" s="162" t="s">
        <v>226</v>
      </c>
    </row>
    <row r="16" spans="2:9" ht="14.7" thickBot="1" x14ac:dyDescent="0.55000000000000004">
      <c r="B16" s="164" t="s">
        <v>50</v>
      </c>
      <c r="C16" s="165">
        <v>120</v>
      </c>
      <c r="D16" s="165">
        <v>0</v>
      </c>
      <c r="E16" s="165">
        <v>120</v>
      </c>
      <c r="F16" s="166">
        <v>-0.2019</v>
      </c>
      <c r="G16" s="166">
        <v>0.22869999999999999</v>
      </c>
      <c r="H16" s="166">
        <v>-1.2725E-2</v>
      </c>
      <c r="I16" s="166">
        <v>6.9871509022699979E-2</v>
      </c>
    </row>
    <row r="18" spans="2:5" ht="14.7" thickBot="1" x14ac:dyDescent="0.55000000000000004"/>
    <row r="19" spans="2:5" x14ac:dyDescent="0.5">
      <c r="B19" s="162" t="s">
        <v>220</v>
      </c>
      <c r="C19" s="162" t="s">
        <v>227</v>
      </c>
      <c r="D19" s="162" t="s">
        <v>228</v>
      </c>
      <c r="E19" s="162" t="s">
        <v>229</v>
      </c>
    </row>
    <row r="20" spans="2:5" x14ac:dyDescent="0.5">
      <c r="B20" s="163" t="s">
        <v>468</v>
      </c>
      <c r="C20" s="163" t="s">
        <v>470</v>
      </c>
      <c r="D20" s="163">
        <v>60</v>
      </c>
      <c r="E20" s="168">
        <v>50</v>
      </c>
    </row>
    <row r="21" spans="2:5" x14ac:dyDescent="0.5">
      <c r="B21" s="160"/>
      <c r="C21" s="160" t="s">
        <v>469</v>
      </c>
      <c r="D21" s="160">
        <v>60</v>
      </c>
      <c r="E21" s="169">
        <v>50</v>
      </c>
    </row>
    <row r="22" spans="2:5" x14ac:dyDescent="0.5">
      <c r="B22" s="163" t="s">
        <v>5</v>
      </c>
      <c r="C22" s="163" t="s">
        <v>93</v>
      </c>
      <c r="D22" s="163">
        <v>10</v>
      </c>
      <c r="E22" s="168">
        <v>8.3333333333333339</v>
      </c>
    </row>
    <row r="23" spans="2:5" x14ac:dyDescent="0.5">
      <c r="B23" s="160"/>
      <c r="C23" s="160" t="s">
        <v>92</v>
      </c>
      <c r="D23" s="160">
        <v>10</v>
      </c>
      <c r="E23" s="169">
        <v>8.3333333333333339</v>
      </c>
    </row>
    <row r="24" spans="2:5" x14ac:dyDescent="0.5">
      <c r="B24" s="160"/>
      <c r="C24" s="160">
        <v>3729060</v>
      </c>
      <c r="D24" s="160">
        <v>10</v>
      </c>
      <c r="E24" s="169">
        <v>8.3333333333333339</v>
      </c>
    </row>
    <row r="25" spans="2:5" x14ac:dyDescent="0.5">
      <c r="B25" s="160"/>
      <c r="C25" s="160">
        <v>3729172</v>
      </c>
      <c r="D25" s="160">
        <v>10</v>
      </c>
      <c r="E25" s="169">
        <v>8.3333333333333339</v>
      </c>
    </row>
    <row r="26" spans="2:5" x14ac:dyDescent="0.5">
      <c r="B26" s="160"/>
      <c r="C26" s="160" t="s">
        <v>95</v>
      </c>
      <c r="D26" s="160">
        <v>10</v>
      </c>
      <c r="E26" s="169">
        <v>8.3333333333333339</v>
      </c>
    </row>
    <row r="27" spans="2:5" x14ac:dyDescent="0.5">
      <c r="B27" s="160"/>
      <c r="C27" s="160" t="s">
        <v>96</v>
      </c>
      <c r="D27" s="160">
        <v>10</v>
      </c>
      <c r="E27" s="169">
        <v>8.3333333333333339</v>
      </c>
    </row>
    <row r="28" spans="2:5" x14ac:dyDescent="0.5">
      <c r="B28" s="160"/>
      <c r="C28" s="160" t="s">
        <v>100</v>
      </c>
      <c r="D28" s="160">
        <v>10</v>
      </c>
      <c r="E28" s="169">
        <v>8.3333333333333339</v>
      </c>
    </row>
    <row r="29" spans="2:5" x14ac:dyDescent="0.5">
      <c r="B29" s="160"/>
      <c r="C29" s="160" t="s">
        <v>188</v>
      </c>
      <c r="D29" s="160">
        <v>10</v>
      </c>
      <c r="E29" s="169">
        <v>8.3333333333333339</v>
      </c>
    </row>
    <row r="30" spans="2:5" x14ac:dyDescent="0.5">
      <c r="B30" s="160"/>
      <c r="C30" s="160" t="s">
        <v>97</v>
      </c>
      <c r="D30" s="160">
        <v>10</v>
      </c>
      <c r="E30" s="169">
        <v>8.3333333333333339</v>
      </c>
    </row>
    <row r="31" spans="2:5" x14ac:dyDescent="0.5">
      <c r="B31" s="160"/>
      <c r="C31" s="160" t="s">
        <v>98</v>
      </c>
      <c r="D31" s="160">
        <v>10</v>
      </c>
      <c r="E31" s="169">
        <v>8.3333333333333339</v>
      </c>
    </row>
    <row r="32" spans="2:5" x14ac:dyDescent="0.5">
      <c r="B32" s="160"/>
      <c r="C32" s="160" t="s">
        <v>82</v>
      </c>
      <c r="D32" s="160">
        <v>10</v>
      </c>
      <c r="E32" s="169">
        <v>8.3333333333333339</v>
      </c>
    </row>
    <row r="33" spans="2:24" x14ac:dyDescent="0.5">
      <c r="B33" s="160"/>
      <c r="C33" s="160" t="s">
        <v>83</v>
      </c>
      <c r="D33" s="160">
        <v>10</v>
      </c>
      <c r="E33" s="169">
        <v>8.3333333333333339</v>
      </c>
    </row>
    <row r="34" spans="2:24" x14ac:dyDescent="0.5">
      <c r="B34" s="163" t="s">
        <v>367</v>
      </c>
      <c r="C34" s="163" t="s">
        <v>8</v>
      </c>
      <c r="D34" s="163">
        <v>60</v>
      </c>
      <c r="E34" s="168">
        <v>50</v>
      </c>
    </row>
    <row r="35" spans="2:24" x14ac:dyDescent="0.5">
      <c r="B35" s="160"/>
      <c r="C35" s="160" t="s">
        <v>7</v>
      </c>
      <c r="D35" s="160">
        <v>60</v>
      </c>
      <c r="E35" s="169">
        <v>50</v>
      </c>
    </row>
    <row r="36" spans="2:24" x14ac:dyDescent="0.5">
      <c r="B36" s="163" t="s">
        <v>366</v>
      </c>
      <c r="C36" s="163" t="s">
        <v>368</v>
      </c>
      <c r="D36" s="163">
        <v>24</v>
      </c>
      <c r="E36" s="168">
        <v>20</v>
      </c>
    </row>
    <row r="37" spans="2:24" x14ac:dyDescent="0.5">
      <c r="B37" s="160"/>
      <c r="C37" s="160" t="s">
        <v>371</v>
      </c>
      <c r="D37" s="160">
        <v>24</v>
      </c>
      <c r="E37" s="169">
        <v>20</v>
      </c>
    </row>
    <row r="38" spans="2:24" x14ac:dyDescent="0.5">
      <c r="B38" s="160"/>
      <c r="C38" s="160" t="s">
        <v>369</v>
      </c>
      <c r="D38" s="160">
        <v>24</v>
      </c>
      <c r="E38" s="169">
        <v>20</v>
      </c>
    </row>
    <row r="39" spans="2:24" x14ac:dyDescent="0.5">
      <c r="B39" s="160"/>
      <c r="C39" s="160" t="s">
        <v>370</v>
      </c>
      <c r="D39" s="160">
        <v>24</v>
      </c>
      <c r="E39" s="169">
        <v>20</v>
      </c>
    </row>
    <row r="40" spans="2:24" ht="14.7" thickBot="1" x14ac:dyDescent="0.55000000000000004">
      <c r="B40" s="167"/>
      <c r="C40" s="167" t="s">
        <v>432</v>
      </c>
      <c r="D40" s="167">
        <v>24</v>
      </c>
      <c r="E40" s="170">
        <v>20</v>
      </c>
    </row>
    <row r="43" spans="2:24" x14ac:dyDescent="0.5">
      <c r="B43" t="s">
        <v>230</v>
      </c>
    </row>
    <row r="44" spans="2:24" ht="14.7" thickBot="1" x14ac:dyDescent="0.55000000000000004"/>
    <row r="45" spans="2:24" x14ac:dyDescent="0.5">
      <c r="B45" s="161" t="s">
        <v>231</v>
      </c>
      <c r="C45" s="172" t="s">
        <v>474</v>
      </c>
      <c r="D45" s="172" t="s">
        <v>475</v>
      </c>
      <c r="E45" s="172" t="s">
        <v>375</v>
      </c>
      <c r="F45" s="172" t="s">
        <v>376</v>
      </c>
      <c r="G45" s="172" t="s">
        <v>377</v>
      </c>
      <c r="H45" s="172" t="s">
        <v>378</v>
      </c>
      <c r="I45" s="172" t="s">
        <v>379</v>
      </c>
      <c r="J45" s="172" t="s">
        <v>380</v>
      </c>
      <c r="K45" s="172" t="s">
        <v>381</v>
      </c>
      <c r="L45" s="172" t="s">
        <v>382</v>
      </c>
      <c r="M45" s="172" t="s">
        <v>383</v>
      </c>
      <c r="N45" s="172" t="s">
        <v>384</v>
      </c>
      <c r="O45" s="172" t="s">
        <v>385</v>
      </c>
      <c r="P45" s="172" t="s">
        <v>386</v>
      </c>
      <c r="Q45" s="172" t="s">
        <v>387</v>
      </c>
      <c r="R45" s="172" t="s">
        <v>388</v>
      </c>
      <c r="S45" s="172" t="s">
        <v>389</v>
      </c>
      <c r="T45" s="172" t="s">
        <v>392</v>
      </c>
      <c r="U45" s="172" t="s">
        <v>390</v>
      </c>
      <c r="V45" s="172" t="s">
        <v>391</v>
      </c>
      <c r="W45" s="172" t="s">
        <v>437</v>
      </c>
      <c r="X45" s="173" t="s">
        <v>50</v>
      </c>
    </row>
    <row r="46" spans="2:24" x14ac:dyDescent="0.5">
      <c r="B46" s="174" t="s">
        <v>474</v>
      </c>
      <c r="C46" s="181">
        <v>1</v>
      </c>
      <c r="D46" s="176">
        <v>-1</v>
      </c>
      <c r="E46" s="176">
        <v>-1.0517983523841123E-18</v>
      </c>
      <c r="F46" s="176">
        <v>-4.3996553458118644E-18</v>
      </c>
      <c r="G46" s="176">
        <v>-1.7789857447317289E-17</v>
      </c>
      <c r="H46" s="176">
        <v>-1.1095165020633105E-17</v>
      </c>
      <c r="I46" s="176">
        <v>-6.0731752184572144E-18</v>
      </c>
      <c r="J46" s="176">
        <v>-4.3996553458118636E-18</v>
      </c>
      <c r="K46" s="176">
        <v>2.2952413929065882E-18</v>
      </c>
      <c r="L46" s="176">
        <v>-7.7475123392396145E-18</v>
      </c>
      <c r="M46" s="176">
        <v>-2.3079087390308728E-18</v>
      </c>
      <c r="N46" s="176">
        <v>-8.0940255493490668E-18</v>
      </c>
      <c r="O46" s="176">
        <v>-4.4000639698803886E-18</v>
      </c>
      <c r="P46" s="176">
        <v>-7.7477166512738758E-18</v>
      </c>
      <c r="Q46" s="176">
        <v>-1.085196024476949E-17</v>
      </c>
      <c r="R46" s="176">
        <v>1.085196024476949E-17</v>
      </c>
      <c r="S46" s="176">
        <v>-8.5685852944245038E-18</v>
      </c>
      <c r="T46" s="176">
        <v>-2.7364811082628936E-18</v>
      </c>
      <c r="U46" s="176">
        <v>2.8438848859747387E-17</v>
      </c>
      <c r="V46" s="176">
        <v>4.6942848281149091E-17</v>
      </c>
      <c r="W46" s="176">
        <v>-8.5677382614772495E-18</v>
      </c>
      <c r="X46" s="177">
        <v>-4.103204213702729E-2</v>
      </c>
    </row>
    <row r="47" spans="2:24" x14ac:dyDescent="0.5">
      <c r="B47" s="171" t="s">
        <v>475</v>
      </c>
      <c r="C47" s="178">
        <v>-1</v>
      </c>
      <c r="D47" s="182">
        <v>1</v>
      </c>
      <c r="E47" s="178">
        <v>1.0497552320414858E-18</v>
      </c>
      <c r="F47" s="178">
        <v>4.3976122254692387E-18</v>
      </c>
      <c r="G47" s="178">
        <v>1.7787814326974663E-17</v>
      </c>
      <c r="H47" s="178">
        <v>1.1093121900290478E-17</v>
      </c>
      <c r="I47" s="178">
        <v>6.071132098114588E-18</v>
      </c>
      <c r="J47" s="178">
        <v>4.3976122254692371E-18</v>
      </c>
      <c r="K47" s="178">
        <v>-2.2972845132492151E-18</v>
      </c>
      <c r="L47" s="178">
        <v>7.7454692188969888E-18</v>
      </c>
      <c r="M47" s="178">
        <v>2.3058656186882463E-18</v>
      </c>
      <c r="N47" s="178">
        <v>8.1152740009123814E-18</v>
      </c>
      <c r="O47" s="178">
        <v>4.3980208495377613E-18</v>
      </c>
      <c r="P47" s="178">
        <v>7.7456735309312501E-18</v>
      </c>
      <c r="Q47" s="178">
        <v>1.0858284757442323E-17</v>
      </c>
      <c r="R47" s="178">
        <v>-1.0858284757442323E-17</v>
      </c>
      <c r="S47" s="178">
        <v>8.5657618512669889E-18</v>
      </c>
      <c r="T47" s="178">
        <v>2.7477748808929507E-18</v>
      </c>
      <c r="U47" s="178">
        <v>-2.8441672302904903E-17</v>
      </c>
      <c r="V47" s="178">
        <v>-4.6945671724306601E-17</v>
      </c>
      <c r="W47" s="178">
        <v>8.5649148183197346E-18</v>
      </c>
      <c r="X47" s="179">
        <v>4.103204213702729E-2</v>
      </c>
    </row>
    <row r="48" spans="2:24" x14ac:dyDescent="0.5">
      <c r="B48" s="171" t="s">
        <v>375</v>
      </c>
      <c r="C48" s="178">
        <v>-1.0517983523841123E-18</v>
      </c>
      <c r="D48" s="178">
        <v>1.0497552320414858E-18</v>
      </c>
      <c r="E48" s="182">
        <v>1</v>
      </c>
      <c r="F48" s="178">
        <v>-9.0909090909090967E-2</v>
      </c>
      <c r="G48" s="178">
        <v>-9.0909090909090939E-2</v>
      </c>
      <c r="H48" s="178">
        <v>-9.0909090909090967E-2</v>
      </c>
      <c r="I48" s="178">
        <v>-9.0909090909090953E-2</v>
      </c>
      <c r="J48" s="178">
        <v>-9.0909090909090953E-2</v>
      </c>
      <c r="K48" s="178">
        <v>-9.0909090909090953E-2</v>
      </c>
      <c r="L48" s="178">
        <v>-9.0909090909090939E-2</v>
      </c>
      <c r="M48" s="178">
        <v>-9.0909090909090912E-2</v>
      </c>
      <c r="N48" s="178">
        <v>-9.0909090909090898E-2</v>
      </c>
      <c r="O48" s="178">
        <v>-9.0909090909090953E-2</v>
      </c>
      <c r="P48" s="178">
        <v>-9.0909090909090939E-2</v>
      </c>
      <c r="Q48" s="178">
        <v>-0.30151134457776368</v>
      </c>
      <c r="R48" s="178">
        <v>0.30151134457776368</v>
      </c>
      <c r="S48" s="178">
        <v>-3.0831962920447734E-18</v>
      </c>
      <c r="T48" s="178">
        <v>-4.403435118445723E-18</v>
      </c>
      <c r="U48" s="178">
        <v>-5.1753515228942904E-18</v>
      </c>
      <c r="V48" s="178">
        <v>2.1470640900576029E-18</v>
      </c>
      <c r="W48" s="178">
        <v>-3.0834516820876016E-18</v>
      </c>
      <c r="X48" s="179">
        <v>0.20862765085207102</v>
      </c>
    </row>
    <row r="49" spans="2:24" x14ac:dyDescent="0.5">
      <c r="B49" s="171" t="s">
        <v>376</v>
      </c>
      <c r="C49" s="178">
        <v>-4.3996553458118644E-18</v>
      </c>
      <c r="D49" s="178">
        <v>4.3976122254692387E-18</v>
      </c>
      <c r="E49" s="178">
        <v>-9.0909090909090967E-2</v>
      </c>
      <c r="F49" s="182">
        <v>1</v>
      </c>
      <c r="G49" s="178">
        <v>-9.0909090909090967E-2</v>
      </c>
      <c r="H49" s="178">
        <v>-9.0909090909090967E-2</v>
      </c>
      <c r="I49" s="178">
        <v>-9.0909090909090967E-2</v>
      </c>
      <c r="J49" s="178">
        <v>-9.0909090909090953E-2</v>
      </c>
      <c r="K49" s="178">
        <v>-9.0909090909090953E-2</v>
      </c>
      <c r="L49" s="178">
        <v>-9.0909090909090953E-2</v>
      </c>
      <c r="M49" s="178">
        <v>-9.0909090909090939E-2</v>
      </c>
      <c r="N49" s="178">
        <v>-9.0909090909090912E-2</v>
      </c>
      <c r="O49" s="178">
        <v>-9.0909090909090981E-2</v>
      </c>
      <c r="P49" s="178">
        <v>-9.0909090909090953E-2</v>
      </c>
      <c r="Q49" s="178">
        <v>-0.3015113445777638</v>
      </c>
      <c r="R49" s="178">
        <v>0.3015113445777638</v>
      </c>
      <c r="S49" s="178">
        <v>-3.0830685970233595E-18</v>
      </c>
      <c r="T49" s="178">
        <v>-2.1963543683234673E-19</v>
      </c>
      <c r="U49" s="178">
        <v>-2.036990981598602E-18</v>
      </c>
      <c r="V49" s="178">
        <v>1.1012418646756733E-18</v>
      </c>
      <c r="W49" s="178">
        <v>-9.9116875621667172E-19</v>
      </c>
      <c r="X49" s="179">
        <v>-0.21465096448140703</v>
      </c>
    </row>
    <row r="50" spans="2:24" x14ac:dyDescent="0.5">
      <c r="B50" s="171" t="s">
        <v>377</v>
      </c>
      <c r="C50" s="178">
        <v>-1.7789857447317289E-17</v>
      </c>
      <c r="D50" s="178">
        <v>1.7787814326974663E-17</v>
      </c>
      <c r="E50" s="178">
        <v>-9.0909090909090939E-2</v>
      </c>
      <c r="F50" s="178">
        <v>-9.0909090909090967E-2</v>
      </c>
      <c r="G50" s="182">
        <v>1</v>
      </c>
      <c r="H50" s="178">
        <v>-9.0909090909090953E-2</v>
      </c>
      <c r="I50" s="178">
        <v>-9.0909090909090939E-2</v>
      </c>
      <c r="J50" s="178">
        <v>-9.0909090909090939E-2</v>
      </c>
      <c r="K50" s="178">
        <v>-9.0909090909090939E-2</v>
      </c>
      <c r="L50" s="178">
        <v>-9.0909090909090925E-2</v>
      </c>
      <c r="M50" s="178">
        <v>-9.0909090909090884E-2</v>
      </c>
      <c r="N50" s="178">
        <v>-9.0909090909090884E-2</v>
      </c>
      <c r="O50" s="178">
        <v>-9.0909090909090939E-2</v>
      </c>
      <c r="P50" s="178">
        <v>-9.0909090909090953E-2</v>
      </c>
      <c r="Q50" s="178">
        <v>-0.30151134457776357</v>
      </c>
      <c r="R50" s="178">
        <v>0.30151134457776357</v>
      </c>
      <c r="S50" s="178">
        <v>-1.2497511745803352E-17</v>
      </c>
      <c r="T50" s="178">
        <v>-2.2065699700365992E-19</v>
      </c>
      <c r="U50" s="178">
        <v>1.0516195793541322E-17</v>
      </c>
      <c r="V50" s="178">
        <v>-8.3133289791257343E-18</v>
      </c>
      <c r="W50" s="178">
        <v>-1.2497767135846181E-17</v>
      </c>
      <c r="X50" s="179">
        <v>0.16863111502561723</v>
      </c>
    </row>
    <row r="51" spans="2:24" x14ac:dyDescent="0.5">
      <c r="B51" s="171" t="s">
        <v>378</v>
      </c>
      <c r="C51" s="178">
        <v>-1.1095165020633105E-17</v>
      </c>
      <c r="D51" s="178">
        <v>1.1093121900290478E-17</v>
      </c>
      <c r="E51" s="178">
        <v>-9.0909090909090967E-2</v>
      </c>
      <c r="F51" s="178">
        <v>-9.0909090909090967E-2</v>
      </c>
      <c r="G51" s="178">
        <v>-9.0909090909090953E-2</v>
      </c>
      <c r="H51" s="182">
        <v>1</v>
      </c>
      <c r="I51" s="178">
        <v>-9.0909090909090953E-2</v>
      </c>
      <c r="J51" s="178">
        <v>-9.0909090909090953E-2</v>
      </c>
      <c r="K51" s="178">
        <v>-9.0909090909090953E-2</v>
      </c>
      <c r="L51" s="178">
        <v>-9.0909090909090953E-2</v>
      </c>
      <c r="M51" s="178">
        <v>-9.0909090909090912E-2</v>
      </c>
      <c r="N51" s="178">
        <v>-9.0909090909090912E-2</v>
      </c>
      <c r="O51" s="178">
        <v>-9.0909090909090939E-2</v>
      </c>
      <c r="P51" s="178">
        <v>-9.0909090909090953E-2</v>
      </c>
      <c r="Q51" s="178">
        <v>-0.30151134457776368</v>
      </c>
      <c r="R51" s="178">
        <v>0.30151134457776368</v>
      </c>
      <c r="S51" s="178">
        <v>-8.3130735890829073E-18</v>
      </c>
      <c r="T51" s="178">
        <v>-2.2116777708931658E-19</v>
      </c>
      <c r="U51" s="178">
        <v>8.4241682577132238E-18</v>
      </c>
      <c r="V51" s="178">
        <v>5.5419639293743287E-20</v>
      </c>
      <c r="W51" s="178">
        <v>-4.1290185174267027E-18</v>
      </c>
      <c r="X51" s="179">
        <v>-5.7784810969204882E-2</v>
      </c>
    </row>
    <row r="52" spans="2:24" x14ac:dyDescent="0.5">
      <c r="B52" s="171" t="s">
        <v>379</v>
      </c>
      <c r="C52" s="178">
        <v>-6.0731752184572144E-18</v>
      </c>
      <c r="D52" s="178">
        <v>6.071132098114588E-18</v>
      </c>
      <c r="E52" s="178">
        <v>-9.0909090909090953E-2</v>
      </c>
      <c r="F52" s="178">
        <v>-9.0909090909090967E-2</v>
      </c>
      <c r="G52" s="178">
        <v>-9.0909090909090939E-2</v>
      </c>
      <c r="H52" s="178">
        <v>-9.0909090909090953E-2</v>
      </c>
      <c r="I52" s="182">
        <v>1</v>
      </c>
      <c r="J52" s="178">
        <v>-9.0909090909090953E-2</v>
      </c>
      <c r="K52" s="178">
        <v>-9.0909090909090953E-2</v>
      </c>
      <c r="L52" s="178">
        <v>-9.0909090909090967E-2</v>
      </c>
      <c r="M52" s="178">
        <v>-9.0909090909090939E-2</v>
      </c>
      <c r="N52" s="178">
        <v>-9.0909090909090925E-2</v>
      </c>
      <c r="O52" s="178">
        <v>-9.0909090909090953E-2</v>
      </c>
      <c r="P52" s="178">
        <v>-9.0909090909090912E-2</v>
      </c>
      <c r="Q52" s="178">
        <v>0.30151134457776335</v>
      </c>
      <c r="R52" s="178">
        <v>-0.30151134457776335</v>
      </c>
      <c r="S52" s="178">
        <v>-3.0831962920447734E-18</v>
      </c>
      <c r="T52" s="178">
        <v>-2.1912465674669011E-19</v>
      </c>
      <c r="U52" s="178">
        <v>2.1471917850790172E-18</v>
      </c>
      <c r="V52" s="178">
        <v>1.1011141696542591E-18</v>
      </c>
      <c r="W52" s="178">
        <v>-9.9129645123808564E-19</v>
      </c>
      <c r="X52" s="179">
        <v>0.20728432191315441</v>
      </c>
    </row>
    <row r="53" spans="2:24" x14ac:dyDescent="0.5">
      <c r="B53" s="171" t="s">
        <v>380</v>
      </c>
      <c r="C53" s="178">
        <v>-4.3996553458118636E-18</v>
      </c>
      <c r="D53" s="178">
        <v>4.3976122254692371E-18</v>
      </c>
      <c r="E53" s="178">
        <v>-9.0909090909090953E-2</v>
      </c>
      <c r="F53" s="178">
        <v>-9.0909090909090953E-2</v>
      </c>
      <c r="G53" s="178">
        <v>-9.0909090909090939E-2</v>
      </c>
      <c r="H53" s="178">
        <v>-9.0909090909090953E-2</v>
      </c>
      <c r="I53" s="178">
        <v>-9.0909090909090953E-2</v>
      </c>
      <c r="J53" s="182">
        <v>1</v>
      </c>
      <c r="K53" s="178">
        <v>-9.0909090909090967E-2</v>
      </c>
      <c r="L53" s="178">
        <v>-9.0909090909090981E-2</v>
      </c>
      <c r="M53" s="178">
        <v>-9.0909090909090953E-2</v>
      </c>
      <c r="N53" s="178">
        <v>-9.0909090909090939E-2</v>
      </c>
      <c r="O53" s="178">
        <v>-9.0909090909090953E-2</v>
      </c>
      <c r="P53" s="178">
        <v>-9.0909090909090912E-2</v>
      </c>
      <c r="Q53" s="178">
        <v>0.30151134457776346</v>
      </c>
      <c r="R53" s="178">
        <v>-0.30151134457776346</v>
      </c>
      <c r="S53" s="178">
        <v>-5.1752238278728753E-18</v>
      </c>
      <c r="T53" s="178">
        <v>-4.4039458985313794E-18</v>
      </c>
      <c r="U53" s="178">
        <v>-5.1752238278728769E-18</v>
      </c>
      <c r="V53" s="178">
        <v>1.1012418646756733E-18</v>
      </c>
      <c r="W53" s="178">
        <v>1.1009864746328448E-18</v>
      </c>
      <c r="X53" s="179">
        <v>-9.6091352324118334E-2</v>
      </c>
    </row>
    <row r="54" spans="2:24" x14ac:dyDescent="0.5">
      <c r="B54" s="171" t="s">
        <v>381</v>
      </c>
      <c r="C54" s="178">
        <v>2.2952413929065882E-18</v>
      </c>
      <c r="D54" s="178">
        <v>-2.2972845132492151E-18</v>
      </c>
      <c r="E54" s="178">
        <v>-9.0909090909090953E-2</v>
      </c>
      <c r="F54" s="178">
        <v>-9.0909090909090953E-2</v>
      </c>
      <c r="G54" s="178">
        <v>-9.0909090909090939E-2</v>
      </c>
      <c r="H54" s="178">
        <v>-9.0909090909090953E-2</v>
      </c>
      <c r="I54" s="178">
        <v>-9.0909090909090953E-2</v>
      </c>
      <c r="J54" s="178">
        <v>-9.0909090909090967E-2</v>
      </c>
      <c r="K54" s="182">
        <v>1</v>
      </c>
      <c r="L54" s="178">
        <v>-9.0909090909090967E-2</v>
      </c>
      <c r="M54" s="178">
        <v>-9.0909090909090939E-2</v>
      </c>
      <c r="N54" s="178">
        <v>-9.0909090909090925E-2</v>
      </c>
      <c r="O54" s="178">
        <v>-9.0909090909090953E-2</v>
      </c>
      <c r="P54" s="178">
        <v>-9.0909090909090912E-2</v>
      </c>
      <c r="Q54" s="178">
        <v>0.30151134457776346</v>
      </c>
      <c r="R54" s="178">
        <v>-0.30151134457776346</v>
      </c>
      <c r="S54" s="178">
        <v>-2.56002978931098E-18</v>
      </c>
      <c r="T54" s="178">
        <v>1.8725197940171699E-18</v>
      </c>
      <c r="U54" s="178">
        <v>1.6242806723880524E-18</v>
      </c>
      <c r="V54" s="178">
        <v>1.6242806723880524E-18</v>
      </c>
      <c r="W54" s="178">
        <v>1.6240252823452242E-18</v>
      </c>
      <c r="X54" s="179">
        <v>0.13552455666005861</v>
      </c>
    </row>
    <row r="55" spans="2:24" x14ac:dyDescent="0.5">
      <c r="B55" s="171" t="s">
        <v>382</v>
      </c>
      <c r="C55" s="178">
        <v>-7.7475123392396145E-18</v>
      </c>
      <c r="D55" s="178">
        <v>7.7454692188969888E-18</v>
      </c>
      <c r="E55" s="178">
        <v>-9.0909090909090939E-2</v>
      </c>
      <c r="F55" s="178">
        <v>-9.0909090909090953E-2</v>
      </c>
      <c r="G55" s="178">
        <v>-9.0909090909090925E-2</v>
      </c>
      <c r="H55" s="178">
        <v>-9.0909090909090953E-2</v>
      </c>
      <c r="I55" s="178">
        <v>-9.0909090909090967E-2</v>
      </c>
      <c r="J55" s="178">
        <v>-9.0909090909090981E-2</v>
      </c>
      <c r="K55" s="178">
        <v>-9.0909090909090967E-2</v>
      </c>
      <c r="L55" s="182">
        <v>1</v>
      </c>
      <c r="M55" s="178">
        <v>-9.0909090909090939E-2</v>
      </c>
      <c r="N55" s="178">
        <v>-9.0909090909090912E-2</v>
      </c>
      <c r="O55" s="178">
        <v>-9.0909090909090939E-2</v>
      </c>
      <c r="P55" s="178">
        <v>-9.0909090909090925E-2</v>
      </c>
      <c r="Q55" s="178">
        <v>0.30151134457776346</v>
      </c>
      <c r="R55" s="178">
        <v>-0.30151134457776346</v>
      </c>
      <c r="S55" s="178">
        <v>-1.5136967838433937E-18</v>
      </c>
      <c r="T55" s="178">
        <v>-1.0681433151251244E-17</v>
      </c>
      <c r="U55" s="178">
        <v>6.8549241395546728E-18</v>
      </c>
      <c r="V55" s="178">
        <v>2.6704859828342242E-18</v>
      </c>
      <c r="W55" s="178">
        <v>5.7820305696329401E-19</v>
      </c>
      <c r="X55" s="179">
        <v>-0.25594749605519929</v>
      </c>
    </row>
    <row r="56" spans="2:24" x14ac:dyDescent="0.5">
      <c r="B56" s="171" t="s">
        <v>383</v>
      </c>
      <c r="C56" s="178">
        <v>-2.3079087390308728E-18</v>
      </c>
      <c r="D56" s="178">
        <v>2.3058656186882463E-18</v>
      </c>
      <c r="E56" s="178">
        <v>-9.0909090909090912E-2</v>
      </c>
      <c r="F56" s="178">
        <v>-9.0909090909090939E-2</v>
      </c>
      <c r="G56" s="178">
        <v>-9.0909090909090884E-2</v>
      </c>
      <c r="H56" s="178">
        <v>-9.0909090909090912E-2</v>
      </c>
      <c r="I56" s="178">
        <v>-9.0909090909090939E-2</v>
      </c>
      <c r="J56" s="178">
        <v>-9.0909090909090953E-2</v>
      </c>
      <c r="K56" s="178">
        <v>-9.0909090909090939E-2</v>
      </c>
      <c r="L56" s="178">
        <v>-9.0909090909090939E-2</v>
      </c>
      <c r="M56" s="182">
        <v>1</v>
      </c>
      <c r="N56" s="178">
        <v>-9.0909090909090925E-2</v>
      </c>
      <c r="O56" s="178">
        <v>-9.0909090909090898E-2</v>
      </c>
      <c r="P56" s="178">
        <v>-9.0909090909090884E-2</v>
      </c>
      <c r="Q56" s="178">
        <v>0.30151134457776357</v>
      </c>
      <c r="R56" s="178">
        <v>-0.30151134457776357</v>
      </c>
      <c r="S56" s="178">
        <v>-6.7440848609671841E-18</v>
      </c>
      <c r="T56" s="178">
        <v>-6.4971226895522096E-18</v>
      </c>
      <c r="U56" s="178">
        <v>7.9010017549794303E-18</v>
      </c>
      <c r="V56" s="178">
        <v>3.7165635982589821E-18</v>
      </c>
      <c r="W56" s="178">
        <v>-2.56002978931098E-18</v>
      </c>
      <c r="X56" s="179">
        <v>0.11654461874891373</v>
      </c>
    </row>
    <row r="57" spans="2:24" x14ac:dyDescent="0.5">
      <c r="B57" s="171" t="s">
        <v>384</v>
      </c>
      <c r="C57" s="178">
        <v>-8.0940255493490668E-18</v>
      </c>
      <c r="D57" s="178">
        <v>8.1152740009123814E-18</v>
      </c>
      <c r="E57" s="178">
        <v>-9.0909090909090898E-2</v>
      </c>
      <c r="F57" s="178">
        <v>-9.0909090909090912E-2</v>
      </c>
      <c r="G57" s="178">
        <v>-9.0909090909090884E-2</v>
      </c>
      <c r="H57" s="178">
        <v>-9.0909090909090912E-2</v>
      </c>
      <c r="I57" s="178">
        <v>-9.0909090909090925E-2</v>
      </c>
      <c r="J57" s="178">
        <v>-9.0909090909090939E-2</v>
      </c>
      <c r="K57" s="178">
        <v>-9.0909090909090925E-2</v>
      </c>
      <c r="L57" s="178">
        <v>-9.0909090909090912E-2</v>
      </c>
      <c r="M57" s="178">
        <v>-9.0909090909090925E-2</v>
      </c>
      <c r="N57" s="182">
        <v>1</v>
      </c>
      <c r="O57" s="178">
        <v>-9.0909090909090884E-2</v>
      </c>
      <c r="P57" s="178">
        <v>-9.0909090909090884E-2</v>
      </c>
      <c r="Q57" s="178">
        <v>0.30151134457776352</v>
      </c>
      <c r="R57" s="178">
        <v>-0.30151134457776352</v>
      </c>
      <c r="S57" s="178">
        <v>7.0079027752088284E-19</v>
      </c>
      <c r="T57" s="178">
        <v>-2.8154198321392905E-18</v>
      </c>
      <c r="U57" s="178">
        <v>6.9772559700694329E-18</v>
      </c>
      <c r="V57" s="178">
        <v>2.7939670685417123E-18</v>
      </c>
      <c r="W57" s="178">
        <v>7.0385495803482244E-19</v>
      </c>
      <c r="X57" s="179">
        <v>-0.17491442780442101</v>
      </c>
    </row>
    <row r="58" spans="2:24" x14ac:dyDescent="0.5">
      <c r="B58" s="171" t="s">
        <v>385</v>
      </c>
      <c r="C58" s="178">
        <v>-4.4000639698803886E-18</v>
      </c>
      <c r="D58" s="178">
        <v>4.3980208495377613E-18</v>
      </c>
      <c r="E58" s="178">
        <v>-9.0909090909090953E-2</v>
      </c>
      <c r="F58" s="178">
        <v>-9.0909090909090981E-2</v>
      </c>
      <c r="G58" s="178">
        <v>-9.0909090909090939E-2</v>
      </c>
      <c r="H58" s="178">
        <v>-9.0909090909090939E-2</v>
      </c>
      <c r="I58" s="178">
        <v>-9.0909090909090953E-2</v>
      </c>
      <c r="J58" s="178">
        <v>-9.0909090909090953E-2</v>
      </c>
      <c r="K58" s="178">
        <v>-9.0909090909090953E-2</v>
      </c>
      <c r="L58" s="178">
        <v>-9.0909090909090939E-2</v>
      </c>
      <c r="M58" s="178">
        <v>-9.0909090909090898E-2</v>
      </c>
      <c r="N58" s="178">
        <v>-9.0909090909090884E-2</v>
      </c>
      <c r="O58" s="182">
        <v>1</v>
      </c>
      <c r="P58" s="178">
        <v>-9.0909090909090925E-2</v>
      </c>
      <c r="Q58" s="178">
        <v>-0.30151134457776363</v>
      </c>
      <c r="R58" s="178">
        <v>0.30151134457776363</v>
      </c>
      <c r="S58" s="178">
        <v>-4.1288908224052884E-18</v>
      </c>
      <c r="T58" s="178">
        <v>-2.2065699700365992E-19</v>
      </c>
      <c r="U58" s="178">
        <v>-6.221046053254805E-18</v>
      </c>
      <c r="V58" s="178">
        <v>5.5291944272329133E-20</v>
      </c>
      <c r="W58" s="178">
        <v>2.1473194801004308E-18</v>
      </c>
      <c r="X58" s="179">
        <v>-0.19450103039765732</v>
      </c>
    </row>
    <row r="59" spans="2:24" x14ac:dyDescent="0.5">
      <c r="B59" s="171" t="s">
        <v>386</v>
      </c>
      <c r="C59" s="178">
        <v>-7.7477166512738758E-18</v>
      </c>
      <c r="D59" s="178">
        <v>7.7456735309312501E-18</v>
      </c>
      <c r="E59" s="178">
        <v>-9.0909090909090939E-2</v>
      </c>
      <c r="F59" s="178">
        <v>-9.0909090909090953E-2</v>
      </c>
      <c r="G59" s="178">
        <v>-9.0909090909090953E-2</v>
      </c>
      <c r="H59" s="178">
        <v>-9.0909090909090953E-2</v>
      </c>
      <c r="I59" s="178">
        <v>-9.0909090909090912E-2</v>
      </c>
      <c r="J59" s="178">
        <v>-9.0909090909090912E-2</v>
      </c>
      <c r="K59" s="178">
        <v>-9.0909090909090912E-2</v>
      </c>
      <c r="L59" s="178">
        <v>-9.0909090909090925E-2</v>
      </c>
      <c r="M59" s="178">
        <v>-9.0909090909090884E-2</v>
      </c>
      <c r="N59" s="178">
        <v>-9.0909090909090884E-2</v>
      </c>
      <c r="O59" s="178">
        <v>-9.0909090909090925E-2</v>
      </c>
      <c r="P59" s="182">
        <v>1</v>
      </c>
      <c r="Q59" s="178">
        <v>-0.30151134457776363</v>
      </c>
      <c r="R59" s="178">
        <v>0.30151134457776363</v>
      </c>
      <c r="S59" s="178">
        <v>-6.2209183582333899E-18</v>
      </c>
      <c r="T59" s="178">
        <v>-2.2116777708931653E-19</v>
      </c>
      <c r="U59" s="178">
        <v>2.1477025651646733E-18</v>
      </c>
      <c r="V59" s="178">
        <v>5.5419639293743287E-20</v>
      </c>
      <c r="W59" s="178">
        <v>-2.0368632865771869E-18</v>
      </c>
      <c r="X59" s="179">
        <v>0.15727781883219272</v>
      </c>
    </row>
    <row r="60" spans="2:24" x14ac:dyDescent="0.5">
      <c r="B60" s="171" t="s">
        <v>387</v>
      </c>
      <c r="C60" s="178">
        <v>-1.085196024476949E-17</v>
      </c>
      <c r="D60" s="178">
        <v>1.0858284757442323E-17</v>
      </c>
      <c r="E60" s="178">
        <v>-0.30151134457776368</v>
      </c>
      <c r="F60" s="178">
        <v>-0.3015113445777638</v>
      </c>
      <c r="G60" s="178">
        <v>-0.30151134457776357</v>
      </c>
      <c r="H60" s="178">
        <v>-0.30151134457776368</v>
      </c>
      <c r="I60" s="178">
        <v>0.30151134457776335</v>
      </c>
      <c r="J60" s="178">
        <v>0.30151134457776346</v>
      </c>
      <c r="K60" s="178">
        <v>0.30151134457776346</v>
      </c>
      <c r="L60" s="178">
        <v>0.30151134457776346</v>
      </c>
      <c r="M60" s="178">
        <v>0.30151134457776357</v>
      </c>
      <c r="N60" s="178">
        <v>0.30151134457776352</v>
      </c>
      <c r="O60" s="178">
        <v>-0.30151134457776363</v>
      </c>
      <c r="P60" s="178">
        <v>-0.30151134457776363</v>
      </c>
      <c r="Q60" s="182">
        <v>1</v>
      </c>
      <c r="R60" s="178">
        <v>-1</v>
      </c>
      <c r="S60" s="178">
        <v>-8.566891228529989E-18</v>
      </c>
      <c r="T60" s="178">
        <v>-2.7432573718409265E-18</v>
      </c>
      <c r="U60" s="178">
        <v>2.8440542925641883E-17</v>
      </c>
      <c r="V60" s="178">
        <v>5.311178923600212E-18</v>
      </c>
      <c r="W60" s="178">
        <v>-1.7817902734125702E-17</v>
      </c>
      <c r="X60" s="179">
        <v>-3.7367183732494175E-2</v>
      </c>
    </row>
    <row r="61" spans="2:24" x14ac:dyDescent="0.5">
      <c r="B61" s="171" t="s">
        <v>388</v>
      </c>
      <c r="C61" s="178">
        <v>1.085196024476949E-17</v>
      </c>
      <c r="D61" s="178">
        <v>-1.0858284757442323E-17</v>
      </c>
      <c r="E61" s="178">
        <v>0.30151134457776368</v>
      </c>
      <c r="F61" s="178">
        <v>0.3015113445777638</v>
      </c>
      <c r="G61" s="178">
        <v>0.30151134457776357</v>
      </c>
      <c r="H61" s="178">
        <v>0.30151134457776368</v>
      </c>
      <c r="I61" s="178">
        <v>-0.30151134457776335</v>
      </c>
      <c r="J61" s="178">
        <v>-0.30151134457776346</v>
      </c>
      <c r="K61" s="178">
        <v>-0.30151134457776346</v>
      </c>
      <c r="L61" s="178">
        <v>-0.30151134457776346</v>
      </c>
      <c r="M61" s="178">
        <v>-0.30151134457776357</v>
      </c>
      <c r="N61" s="178">
        <v>-0.30151134457776352</v>
      </c>
      <c r="O61" s="178">
        <v>0.30151134457776363</v>
      </c>
      <c r="P61" s="178">
        <v>0.30151134457776363</v>
      </c>
      <c r="Q61" s="178">
        <v>-1</v>
      </c>
      <c r="R61" s="182">
        <v>1</v>
      </c>
      <c r="S61" s="178">
        <v>8.566891228529989E-18</v>
      </c>
      <c r="T61" s="178">
        <v>2.7432573718409265E-18</v>
      </c>
      <c r="U61" s="178">
        <v>-2.8440542925641883E-17</v>
      </c>
      <c r="V61" s="178">
        <v>-5.311178923600212E-18</v>
      </c>
      <c r="W61" s="178">
        <v>1.7817902734125702E-17</v>
      </c>
      <c r="X61" s="179">
        <v>3.7367183732494175E-2</v>
      </c>
    </row>
    <row r="62" spans="2:24" x14ac:dyDescent="0.5">
      <c r="B62" s="171" t="s">
        <v>389</v>
      </c>
      <c r="C62" s="178">
        <v>-8.5685852944245038E-18</v>
      </c>
      <c r="D62" s="178">
        <v>8.5657618512669889E-18</v>
      </c>
      <c r="E62" s="178">
        <v>-3.0831962920447734E-18</v>
      </c>
      <c r="F62" s="178">
        <v>-3.0830685970233595E-18</v>
      </c>
      <c r="G62" s="178">
        <v>-1.2497511745803352E-17</v>
      </c>
      <c r="H62" s="178">
        <v>-8.3130735890829073E-18</v>
      </c>
      <c r="I62" s="178">
        <v>-3.0831962920447734E-18</v>
      </c>
      <c r="J62" s="178">
        <v>-5.1752238278728753E-18</v>
      </c>
      <c r="K62" s="178">
        <v>-2.56002978931098E-18</v>
      </c>
      <c r="L62" s="178">
        <v>-1.5136967838433937E-18</v>
      </c>
      <c r="M62" s="178">
        <v>-6.7440848609671841E-18</v>
      </c>
      <c r="N62" s="178">
        <v>7.0079027752088284E-19</v>
      </c>
      <c r="O62" s="178">
        <v>-4.1288908224052884E-18</v>
      </c>
      <c r="P62" s="178">
        <v>-6.2209183582333899E-18</v>
      </c>
      <c r="Q62" s="178">
        <v>-8.566891228529989E-18</v>
      </c>
      <c r="R62" s="178">
        <v>8.566891228529989E-18</v>
      </c>
      <c r="S62" s="182">
        <v>1</v>
      </c>
      <c r="T62" s="178">
        <v>-0.25</v>
      </c>
      <c r="U62" s="178">
        <v>-0.25000000000000011</v>
      </c>
      <c r="V62" s="178">
        <v>-0.25000000000000011</v>
      </c>
      <c r="W62" s="178">
        <v>-0.24999999999999983</v>
      </c>
      <c r="X62" s="179">
        <v>5.6020833945109538E-2</v>
      </c>
    </row>
    <row r="63" spans="2:24" x14ac:dyDescent="0.5">
      <c r="B63" s="171" t="s">
        <v>392</v>
      </c>
      <c r="C63" s="178">
        <v>-2.7364811082628936E-18</v>
      </c>
      <c r="D63" s="178">
        <v>2.7477748808929507E-18</v>
      </c>
      <c r="E63" s="178">
        <v>-4.403435118445723E-18</v>
      </c>
      <c r="F63" s="178">
        <v>-2.1963543683234673E-19</v>
      </c>
      <c r="G63" s="178">
        <v>-2.2065699700365992E-19</v>
      </c>
      <c r="H63" s="178">
        <v>-2.2116777708931658E-19</v>
      </c>
      <c r="I63" s="178">
        <v>-2.1912465674669011E-19</v>
      </c>
      <c r="J63" s="178">
        <v>-4.4039458985313794E-18</v>
      </c>
      <c r="K63" s="178">
        <v>1.8725197940171699E-18</v>
      </c>
      <c r="L63" s="178">
        <v>-1.0681433151251244E-17</v>
      </c>
      <c r="M63" s="178">
        <v>-6.4971226895522096E-18</v>
      </c>
      <c r="N63" s="178">
        <v>-2.8154198321392905E-18</v>
      </c>
      <c r="O63" s="178">
        <v>-2.2065699700365992E-19</v>
      </c>
      <c r="P63" s="178">
        <v>-2.2116777708931653E-19</v>
      </c>
      <c r="Q63" s="178">
        <v>-2.7432573718409265E-18</v>
      </c>
      <c r="R63" s="178">
        <v>2.7432573718409265E-18</v>
      </c>
      <c r="S63" s="178">
        <v>-0.25</v>
      </c>
      <c r="T63" s="182">
        <v>1</v>
      </c>
      <c r="U63" s="178">
        <v>-0.25000000000000011</v>
      </c>
      <c r="V63" s="178">
        <v>-0.25000000000000011</v>
      </c>
      <c r="W63" s="178">
        <v>-0.24999999999999994</v>
      </c>
      <c r="X63" s="179">
        <v>-5.3326085118246921E-2</v>
      </c>
    </row>
    <row r="64" spans="2:24" x14ac:dyDescent="0.5">
      <c r="B64" s="171" t="s">
        <v>390</v>
      </c>
      <c r="C64" s="178">
        <v>2.8438848859747387E-17</v>
      </c>
      <c r="D64" s="178">
        <v>-2.8441672302904903E-17</v>
      </c>
      <c r="E64" s="178">
        <v>-5.1753515228942904E-18</v>
      </c>
      <c r="F64" s="178">
        <v>-2.036990981598602E-18</v>
      </c>
      <c r="G64" s="178">
        <v>1.0516195793541322E-17</v>
      </c>
      <c r="H64" s="178">
        <v>8.4241682577132238E-18</v>
      </c>
      <c r="I64" s="178">
        <v>2.1471917850790172E-18</v>
      </c>
      <c r="J64" s="178">
        <v>-5.1752238278728769E-18</v>
      </c>
      <c r="K64" s="178">
        <v>1.6242806723880524E-18</v>
      </c>
      <c r="L64" s="178">
        <v>6.8549241395546728E-18</v>
      </c>
      <c r="M64" s="178">
        <v>7.9010017549794303E-18</v>
      </c>
      <c r="N64" s="178">
        <v>6.9772559700694329E-18</v>
      </c>
      <c r="O64" s="178">
        <v>-6.221046053254805E-18</v>
      </c>
      <c r="P64" s="178">
        <v>2.1477025651646733E-18</v>
      </c>
      <c r="Q64" s="178">
        <v>2.8440542925641883E-17</v>
      </c>
      <c r="R64" s="178">
        <v>-2.8440542925641883E-17</v>
      </c>
      <c r="S64" s="178">
        <v>-0.25000000000000011</v>
      </c>
      <c r="T64" s="178">
        <v>-0.25000000000000011</v>
      </c>
      <c r="U64" s="182">
        <v>1</v>
      </c>
      <c r="V64" s="178">
        <v>-0.25000000000000028</v>
      </c>
      <c r="W64" s="178">
        <v>-0.25000000000000006</v>
      </c>
      <c r="X64" s="179">
        <v>3.6948000581648904E-2</v>
      </c>
    </row>
    <row r="65" spans="2:24" x14ac:dyDescent="0.5">
      <c r="B65" s="171" t="s">
        <v>391</v>
      </c>
      <c r="C65" s="178">
        <v>4.6942848281149091E-17</v>
      </c>
      <c r="D65" s="178">
        <v>-4.6945671724306601E-17</v>
      </c>
      <c r="E65" s="178">
        <v>2.1470640900576029E-18</v>
      </c>
      <c r="F65" s="178">
        <v>1.1012418646756733E-18</v>
      </c>
      <c r="G65" s="178">
        <v>-8.3133289791257343E-18</v>
      </c>
      <c r="H65" s="178">
        <v>5.5419639293743287E-20</v>
      </c>
      <c r="I65" s="178">
        <v>1.1011141696542591E-18</v>
      </c>
      <c r="J65" s="178">
        <v>1.1012418646756733E-18</v>
      </c>
      <c r="K65" s="178">
        <v>1.6242806723880524E-18</v>
      </c>
      <c r="L65" s="178">
        <v>2.6704859828342242E-18</v>
      </c>
      <c r="M65" s="178">
        <v>3.7165635982589821E-18</v>
      </c>
      <c r="N65" s="178">
        <v>2.7939670685417123E-18</v>
      </c>
      <c r="O65" s="178">
        <v>5.5291944272329133E-20</v>
      </c>
      <c r="P65" s="178">
        <v>5.5419639293743287E-20</v>
      </c>
      <c r="Q65" s="178">
        <v>5.311178923600212E-18</v>
      </c>
      <c r="R65" s="178">
        <v>-5.311178923600212E-18</v>
      </c>
      <c r="S65" s="178">
        <v>-0.25000000000000011</v>
      </c>
      <c r="T65" s="178">
        <v>-0.25000000000000011</v>
      </c>
      <c r="U65" s="178">
        <v>-0.25000000000000028</v>
      </c>
      <c r="V65" s="182">
        <v>1</v>
      </c>
      <c r="W65" s="178">
        <v>-0.25</v>
      </c>
      <c r="X65" s="179">
        <v>1.9312366592515041E-2</v>
      </c>
    </row>
    <row r="66" spans="2:24" x14ac:dyDescent="0.5">
      <c r="B66" s="171" t="s">
        <v>437</v>
      </c>
      <c r="C66" s="178">
        <v>-8.5677382614772495E-18</v>
      </c>
      <c r="D66" s="178">
        <v>8.5649148183197346E-18</v>
      </c>
      <c r="E66" s="178">
        <v>-3.0834516820876016E-18</v>
      </c>
      <c r="F66" s="178">
        <v>-9.9116875621667172E-19</v>
      </c>
      <c r="G66" s="178">
        <v>-1.2497767135846181E-17</v>
      </c>
      <c r="H66" s="178">
        <v>-4.1290185174267027E-18</v>
      </c>
      <c r="I66" s="178">
        <v>-9.9129645123808564E-19</v>
      </c>
      <c r="J66" s="178">
        <v>1.1009864746328448E-18</v>
      </c>
      <c r="K66" s="178">
        <v>1.6240252823452242E-18</v>
      </c>
      <c r="L66" s="178">
        <v>5.7820305696329401E-19</v>
      </c>
      <c r="M66" s="178">
        <v>-2.56002978931098E-18</v>
      </c>
      <c r="N66" s="178">
        <v>7.0385495803482244E-19</v>
      </c>
      <c r="O66" s="178">
        <v>2.1473194801004308E-18</v>
      </c>
      <c r="P66" s="178">
        <v>-2.0368632865771869E-18</v>
      </c>
      <c r="Q66" s="178">
        <v>-1.7817902734125702E-17</v>
      </c>
      <c r="R66" s="178">
        <v>1.7817902734125702E-17</v>
      </c>
      <c r="S66" s="178">
        <v>-0.24999999999999983</v>
      </c>
      <c r="T66" s="178">
        <v>-0.24999999999999994</v>
      </c>
      <c r="U66" s="178">
        <v>-0.25000000000000006</v>
      </c>
      <c r="V66" s="178">
        <v>-0.25</v>
      </c>
      <c r="W66" s="182">
        <v>1</v>
      </c>
      <c r="X66" s="179">
        <v>-5.8955116001026459E-2</v>
      </c>
    </row>
    <row r="67" spans="2:24" ht="14.7" thickBot="1" x14ac:dyDescent="0.55000000000000004">
      <c r="B67" s="175" t="s">
        <v>50</v>
      </c>
      <c r="C67" s="180">
        <v>-4.103204213702729E-2</v>
      </c>
      <c r="D67" s="180">
        <v>4.103204213702729E-2</v>
      </c>
      <c r="E67" s="180">
        <v>0.20862765085207102</v>
      </c>
      <c r="F67" s="180">
        <v>-0.21465096448140703</v>
      </c>
      <c r="G67" s="180">
        <v>0.16863111502561723</v>
      </c>
      <c r="H67" s="180">
        <v>-5.7784810969204882E-2</v>
      </c>
      <c r="I67" s="180">
        <v>0.20728432191315441</v>
      </c>
      <c r="J67" s="180">
        <v>-9.6091352324118334E-2</v>
      </c>
      <c r="K67" s="180">
        <v>0.13552455666005861</v>
      </c>
      <c r="L67" s="180">
        <v>-0.25594749605519929</v>
      </c>
      <c r="M67" s="180">
        <v>0.11654461874891373</v>
      </c>
      <c r="N67" s="180">
        <v>-0.17491442780442101</v>
      </c>
      <c r="O67" s="180">
        <v>-0.19450103039765732</v>
      </c>
      <c r="P67" s="180">
        <v>0.15727781883219272</v>
      </c>
      <c r="Q67" s="180">
        <v>-3.7367183732494175E-2</v>
      </c>
      <c r="R67" s="180">
        <v>3.7367183732494175E-2</v>
      </c>
      <c r="S67" s="180">
        <v>5.6020833945109538E-2</v>
      </c>
      <c r="T67" s="180">
        <v>-5.3326085118246921E-2</v>
      </c>
      <c r="U67" s="180">
        <v>3.6948000581648904E-2</v>
      </c>
      <c r="V67" s="180">
        <v>1.9312366592515041E-2</v>
      </c>
      <c r="W67" s="180">
        <v>-5.8955116001026459E-2</v>
      </c>
      <c r="X67" s="183">
        <v>1</v>
      </c>
    </row>
    <row r="70" spans="2:24" x14ac:dyDescent="0.5">
      <c r="B70" s="89" t="s">
        <v>476</v>
      </c>
    </row>
    <row r="72" spans="2:24" x14ac:dyDescent="0.5">
      <c r="B72" t="s">
        <v>252</v>
      </c>
    </row>
    <row r="73" spans="2:24" ht="14.7" thickBot="1" x14ac:dyDescent="0.55000000000000004"/>
    <row r="74" spans="2:24" x14ac:dyDescent="0.5">
      <c r="B74" s="184" t="s">
        <v>221</v>
      </c>
      <c r="C74" s="185">
        <v>120</v>
      </c>
    </row>
    <row r="75" spans="2:24" x14ac:dyDescent="0.5">
      <c r="B75" s="160" t="s">
        <v>253</v>
      </c>
      <c r="C75" s="186">
        <v>120</v>
      </c>
    </row>
    <row r="76" spans="2:24" x14ac:dyDescent="0.5">
      <c r="B76" s="160" t="s">
        <v>254</v>
      </c>
      <c r="C76" s="169">
        <v>-321.42964818110158</v>
      </c>
    </row>
    <row r="77" spans="2:24" x14ac:dyDescent="0.5">
      <c r="B77" s="160" t="s">
        <v>255</v>
      </c>
      <c r="C77" s="169">
        <v>-317.42964818110158</v>
      </c>
    </row>
    <row r="78" spans="2:24" x14ac:dyDescent="0.5">
      <c r="B78" s="160" t="s">
        <v>256</v>
      </c>
      <c r="C78" s="169">
        <v>-317.3270840785375</v>
      </c>
    </row>
    <row r="79" spans="2:24" x14ac:dyDescent="0.5">
      <c r="B79" s="160" t="s">
        <v>257</v>
      </c>
      <c r="C79" s="169">
        <v>-311.85466469553751</v>
      </c>
    </row>
    <row r="80" spans="2:24" x14ac:dyDescent="0.5">
      <c r="B80" s="160" t="s">
        <v>258</v>
      </c>
      <c r="C80" s="169">
        <v>-309.85466469553751</v>
      </c>
    </row>
    <row r="81" spans="2:6" x14ac:dyDescent="0.5">
      <c r="B81" s="160" t="s">
        <v>259</v>
      </c>
      <c r="C81" s="186">
        <v>7</v>
      </c>
    </row>
    <row r="82" spans="2:6" x14ac:dyDescent="0.5">
      <c r="B82" s="160" t="s">
        <v>260</v>
      </c>
      <c r="C82" s="186">
        <v>2</v>
      </c>
    </row>
    <row r="83" spans="2:6" x14ac:dyDescent="0.5">
      <c r="B83" s="160" t="s">
        <v>261</v>
      </c>
      <c r="C83" s="186">
        <v>1</v>
      </c>
    </row>
    <row r="84" spans="2:6" x14ac:dyDescent="0.5">
      <c r="B84" s="160" t="s">
        <v>262</v>
      </c>
      <c r="C84" s="186">
        <v>0</v>
      </c>
    </row>
    <row r="85" spans="2:6" x14ac:dyDescent="0.5">
      <c r="B85" s="160" t="s">
        <v>263</v>
      </c>
      <c r="C85" s="186">
        <v>12</v>
      </c>
    </row>
    <row r="86" spans="2:6" ht="14.7" thickBot="1" x14ac:dyDescent="0.55000000000000004">
      <c r="B86" s="167" t="s">
        <v>264</v>
      </c>
      <c r="C86" s="187">
        <v>10</v>
      </c>
    </row>
    <row r="89" spans="2:6" x14ac:dyDescent="0.5">
      <c r="B89" t="s">
        <v>265</v>
      </c>
    </row>
    <row r="90" spans="2:6" ht="14.7" thickBot="1" x14ac:dyDescent="0.55000000000000004"/>
    <row r="91" spans="2:6" x14ac:dyDescent="0.5">
      <c r="B91" s="161"/>
      <c r="C91" s="162" t="s">
        <v>266</v>
      </c>
      <c r="D91" s="162" t="s">
        <v>267</v>
      </c>
      <c r="E91" s="162" t="s">
        <v>268</v>
      </c>
      <c r="F91" s="162" t="s">
        <v>269</v>
      </c>
    </row>
    <row r="92" spans="2:6" x14ac:dyDescent="0.5">
      <c r="B92" s="163" t="s">
        <v>270</v>
      </c>
      <c r="C92" s="168">
        <v>1.5673202407407384E-3</v>
      </c>
      <c r="D92" s="168">
        <v>2.3364229395281716E-4</v>
      </c>
      <c r="E92" s="168">
        <v>6.7082042990780195</v>
      </c>
      <c r="F92" s="188" t="s">
        <v>272</v>
      </c>
    </row>
    <row r="93" spans="2:6" ht="14.7" thickBot="1" x14ac:dyDescent="0.55000000000000004">
      <c r="B93" s="167" t="s">
        <v>271</v>
      </c>
      <c r="C93" s="170">
        <v>9.6210625925559974E-5</v>
      </c>
      <c r="D93" s="170">
        <v>1.1550688548008853E-4</v>
      </c>
      <c r="E93" s="170">
        <v>0.8329427767502664</v>
      </c>
      <c r="F93" s="170">
        <v>0.40487700283753975</v>
      </c>
    </row>
    <row r="96" spans="2:6" x14ac:dyDescent="0.5">
      <c r="B96" t="s">
        <v>273</v>
      </c>
    </row>
    <row r="97" spans="2:8" ht="14.7" thickBot="1" x14ac:dyDescent="0.55000000000000004"/>
    <row r="98" spans="2:8" x14ac:dyDescent="0.5">
      <c r="B98" s="162" t="s">
        <v>274</v>
      </c>
      <c r="C98" s="162" t="s">
        <v>275</v>
      </c>
      <c r="D98" s="162" t="s">
        <v>276</v>
      </c>
    </row>
    <row r="99" spans="2:8" ht="14.7" thickBot="1" x14ac:dyDescent="0.55000000000000004">
      <c r="B99" s="165">
        <v>1</v>
      </c>
      <c r="C99" s="166">
        <v>1.1712534643078243</v>
      </c>
      <c r="D99" s="166">
        <v>0.27914383698480061</v>
      </c>
    </row>
    <row r="102" spans="2:8" x14ac:dyDescent="0.5">
      <c r="B102" t="s">
        <v>277</v>
      </c>
    </row>
    <row r="103" spans="2:8" ht="14.7" thickBot="1" x14ac:dyDescent="0.55000000000000004"/>
    <row r="104" spans="2:8" x14ac:dyDescent="0.5">
      <c r="B104" s="161" t="s">
        <v>278</v>
      </c>
      <c r="C104" s="162" t="s">
        <v>279</v>
      </c>
      <c r="D104" s="162" t="s">
        <v>280</v>
      </c>
      <c r="E104" s="162" t="s">
        <v>62</v>
      </c>
      <c r="F104" s="162" t="s">
        <v>281</v>
      </c>
    </row>
    <row r="105" spans="2:8" ht="14.7" thickBot="1" x14ac:dyDescent="0.55000000000000004">
      <c r="B105" s="164" t="s">
        <v>477</v>
      </c>
      <c r="C105" s="165">
        <v>19</v>
      </c>
      <c r="D105" s="165">
        <v>100</v>
      </c>
      <c r="E105" s="166">
        <v>13.763019335636571</v>
      </c>
      <c r="F105" s="189" t="s">
        <v>272</v>
      </c>
    </row>
    <row r="108" spans="2:8" x14ac:dyDescent="0.5">
      <c r="B108" t="s">
        <v>283</v>
      </c>
    </row>
    <row r="109" spans="2:8" ht="14.7" thickBot="1" x14ac:dyDescent="0.55000000000000004"/>
    <row r="110" spans="2:8" x14ac:dyDescent="0.5">
      <c r="B110" s="161" t="s">
        <v>284</v>
      </c>
      <c r="C110" s="162" t="s">
        <v>285</v>
      </c>
      <c r="D110" s="162" t="s">
        <v>267</v>
      </c>
      <c r="E110" s="162" t="s">
        <v>286</v>
      </c>
      <c r="F110" s="162" t="s">
        <v>287</v>
      </c>
      <c r="G110" s="162" t="s">
        <v>288</v>
      </c>
      <c r="H110" s="162" t="s">
        <v>289</v>
      </c>
    </row>
    <row r="111" spans="2:8" x14ac:dyDescent="0.5">
      <c r="B111" s="163" t="s">
        <v>290</v>
      </c>
      <c r="C111" s="168">
        <v>-1.8566666666666752E-2</v>
      </c>
      <c r="D111" s="168">
        <v>1.6650980284787571E-2</v>
      </c>
      <c r="E111" s="168">
        <v>-1.1150494655038035</v>
      </c>
      <c r="F111" s="168">
        <v>0.26705734770358919</v>
      </c>
      <c r="G111" s="168">
        <v>-5.1534448806945618E-2</v>
      </c>
      <c r="H111" s="168">
        <v>1.4401115473612114E-2</v>
      </c>
    </row>
    <row r="112" spans="2:8" x14ac:dyDescent="0.5">
      <c r="B112" s="160" t="s">
        <v>478</v>
      </c>
      <c r="C112" s="169">
        <v>0</v>
      </c>
      <c r="D112" s="169"/>
      <c r="E112" s="169"/>
      <c r="F112" s="169"/>
      <c r="G112" s="169"/>
      <c r="H112" s="169"/>
    </row>
    <row r="113" spans="2:8" x14ac:dyDescent="0.5">
      <c r="B113" s="160" t="s">
        <v>479</v>
      </c>
      <c r="C113" s="169">
        <v>-3.6849999999999918E-2</v>
      </c>
      <c r="D113" s="169">
        <v>2.2856948183143655E-2</v>
      </c>
      <c r="E113" s="169">
        <v>-1.6122012310976728</v>
      </c>
      <c r="F113" s="169">
        <v>0.10954516095918763</v>
      </c>
      <c r="G113" s="169">
        <v>-8.2105166675199445E-2</v>
      </c>
      <c r="H113" s="169">
        <v>8.4051666751996101E-3</v>
      </c>
    </row>
    <row r="114" spans="2:8" x14ac:dyDescent="0.5">
      <c r="B114" s="160" t="s">
        <v>480</v>
      </c>
      <c r="C114" s="169">
        <v>-2.9416666666666588E-2</v>
      </c>
      <c r="D114" s="169">
        <v>2.2856948183143655E-2</v>
      </c>
      <c r="E114" s="169">
        <v>-1.2869901279454505</v>
      </c>
      <c r="F114" s="169">
        <v>0.20057474518724921</v>
      </c>
      <c r="G114" s="169">
        <v>-7.4671833341866112E-2</v>
      </c>
      <c r="H114" s="169">
        <v>1.583850000853294E-2</v>
      </c>
    </row>
    <row r="115" spans="2:8" x14ac:dyDescent="0.5">
      <c r="B115" s="160" t="s">
        <v>481</v>
      </c>
      <c r="C115" s="169">
        <v>-2.576666666666658E-2</v>
      </c>
      <c r="D115" s="169">
        <v>2.2856948183143651E-2</v>
      </c>
      <c r="E115" s="169">
        <v>-1.127301267877431</v>
      </c>
      <c r="F115" s="169">
        <v>0.26186419094852154</v>
      </c>
      <c r="G115" s="169">
        <v>-7.1021833341866097E-2</v>
      </c>
      <c r="H115" s="169">
        <v>1.9488500008532941E-2</v>
      </c>
    </row>
    <row r="116" spans="2:8" x14ac:dyDescent="0.5">
      <c r="B116" s="160" t="s">
        <v>482</v>
      </c>
      <c r="C116" s="169">
        <v>-0.11084999999999992</v>
      </c>
      <c r="D116" s="169">
        <v>2.2856948183143655E-2</v>
      </c>
      <c r="E116" s="169">
        <v>-4.8497288050794385</v>
      </c>
      <c r="F116" s="190" t="s">
        <v>272</v>
      </c>
      <c r="G116" s="169">
        <v>-0.15610516667519944</v>
      </c>
      <c r="H116" s="169">
        <v>-6.55948333248004E-2</v>
      </c>
    </row>
    <row r="117" spans="2:8" x14ac:dyDescent="0.5">
      <c r="B117" s="160" t="s">
        <v>483</v>
      </c>
      <c r="C117" s="169">
        <v>2.4200000000000086E-2</v>
      </c>
      <c r="D117" s="169">
        <v>2.3548042145553574E-2</v>
      </c>
      <c r="E117" s="169">
        <v>1.027686287055912</v>
      </c>
      <c r="F117" s="169">
        <v>0.30616447204910013</v>
      </c>
      <c r="G117" s="169">
        <v>-2.2423484624143727E-2</v>
      </c>
      <c r="H117" s="169">
        <v>7.0823484624143895E-2</v>
      </c>
    </row>
    <row r="118" spans="2:8" x14ac:dyDescent="0.5">
      <c r="B118" s="160" t="s">
        <v>484</v>
      </c>
      <c r="C118" s="169">
        <v>-7.3249999999999912E-2</v>
      </c>
      <c r="D118" s="169">
        <v>2.3548042145553578E-2</v>
      </c>
      <c r="E118" s="169">
        <v>-3.1106620052415366</v>
      </c>
      <c r="F118" s="169">
        <v>2.3326431515489228E-3</v>
      </c>
      <c r="G118" s="169">
        <v>-0.11987348462414374</v>
      </c>
      <c r="H118" s="169">
        <v>-2.6626515375856093E-2</v>
      </c>
    </row>
    <row r="119" spans="2:8" x14ac:dyDescent="0.5">
      <c r="B119" s="160" t="s">
        <v>485</v>
      </c>
      <c r="C119" s="169">
        <v>4.3816666666666754E-2</v>
      </c>
      <c r="D119" s="169">
        <v>2.3548042145553578E-2</v>
      </c>
      <c r="E119" s="169">
        <v>1.8607350197451709</v>
      </c>
      <c r="F119" s="169">
        <v>6.522933116773072E-2</v>
      </c>
      <c r="G119" s="169">
        <v>-2.806817957477066E-3</v>
      </c>
      <c r="H119" s="169">
        <v>9.0440151290810566E-2</v>
      </c>
    </row>
    <row r="120" spans="2:8" x14ac:dyDescent="0.5">
      <c r="B120" s="160" t="s">
        <v>486</v>
      </c>
      <c r="C120" s="169">
        <v>-3.4549999999999914E-2</v>
      </c>
      <c r="D120" s="169">
        <v>2.3548042145553574E-2</v>
      </c>
      <c r="E120" s="169">
        <v>-1.4672132734620473</v>
      </c>
      <c r="F120" s="169">
        <v>0.14493404406419777</v>
      </c>
      <c r="G120" s="169">
        <v>-8.1173484624143727E-2</v>
      </c>
      <c r="H120" s="169">
        <v>1.2073484624143899E-2</v>
      </c>
    </row>
    <row r="121" spans="2:8" x14ac:dyDescent="0.5">
      <c r="B121" s="160" t="s">
        <v>487</v>
      </c>
      <c r="C121" s="169">
        <v>-8.1183333333333246E-2</v>
      </c>
      <c r="D121" s="169">
        <v>2.3548042145553578E-2</v>
      </c>
      <c r="E121" s="169">
        <v>-3.4475619175270826</v>
      </c>
      <c r="F121" s="169">
        <v>7.807269944025793E-4</v>
      </c>
      <c r="G121" s="169">
        <v>-0.12780681795747706</v>
      </c>
      <c r="H121" s="169">
        <v>-3.4559848709189427E-2</v>
      </c>
    </row>
    <row r="122" spans="2:8" x14ac:dyDescent="0.5">
      <c r="B122" s="160" t="s">
        <v>488</v>
      </c>
      <c r="C122" s="169">
        <v>3.3333333333341263E-4</v>
      </c>
      <c r="D122" s="169">
        <v>2.2856948183143655E-2</v>
      </c>
      <c r="E122" s="169">
        <v>1.4583457540461872E-2</v>
      </c>
      <c r="F122" s="169">
        <v>0.98838871536942885</v>
      </c>
      <c r="G122" s="169">
        <v>-4.4921833341866113E-2</v>
      </c>
      <c r="H122" s="169">
        <v>4.5588500008532942E-2</v>
      </c>
    </row>
    <row r="123" spans="2:8" x14ac:dyDescent="0.5">
      <c r="B123" s="160" t="s">
        <v>489</v>
      </c>
      <c r="C123" s="169">
        <v>2.2250000000000079E-2</v>
      </c>
      <c r="D123" s="169">
        <v>2.2856948183143651E-2</v>
      </c>
      <c r="E123" s="169">
        <v>0.97344579082560201</v>
      </c>
      <c r="F123" s="169">
        <v>0.33228996346114492</v>
      </c>
      <c r="G123" s="169">
        <v>-2.3005166675199442E-2</v>
      </c>
      <c r="H123" s="169">
        <v>6.7505166675199596E-2</v>
      </c>
    </row>
    <row r="124" spans="2:8" x14ac:dyDescent="0.5">
      <c r="B124" s="160" t="s">
        <v>490</v>
      </c>
      <c r="C124" s="169">
        <v>5.2666666666667467E-3</v>
      </c>
      <c r="D124" s="169">
        <v>2.2856948183143655E-2</v>
      </c>
      <c r="E124" s="169">
        <v>0.23041862913924627</v>
      </c>
      <c r="F124" s="169">
        <v>0.81815884140932238</v>
      </c>
      <c r="G124" s="169">
        <v>-3.9988500008532782E-2</v>
      </c>
      <c r="H124" s="169">
        <v>5.0521833341866274E-2</v>
      </c>
    </row>
    <row r="125" spans="2:8" x14ac:dyDescent="0.5">
      <c r="B125" s="160" t="s">
        <v>491</v>
      </c>
      <c r="C125" s="169">
        <v>1.5183333333333411E-2</v>
      </c>
      <c r="D125" s="169">
        <v>2.2856948183143651E-2</v>
      </c>
      <c r="E125" s="169">
        <v>0.66427649096788377</v>
      </c>
      <c r="F125" s="169">
        <v>0.50778777102420902</v>
      </c>
      <c r="G125" s="169">
        <v>-3.0071833341866111E-2</v>
      </c>
      <c r="H125" s="169">
        <v>6.043850000853293E-2</v>
      </c>
    </row>
    <row r="126" spans="2:8" x14ac:dyDescent="0.5">
      <c r="B126" s="160" t="s">
        <v>492</v>
      </c>
      <c r="C126" s="169">
        <v>0.11616666666666674</v>
      </c>
      <c r="D126" s="169">
        <v>2.2856948183143655E-2</v>
      </c>
      <c r="E126" s="169">
        <v>5.0823349528497568</v>
      </c>
      <c r="F126" s="190" t="s">
        <v>272</v>
      </c>
      <c r="G126" s="169">
        <v>7.0911499991467203E-2</v>
      </c>
      <c r="H126" s="169">
        <v>0.16142183334186627</v>
      </c>
    </row>
    <row r="127" spans="2:8" x14ac:dyDescent="0.5">
      <c r="B127" s="160" t="s">
        <v>493</v>
      </c>
      <c r="C127" s="169">
        <v>2.5450000000000087E-2</v>
      </c>
      <c r="D127" s="169">
        <v>2.3548042145553574E-2</v>
      </c>
      <c r="E127" s="169">
        <v>1.0807692564286346</v>
      </c>
      <c r="F127" s="169">
        <v>0.28196703956713531</v>
      </c>
      <c r="G127" s="169">
        <v>-2.1173484624143726E-2</v>
      </c>
      <c r="H127" s="169">
        <v>7.2073484624143896E-2</v>
      </c>
    </row>
    <row r="128" spans="2:8" x14ac:dyDescent="0.5">
      <c r="B128" s="160" t="s">
        <v>494</v>
      </c>
      <c r="C128" s="169">
        <v>3.1266666666666748E-2</v>
      </c>
      <c r="D128" s="169">
        <v>2.3548042145553574E-2</v>
      </c>
      <c r="E128" s="169">
        <v>1.3277820072430366</v>
      </c>
      <c r="F128" s="169">
        <v>0.18677034952217253</v>
      </c>
      <c r="G128" s="169">
        <v>-1.5356817957477065E-2</v>
      </c>
      <c r="H128" s="169">
        <v>7.7890151290810561E-2</v>
      </c>
    </row>
    <row r="129" spans="2:8" x14ac:dyDescent="0.5">
      <c r="B129" s="160" t="s">
        <v>495</v>
      </c>
      <c r="C129" s="169">
        <v>4.2100000000000089E-2</v>
      </c>
      <c r="D129" s="169">
        <v>2.3548042145553578E-2</v>
      </c>
      <c r="E129" s="169">
        <v>1.7878344084732987</v>
      </c>
      <c r="F129" s="169">
        <v>7.6326578876312029E-2</v>
      </c>
      <c r="G129" s="169">
        <v>-4.523484624143731E-3</v>
      </c>
      <c r="H129" s="169">
        <v>8.8723484624143908E-2</v>
      </c>
    </row>
    <row r="130" spans="2:8" x14ac:dyDescent="0.5">
      <c r="B130" s="160" t="s">
        <v>496</v>
      </c>
      <c r="C130" s="169">
        <v>4.3250000000000094E-2</v>
      </c>
      <c r="D130" s="169">
        <v>2.3548042145553578E-2</v>
      </c>
      <c r="E130" s="169">
        <v>1.8366707402962037</v>
      </c>
      <c r="F130" s="169">
        <v>6.8733315175465423E-2</v>
      </c>
      <c r="G130" s="169">
        <v>-3.3734846241437258E-3</v>
      </c>
      <c r="H130" s="169">
        <v>8.9873484624143907E-2</v>
      </c>
    </row>
    <row r="131" spans="2:8" ht="14.7" thickBot="1" x14ac:dyDescent="0.55000000000000004">
      <c r="B131" s="167" t="s">
        <v>497</v>
      </c>
      <c r="C131" s="170">
        <v>0.13941666666666674</v>
      </c>
      <c r="D131" s="170">
        <v>2.3548042145553578E-2</v>
      </c>
      <c r="E131" s="170">
        <v>5.9205205173709903</v>
      </c>
      <c r="F131" s="191" t="s">
        <v>272</v>
      </c>
      <c r="G131" s="170">
        <v>9.2793182042522931E-2</v>
      </c>
      <c r="H131" s="170">
        <v>0.18604015129081056</v>
      </c>
    </row>
    <row r="134" spans="2:8" x14ac:dyDescent="0.5">
      <c r="B134" t="s">
        <v>498</v>
      </c>
    </row>
    <row r="135" spans="2:8" ht="14.7" thickBot="1" x14ac:dyDescent="0.55000000000000004"/>
    <row r="136" spans="2:8" x14ac:dyDescent="0.5">
      <c r="B136" s="161" t="s">
        <v>302</v>
      </c>
      <c r="C136" s="162" t="s">
        <v>303</v>
      </c>
      <c r="D136" s="162" t="s">
        <v>304</v>
      </c>
      <c r="E136" s="162" t="s">
        <v>286</v>
      </c>
      <c r="F136" s="162" t="s">
        <v>287</v>
      </c>
      <c r="G136" s="162" t="s">
        <v>305</v>
      </c>
    </row>
    <row r="137" spans="2:8" x14ac:dyDescent="0.5">
      <c r="B137" s="163" t="s">
        <v>499</v>
      </c>
      <c r="C137" s="188">
        <v>0.25026666666666664</v>
      </c>
      <c r="D137" s="188">
        <v>2.2856948183143655E-2</v>
      </c>
      <c r="E137" s="188">
        <v>10.949259921376168</v>
      </c>
      <c r="F137" s="188" t="s">
        <v>272</v>
      </c>
      <c r="G137" s="192" t="s">
        <v>351</v>
      </c>
    </row>
    <row r="138" spans="2:8" x14ac:dyDescent="0.5">
      <c r="B138" s="160" t="s">
        <v>500</v>
      </c>
      <c r="C138" s="190">
        <v>0.22059999999999999</v>
      </c>
      <c r="D138" s="190">
        <v>2.2856948183143655E-2</v>
      </c>
      <c r="E138" s="190">
        <v>9.6513322002753714</v>
      </c>
      <c r="F138" s="190" t="s">
        <v>272</v>
      </c>
      <c r="G138" s="193" t="s">
        <v>351</v>
      </c>
    </row>
    <row r="139" spans="2:8" x14ac:dyDescent="0.5">
      <c r="B139" s="160" t="s">
        <v>501</v>
      </c>
      <c r="C139" s="190">
        <v>0.21266666666666667</v>
      </c>
      <c r="D139" s="190">
        <v>2.2856948183143655E-2</v>
      </c>
      <c r="E139" s="190">
        <v>9.3042459108124618</v>
      </c>
      <c r="F139" s="190" t="s">
        <v>272</v>
      </c>
      <c r="G139" s="193" t="s">
        <v>351</v>
      </c>
    </row>
    <row r="140" spans="2:8" x14ac:dyDescent="0.5">
      <c r="B140" s="160" t="s">
        <v>502</v>
      </c>
      <c r="C140" s="190">
        <v>0.17626666666666665</v>
      </c>
      <c r="D140" s="190">
        <v>2.2856948183143655E-2</v>
      </c>
      <c r="E140" s="190">
        <v>7.7117323473944035</v>
      </c>
      <c r="F140" s="190" t="s">
        <v>272</v>
      </c>
      <c r="G140" s="193" t="s">
        <v>351</v>
      </c>
    </row>
    <row r="141" spans="2:8" x14ac:dyDescent="0.5">
      <c r="B141" s="160" t="s">
        <v>503</v>
      </c>
      <c r="C141" s="190">
        <v>0.17396666666666666</v>
      </c>
      <c r="D141" s="190">
        <v>2.2856948183143655E-2</v>
      </c>
      <c r="E141" s="190">
        <v>7.6111064903652403</v>
      </c>
      <c r="F141" s="190" t="s">
        <v>272</v>
      </c>
      <c r="G141" s="193" t="s">
        <v>351</v>
      </c>
    </row>
    <row r="142" spans="2:8" x14ac:dyDescent="0.5">
      <c r="B142" s="160" t="s">
        <v>504</v>
      </c>
      <c r="C142" s="190">
        <v>0.16883333333333334</v>
      </c>
      <c r="D142" s="190">
        <v>2.2856948183143655E-2</v>
      </c>
      <c r="E142" s="190">
        <v>7.3865212442421813</v>
      </c>
      <c r="F142" s="190" t="s">
        <v>272</v>
      </c>
      <c r="G142" s="193" t="s">
        <v>351</v>
      </c>
    </row>
    <row r="143" spans="2:8" x14ac:dyDescent="0.5">
      <c r="B143" s="160" t="s">
        <v>505</v>
      </c>
      <c r="C143" s="190">
        <v>0.16518333333333332</v>
      </c>
      <c r="D143" s="190">
        <v>2.2856948183143655E-2</v>
      </c>
      <c r="E143" s="190">
        <v>7.2268323841741609</v>
      </c>
      <c r="F143" s="190" t="s">
        <v>272</v>
      </c>
      <c r="G143" s="193" t="s">
        <v>351</v>
      </c>
    </row>
    <row r="144" spans="2:8" x14ac:dyDescent="0.5">
      <c r="B144" s="160" t="s">
        <v>506</v>
      </c>
      <c r="C144" s="190">
        <v>0.13941666666666674</v>
      </c>
      <c r="D144" s="190">
        <v>2.2856948183143655E-2</v>
      </c>
      <c r="E144" s="190">
        <v>6.0995311162967303</v>
      </c>
      <c r="F144" s="190" t="s">
        <v>272</v>
      </c>
      <c r="G144" s="193" t="s">
        <v>351</v>
      </c>
    </row>
    <row r="145" spans="2:7" x14ac:dyDescent="0.5">
      <c r="B145" s="160" t="s">
        <v>507</v>
      </c>
      <c r="C145" s="190">
        <v>0.13908333333333334</v>
      </c>
      <c r="D145" s="190">
        <v>2.2856948183143655E-2</v>
      </c>
      <c r="E145" s="190">
        <v>6.0849476587562688</v>
      </c>
      <c r="F145" s="190" t="s">
        <v>272</v>
      </c>
      <c r="G145" s="193" t="s">
        <v>351</v>
      </c>
    </row>
    <row r="146" spans="2:7" x14ac:dyDescent="0.5">
      <c r="B146" s="160" t="s">
        <v>508</v>
      </c>
      <c r="C146" s="190">
        <v>0.13414999999999999</v>
      </c>
      <c r="D146" s="190">
        <v>2.2856948183143655E-2</v>
      </c>
      <c r="E146" s="190">
        <v>5.8691124871574836</v>
      </c>
      <c r="F146" s="190" t="s">
        <v>272</v>
      </c>
      <c r="G146" s="193" t="s">
        <v>351</v>
      </c>
    </row>
    <row r="147" spans="2:7" x14ac:dyDescent="0.5">
      <c r="B147" s="160" t="s">
        <v>509</v>
      </c>
      <c r="C147" s="190">
        <v>0.12423333333333333</v>
      </c>
      <c r="D147" s="190">
        <v>2.2856948183143655E-2</v>
      </c>
      <c r="E147" s="190">
        <v>5.435254625328847</v>
      </c>
      <c r="F147" s="190" t="s">
        <v>272</v>
      </c>
      <c r="G147" s="193" t="s">
        <v>351</v>
      </c>
    </row>
    <row r="148" spans="2:7" x14ac:dyDescent="0.5">
      <c r="B148" s="160" t="s">
        <v>510</v>
      </c>
      <c r="C148" s="190">
        <v>0.11716666666666667</v>
      </c>
      <c r="D148" s="190">
        <v>2.2856948183143655E-2</v>
      </c>
      <c r="E148" s="190">
        <v>5.1260853254711289</v>
      </c>
      <c r="F148" s="190" t="s">
        <v>272</v>
      </c>
      <c r="G148" s="193" t="s">
        <v>351</v>
      </c>
    </row>
    <row r="149" spans="2:7" x14ac:dyDescent="0.5">
      <c r="B149" s="160" t="s">
        <v>511</v>
      </c>
      <c r="C149" s="190">
        <v>0.11521666666666666</v>
      </c>
      <c r="D149" s="190">
        <v>2.2856948183143655E-2</v>
      </c>
      <c r="E149" s="190">
        <v>5.0407720988594464</v>
      </c>
      <c r="F149" s="190" t="s">
        <v>272</v>
      </c>
      <c r="G149" s="193" t="s">
        <v>351</v>
      </c>
    </row>
    <row r="150" spans="2:7" x14ac:dyDescent="0.5">
      <c r="B150" s="160" t="s">
        <v>512</v>
      </c>
      <c r="C150" s="190">
        <v>0.11396666666666666</v>
      </c>
      <c r="D150" s="190">
        <v>2.2856948183143655E-2</v>
      </c>
      <c r="E150" s="190">
        <v>4.9860841330827279</v>
      </c>
      <c r="F150" s="190" t="s">
        <v>272</v>
      </c>
      <c r="G150" s="193" t="s">
        <v>351</v>
      </c>
    </row>
    <row r="151" spans="2:7" x14ac:dyDescent="0.5">
      <c r="B151" s="160" t="s">
        <v>513</v>
      </c>
      <c r="C151" s="190">
        <v>0.10815</v>
      </c>
      <c r="D151" s="190">
        <v>2.2856948183143655E-2</v>
      </c>
      <c r="E151" s="190">
        <v>4.7316027990017284</v>
      </c>
      <c r="F151" s="190" t="s">
        <v>272</v>
      </c>
      <c r="G151" s="213" t="s">
        <v>351</v>
      </c>
    </row>
    <row r="152" spans="2:7" x14ac:dyDescent="0.5">
      <c r="B152" s="160" t="s">
        <v>514</v>
      </c>
      <c r="C152" s="190">
        <v>9.7316666666666662E-2</v>
      </c>
      <c r="D152" s="190">
        <v>2.2856948183143655E-2</v>
      </c>
      <c r="E152" s="190">
        <v>4.2576404289368304</v>
      </c>
      <c r="F152" s="190" t="s">
        <v>272</v>
      </c>
      <c r="G152" s="193" t="s">
        <v>351</v>
      </c>
    </row>
    <row r="153" spans="2:7" x14ac:dyDescent="0.5">
      <c r="B153" s="160" t="s">
        <v>515</v>
      </c>
      <c r="C153" s="190">
        <v>9.616666666666665E-2</v>
      </c>
      <c r="D153" s="190">
        <v>2.2856948183143655E-2</v>
      </c>
      <c r="E153" s="190">
        <v>4.2073275004222488</v>
      </c>
      <c r="F153" s="190" t="s">
        <v>272</v>
      </c>
      <c r="G153" s="193" t="s">
        <v>351</v>
      </c>
    </row>
    <row r="154" spans="2:7" x14ac:dyDescent="0.5">
      <c r="B154" s="160" t="s">
        <v>516</v>
      </c>
      <c r="C154" s="190">
        <v>9.5599999999999991E-2</v>
      </c>
      <c r="D154" s="190">
        <v>2.2856948183143655E-2</v>
      </c>
      <c r="E154" s="190">
        <v>4.1825356226034698</v>
      </c>
      <c r="F154" s="190" t="s">
        <v>272</v>
      </c>
      <c r="G154" s="193" t="s">
        <v>351</v>
      </c>
    </row>
    <row r="155" spans="2:7" x14ac:dyDescent="0.5">
      <c r="B155" s="160" t="s">
        <v>517</v>
      </c>
      <c r="C155" s="190">
        <v>2.3250000000000007E-2</v>
      </c>
      <c r="D155" s="190">
        <v>2.2856948183143655E-2</v>
      </c>
      <c r="E155" s="190">
        <v>1.0171961634469739</v>
      </c>
      <c r="F155" s="190">
        <v>0.31151484118733841</v>
      </c>
      <c r="G155" s="199" t="s">
        <v>352</v>
      </c>
    </row>
    <row r="156" spans="2:7" x14ac:dyDescent="0.5">
      <c r="B156" s="160" t="s">
        <v>518</v>
      </c>
      <c r="C156" s="190">
        <v>0.22701666666666664</v>
      </c>
      <c r="D156" s="190">
        <v>2.2856948183143655E-2</v>
      </c>
      <c r="E156" s="190">
        <v>9.9320637579291944</v>
      </c>
      <c r="F156" s="190" t="s">
        <v>272</v>
      </c>
      <c r="G156" s="193" t="s">
        <v>351</v>
      </c>
    </row>
    <row r="157" spans="2:7" x14ac:dyDescent="0.5">
      <c r="B157" s="160" t="s">
        <v>519</v>
      </c>
      <c r="C157" s="190">
        <v>0.19734999999999997</v>
      </c>
      <c r="D157" s="190">
        <v>2.2856948183143655E-2</v>
      </c>
      <c r="E157" s="190">
        <v>8.6341360368283961</v>
      </c>
      <c r="F157" s="190" t="s">
        <v>272</v>
      </c>
      <c r="G157" s="193" t="s">
        <v>351</v>
      </c>
    </row>
    <row r="158" spans="2:7" x14ac:dyDescent="0.5">
      <c r="B158" s="160" t="s">
        <v>520</v>
      </c>
      <c r="C158" s="190">
        <v>0.18941666666666665</v>
      </c>
      <c r="D158" s="190">
        <v>2.2856948183143655E-2</v>
      </c>
      <c r="E158" s="190">
        <v>8.2870497473654865</v>
      </c>
      <c r="F158" s="190" t="s">
        <v>272</v>
      </c>
      <c r="G158" s="193" t="s">
        <v>351</v>
      </c>
    </row>
    <row r="159" spans="2:7" x14ac:dyDescent="0.5">
      <c r="B159" s="160" t="s">
        <v>521</v>
      </c>
      <c r="C159" s="190">
        <v>0.15301666666666666</v>
      </c>
      <c r="D159" s="190">
        <v>2.2856948183143655E-2</v>
      </c>
      <c r="E159" s="190">
        <v>6.69453618394743</v>
      </c>
      <c r="F159" s="190" t="s">
        <v>272</v>
      </c>
      <c r="G159" s="193" t="s">
        <v>351</v>
      </c>
    </row>
    <row r="160" spans="2:7" x14ac:dyDescent="0.5">
      <c r="B160" s="160" t="s">
        <v>522</v>
      </c>
      <c r="C160" s="190">
        <v>0.15071666666666667</v>
      </c>
      <c r="D160" s="190">
        <v>2.2856948183143655E-2</v>
      </c>
      <c r="E160" s="190">
        <v>6.5939103269182668</v>
      </c>
      <c r="F160" s="190" t="s">
        <v>272</v>
      </c>
      <c r="G160" s="193" t="s">
        <v>351</v>
      </c>
    </row>
    <row r="161" spans="2:7" x14ac:dyDescent="0.5">
      <c r="B161" s="160" t="s">
        <v>523</v>
      </c>
      <c r="C161" s="190">
        <v>0.14558333333333331</v>
      </c>
      <c r="D161" s="190">
        <v>2.2856948183143655E-2</v>
      </c>
      <c r="E161" s="190">
        <v>6.3693250807952069</v>
      </c>
      <c r="F161" s="190" t="s">
        <v>272</v>
      </c>
      <c r="G161" s="193" t="s">
        <v>351</v>
      </c>
    </row>
    <row r="162" spans="2:7" x14ac:dyDescent="0.5">
      <c r="B162" s="160" t="s">
        <v>524</v>
      </c>
      <c r="C162" s="190">
        <v>0.14193333333333333</v>
      </c>
      <c r="D162" s="190">
        <v>2.2856948183143655E-2</v>
      </c>
      <c r="E162" s="190">
        <v>6.2096362207271882</v>
      </c>
      <c r="F162" s="190" t="s">
        <v>272</v>
      </c>
      <c r="G162" s="193" t="s">
        <v>351</v>
      </c>
    </row>
    <row r="163" spans="2:7" x14ac:dyDescent="0.5">
      <c r="B163" s="160" t="s">
        <v>525</v>
      </c>
      <c r="C163" s="190">
        <v>0.11616666666666674</v>
      </c>
      <c r="D163" s="190">
        <v>2.2856948183143655E-2</v>
      </c>
      <c r="E163" s="190">
        <v>5.0823349528497568</v>
      </c>
      <c r="F163" s="190" t="s">
        <v>272</v>
      </c>
      <c r="G163" s="193" t="s">
        <v>351</v>
      </c>
    </row>
    <row r="164" spans="2:7" x14ac:dyDescent="0.5">
      <c r="B164" s="160" t="s">
        <v>526</v>
      </c>
      <c r="C164" s="190">
        <v>0.11583333333333333</v>
      </c>
      <c r="D164" s="190">
        <v>2.2856948183143655E-2</v>
      </c>
      <c r="E164" s="190">
        <v>5.0677514953092953</v>
      </c>
      <c r="F164" s="190" t="s">
        <v>272</v>
      </c>
      <c r="G164" s="193" t="s">
        <v>351</v>
      </c>
    </row>
    <row r="165" spans="2:7" x14ac:dyDescent="0.5">
      <c r="B165" s="160" t="s">
        <v>527</v>
      </c>
      <c r="C165" s="190">
        <v>0.11089999999999998</v>
      </c>
      <c r="D165" s="190">
        <v>2.2856948183143655E-2</v>
      </c>
      <c r="E165" s="190">
        <v>4.8519163237105101</v>
      </c>
      <c r="F165" s="190" t="s">
        <v>272</v>
      </c>
      <c r="G165" s="193" t="s">
        <v>351</v>
      </c>
    </row>
    <row r="166" spans="2:7" x14ac:dyDescent="0.5">
      <c r="B166" s="160" t="s">
        <v>528</v>
      </c>
      <c r="C166" s="190">
        <v>0.10098333333333333</v>
      </c>
      <c r="D166" s="190">
        <v>2.2856948183143655E-2</v>
      </c>
      <c r="E166" s="190">
        <v>4.4180584618818726</v>
      </c>
      <c r="F166" s="190" t="s">
        <v>272</v>
      </c>
      <c r="G166" s="193" t="s">
        <v>351</v>
      </c>
    </row>
    <row r="167" spans="2:7" x14ac:dyDescent="0.5">
      <c r="B167" s="160" t="s">
        <v>529</v>
      </c>
      <c r="C167" s="190">
        <v>9.3916666666666662E-2</v>
      </c>
      <c r="D167" s="190">
        <v>2.2856948183143655E-2</v>
      </c>
      <c r="E167" s="190">
        <v>4.1088891620241546</v>
      </c>
      <c r="F167" s="190" t="s">
        <v>272</v>
      </c>
      <c r="G167" s="213" t="s">
        <v>351</v>
      </c>
    </row>
    <row r="168" spans="2:7" x14ac:dyDescent="0.5">
      <c r="B168" s="160" t="s">
        <v>530</v>
      </c>
      <c r="C168" s="190">
        <v>9.1966666666666655E-2</v>
      </c>
      <c r="D168" s="190">
        <v>2.2856948183143655E-2</v>
      </c>
      <c r="E168" s="190">
        <v>4.0235759354124729</v>
      </c>
      <c r="F168" s="190">
        <v>1.1151299621752756E-4</v>
      </c>
      <c r="G168" s="193" t="s">
        <v>351</v>
      </c>
    </row>
    <row r="169" spans="2:7" x14ac:dyDescent="0.5">
      <c r="B169" s="160" t="s">
        <v>531</v>
      </c>
      <c r="C169" s="190">
        <v>9.0716666666666654E-2</v>
      </c>
      <c r="D169" s="190">
        <v>2.2856948183143655E-2</v>
      </c>
      <c r="E169" s="190">
        <v>3.968887969635754</v>
      </c>
      <c r="F169" s="190">
        <v>1.3605647999238155E-4</v>
      </c>
      <c r="G169" s="193" t="s">
        <v>351</v>
      </c>
    </row>
    <row r="170" spans="2:7" x14ac:dyDescent="0.5">
      <c r="B170" s="160" t="s">
        <v>532</v>
      </c>
      <c r="C170" s="190">
        <v>8.4899999999999989E-2</v>
      </c>
      <c r="D170" s="190">
        <v>2.2856948183143655E-2</v>
      </c>
      <c r="E170" s="190">
        <v>3.7144066355547549</v>
      </c>
      <c r="F170" s="190">
        <v>3.3556003241531966E-4</v>
      </c>
      <c r="G170" s="193" t="s">
        <v>351</v>
      </c>
    </row>
    <row r="171" spans="2:7" x14ac:dyDescent="0.5">
      <c r="B171" s="160" t="s">
        <v>533</v>
      </c>
      <c r="C171" s="190">
        <v>7.4066666666666642E-2</v>
      </c>
      <c r="D171" s="190">
        <v>2.2856948183143655E-2</v>
      </c>
      <c r="E171" s="190">
        <v>3.240444265489856</v>
      </c>
      <c r="F171" s="190">
        <v>1.6211408662053215E-3</v>
      </c>
      <c r="G171" s="193" t="s">
        <v>351</v>
      </c>
    </row>
    <row r="172" spans="2:7" x14ac:dyDescent="0.5">
      <c r="B172" s="160" t="s">
        <v>534</v>
      </c>
      <c r="C172" s="190">
        <v>7.2916666666666644E-2</v>
      </c>
      <c r="D172" s="190">
        <v>2.2856948183143655E-2</v>
      </c>
      <c r="E172" s="190">
        <v>3.1901313369752748</v>
      </c>
      <c r="F172" s="190">
        <v>1.8999221351469718E-3</v>
      </c>
      <c r="G172" s="193" t="s">
        <v>351</v>
      </c>
    </row>
    <row r="173" spans="2:7" x14ac:dyDescent="0.5">
      <c r="B173" s="160" t="s">
        <v>535</v>
      </c>
      <c r="C173" s="190">
        <v>7.2349999999999984E-2</v>
      </c>
      <c r="D173" s="190">
        <v>2.2856948183143655E-2</v>
      </c>
      <c r="E173" s="190">
        <v>3.1653394591564958</v>
      </c>
      <c r="F173" s="190">
        <v>2.0531678328868591E-3</v>
      </c>
      <c r="G173" s="193" t="s">
        <v>351</v>
      </c>
    </row>
    <row r="174" spans="2:7" x14ac:dyDescent="0.5">
      <c r="B174" s="160" t="s">
        <v>536</v>
      </c>
      <c r="C174" s="190">
        <v>0.15466666666666667</v>
      </c>
      <c r="D174" s="190">
        <v>2.2856948183143655E-2</v>
      </c>
      <c r="E174" s="190">
        <v>6.766724298772699</v>
      </c>
      <c r="F174" s="190" t="s">
        <v>272</v>
      </c>
      <c r="G174" s="193" t="s">
        <v>351</v>
      </c>
    </row>
    <row r="175" spans="2:7" x14ac:dyDescent="0.5">
      <c r="B175" s="160" t="s">
        <v>537</v>
      </c>
      <c r="C175" s="190">
        <v>0.125</v>
      </c>
      <c r="D175" s="190">
        <v>2.2856948183143655E-2</v>
      </c>
      <c r="E175" s="190">
        <v>5.4687965776719007</v>
      </c>
      <c r="F175" s="190" t="s">
        <v>272</v>
      </c>
      <c r="G175" s="193" t="s">
        <v>351</v>
      </c>
    </row>
    <row r="176" spans="2:7" x14ac:dyDescent="0.5">
      <c r="B176" s="160" t="s">
        <v>538</v>
      </c>
      <c r="C176" s="190">
        <v>0.11706666666666667</v>
      </c>
      <c r="D176" s="190">
        <v>2.2856948183143655E-2</v>
      </c>
      <c r="E176" s="190">
        <v>5.1217102882089911</v>
      </c>
      <c r="F176" s="190" t="s">
        <v>272</v>
      </c>
      <c r="G176" s="193" t="s">
        <v>351</v>
      </c>
    </row>
    <row r="177" spans="2:7" x14ac:dyDescent="0.5">
      <c r="B177" s="160" t="s">
        <v>539</v>
      </c>
      <c r="C177" s="190">
        <v>8.0666666666666664E-2</v>
      </c>
      <c r="D177" s="190">
        <v>2.2856948183143655E-2</v>
      </c>
      <c r="E177" s="190">
        <v>3.5291967247909333</v>
      </c>
      <c r="F177" s="190">
        <v>6.3157585798062274E-4</v>
      </c>
      <c r="G177" s="193" t="s">
        <v>351</v>
      </c>
    </row>
    <row r="178" spans="2:7" x14ac:dyDescent="0.5">
      <c r="B178" s="160" t="s">
        <v>540</v>
      </c>
      <c r="C178" s="190">
        <v>7.8366666666666668E-2</v>
      </c>
      <c r="D178" s="190">
        <v>2.2856948183143655E-2</v>
      </c>
      <c r="E178" s="190">
        <v>3.4285708677617706</v>
      </c>
      <c r="F178" s="190">
        <v>8.825529821052889E-4</v>
      </c>
      <c r="G178" s="193" t="s">
        <v>351</v>
      </c>
    </row>
    <row r="179" spans="2:7" x14ac:dyDescent="0.5">
      <c r="B179" s="160" t="s">
        <v>541</v>
      </c>
      <c r="C179" s="190">
        <v>7.3233333333333345E-2</v>
      </c>
      <c r="D179" s="190">
        <v>2.2856948183143655E-2</v>
      </c>
      <c r="E179" s="190">
        <v>3.2039856216387115</v>
      </c>
      <c r="F179" s="190">
        <v>1.8189976864238103E-3</v>
      </c>
      <c r="G179" s="199" t="s">
        <v>351</v>
      </c>
    </row>
    <row r="180" spans="2:7" x14ac:dyDescent="0.5">
      <c r="B180" s="160" t="s">
        <v>542</v>
      </c>
      <c r="C180" s="190">
        <v>6.958333333333333E-2</v>
      </c>
      <c r="D180" s="190">
        <v>2.2856948183143655E-2</v>
      </c>
      <c r="E180" s="190">
        <v>3.0442967615706915</v>
      </c>
      <c r="F180" s="190">
        <v>2.98072896140777E-3</v>
      </c>
      <c r="G180" s="193" t="s">
        <v>351</v>
      </c>
    </row>
    <row r="181" spans="2:7" x14ac:dyDescent="0.5">
      <c r="B181" s="160" t="s">
        <v>543</v>
      </c>
      <c r="C181" s="190">
        <v>4.3816666666666754E-2</v>
      </c>
      <c r="D181" s="190">
        <v>2.2856948183143655E-2</v>
      </c>
      <c r="E181" s="190">
        <v>1.9169954936932609</v>
      </c>
      <c r="F181" s="190">
        <v>5.8092817859753565E-2</v>
      </c>
      <c r="G181" s="193" t="s">
        <v>352</v>
      </c>
    </row>
    <row r="182" spans="2:7" x14ac:dyDescent="0.5">
      <c r="B182" s="160" t="s">
        <v>544</v>
      </c>
      <c r="C182" s="190">
        <v>4.3483333333333339E-2</v>
      </c>
      <c r="D182" s="190">
        <v>2.2856948183143655E-2</v>
      </c>
      <c r="E182" s="190">
        <v>1.902412036152799</v>
      </c>
      <c r="F182" s="190">
        <v>5.9994404768575454E-2</v>
      </c>
      <c r="G182" s="193" t="s">
        <v>352</v>
      </c>
    </row>
    <row r="183" spans="2:7" x14ac:dyDescent="0.5">
      <c r="B183" s="160" t="s">
        <v>545</v>
      </c>
      <c r="C183" s="190">
        <v>3.8550000000000008E-2</v>
      </c>
      <c r="D183" s="190">
        <v>2.2856948183143655E-2</v>
      </c>
      <c r="E183" s="190">
        <v>1.6865768645540147</v>
      </c>
      <c r="F183" s="190">
        <v>9.4802184322941338E-2</v>
      </c>
      <c r="G183" s="193" t="s">
        <v>352</v>
      </c>
    </row>
    <row r="184" spans="2:7" x14ac:dyDescent="0.5">
      <c r="B184" s="160" t="s">
        <v>546</v>
      </c>
      <c r="C184" s="190">
        <v>2.8633333333333344E-2</v>
      </c>
      <c r="D184" s="190">
        <v>2.2856948183143655E-2</v>
      </c>
      <c r="E184" s="190">
        <v>1.2527190027253774</v>
      </c>
      <c r="F184" s="190">
        <v>0.21322954713686576</v>
      </c>
      <c r="G184" s="193" t="s">
        <v>352</v>
      </c>
    </row>
    <row r="185" spans="2:7" x14ac:dyDescent="0.5">
      <c r="B185" s="160" t="s">
        <v>547</v>
      </c>
      <c r="C185" s="190">
        <v>2.1566666666666675E-2</v>
      </c>
      <c r="D185" s="190">
        <v>2.2856948183143655E-2</v>
      </c>
      <c r="E185" s="190">
        <v>0.94354970286765905</v>
      </c>
      <c r="F185" s="190">
        <v>0.34767387558687102</v>
      </c>
      <c r="G185" s="193" t="s">
        <v>352</v>
      </c>
    </row>
    <row r="186" spans="2:7" x14ac:dyDescent="0.5">
      <c r="B186" s="160" t="s">
        <v>548</v>
      </c>
      <c r="C186" s="190">
        <v>1.9616666666666668E-2</v>
      </c>
      <c r="D186" s="190">
        <v>2.2856948183143655E-2</v>
      </c>
      <c r="E186" s="190">
        <v>0.8582364762559771</v>
      </c>
      <c r="F186" s="190">
        <v>0.39281430741502299</v>
      </c>
      <c r="G186" s="193" t="s">
        <v>352</v>
      </c>
    </row>
    <row r="187" spans="2:7" x14ac:dyDescent="0.5">
      <c r="B187" s="160" t="s">
        <v>549</v>
      </c>
      <c r="C187" s="190">
        <v>1.8366666666666667E-2</v>
      </c>
      <c r="D187" s="190">
        <v>2.2856948183143655E-2</v>
      </c>
      <c r="E187" s="190">
        <v>0.80354851047925802</v>
      </c>
      <c r="F187" s="190">
        <v>0.42356370915459435</v>
      </c>
      <c r="G187" s="193" t="s">
        <v>352</v>
      </c>
    </row>
    <row r="188" spans="2:7" x14ac:dyDescent="0.5">
      <c r="B188" s="160" t="s">
        <v>550</v>
      </c>
      <c r="C188" s="190">
        <v>1.2550000000000006E-2</v>
      </c>
      <c r="D188" s="190">
        <v>2.2856948183143655E-2</v>
      </c>
      <c r="E188" s="190">
        <v>0.54906717639825908</v>
      </c>
      <c r="F188" s="190">
        <v>0.58418331027071368</v>
      </c>
      <c r="G188" s="193" t="s">
        <v>352</v>
      </c>
    </row>
    <row r="189" spans="2:7" x14ac:dyDescent="0.5">
      <c r="B189" s="160" t="s">
        <v>551</v>
      </c>
      <c r="C189" s="190">
        <v>1.716666666666665E-3</v>
      </c>
      <c r="D189" s="190">
        <v>2.2856948183143655E-2</v>
      </c>
      <c r="E189" s="190">
        <v>7.5104806333360696E-2</v>
      </c>
      <c r="F189" s="190">
        <v>0.94028136604384838</v>
      </c>
      <c r="G189" s="193" t="s">
        <v>352</v>
      </c>
    </row>
    <row r="190" spans="2:7" x14ac:dyDescent="0.5">
      <c r="B190" s="160" t="s">
        <v>552</v>
      </c>
      <c r="C190" s="190">
        <v>5.6666666666665977E-4</v>
      </c>
      <c r="D190" s="190">
        <v>2.2856948183143655E-2</v>
      </c>
      <c r="E190" s="190">
        <v>2.4791877818778982E-2</v>
      </c>
      <c r="F190" s="190">
        <v>0.98027037483190604</v>
      </c>
      <c r="G190" s="193" t="s">
        <v>352</v>
      </c>
    </row>
    <row r="191" spans="2:7" x14ac:dyDescent="0.5">
      <c r="B191" s="160" t="s">
        <v>553</v>
      </c>
      <c r="C191" s="190">
        <v>0.15410000000000001</v>
      </c>
      <c r="D191" s="190">
        <v>2.2856948183143655E-2</v>
      </c>
      <c r="E191" s="190">
        <v>6.7419324209539209</v>
      </c>
      <c r="F191" s="190" t="s">
        <v>272</v>
      </c>
      <c r="G191" s="193" t="s">
        <v>351</v>
      </c>
    </row>
    <row r="192" spans="2:7" x14ac:dyDescent="0.5">
      <c r="B192" s="160" t="s">
        <v>554</v>
      </c>
      <c r="C192" s="190">
        <v>0.12443333333333334</v>
      </c>
      <c r="D192" s="190">
        <v>2.2856948183143655E-2</v>
      </c>
      <c r="E192" s="190">
        <v>5.4440046998531226</v>
      </c>
      <c r="F192" s="190" t="s">
        <v>272</v>
      </c>
      <c r="G192" s="193" t="s">
        <v>351</v>
      </c>
    </row>
    <row r="193" spans="2:7" x14ac:dyDescent="0.5">
      <c r="B193" s="160" t="s">
        <v>555</v>
      </c>
      <c r="C193" s="190">
        <v>0.11650000000000001</v>
      </c>
      <c r="D193" s="190">
        <v>2.2856948183143655E-2</v>
      </c>
      <c r="E193" s="190">
        <v>5.0969184103902121</v>
      </c>
      <c r="F193" s="190" t="s">
        <v>272</v>
      </c>
      <c r="G193" s="193" t="s">
        <v>351</v>
      </c>
    </row>
    <row r="194" spans="2:7" x14ac:dyDescent="0.5">
      <c r="B194" s="160" t="s">
        <v>556</v>
      </c>
      <c r="C194" s="190">
        <v>8.0100000000000005E-2</v>
      </c>
      <c r="D194" s="190">
        <v>2.2856948183143655E-2</v>
      </c>
      <c r="E194" s="190">
        <v>3.5044048469721543</v>
      </c>
      <c r="F194" s="190">
        <v>6.8625669105438136E-4</v>
      </c>
      <c r="G194" s="193" t="s">
        <v>351</v>
      </c>
    </row>
    <row r="195" spans="2:7" x14ac:dyDescent="0.5">
      <c r="B195" s="160" t="s">
        <v>557</v>
      </c>
      <c r="C195" s="190">
        <v>7.7800000000000008E-2</v>
      </c>
      <c r="D195" s="190">
        <v>2.2856948183143655E-2</v>
      </c>
      <c r="E195" s="190">
        <v>3.4037789899429916</v>
      </c>
      <c r="F195" s="190">
        <v>9.5744207883278944E-4</v>
      </c>
      <c r="G195" s="193" t="s">
        <v>351</v>
      </c>
    </row>
    <row r="196" spans="2:7" x14ac:dyDescent="0.5">
      <c r="B196" s="160" t="s">
        <v>558</v>
      </c>
      <c r="C196" s="190">
        <v>7.2666666666666685E-2</v>
      </c>
      <c r="D196" s="190">
        <v>2.2856948183143655E-2</v>
      </c>
      <c r="E196" s="190">
        <v>3.1791937438199325</v>
      </c>
      <c r="F196" s="190">
        <v>1.9661671990513488E-3</v>
      </c>
      <c r="G196" s="193" t="s">
        <v>351</v>
      </c>
    </row>
    <row r="197" spans="2:7" x14ac:dyDescent="0.5">
      <c r="B197" s="160" t="s">
        <v>559</v>
      </c>
      <c r="C197" s="190">
        <v>6.9016666666666671E-2</v>
      </c>
      <c r="D197" s="190">
        <v>2.2856948183143655E-2</v>
      </c>
      <c r="E197" s="190">
        <v>3.0195048837519125</v>
      </c>
      <c r="F197" s="190">
        <v>3.2132816422157633E-3</v>
      </c>
      <c r="G197" s="193" t="s">
        <v>351</v>
      </c>
    </row>
    <row r="198" spans="2:7" x14ac:dyDescent="0.5">
      <c r="B198" s="160" t="s">
        <v>560</v>
      </c>
      <c r="C198" s="190">
        <v>4.3250000000000094E-2</v>
      </c>
      <c r="D198" s="190">
        <v>2.2856948183143655E-2</v>
      </c>
      <c r="E198" s="190">
        <v>1.8922036158744819</v>
      </c>
      <c r="F198" s="190">
        <v>6.1356467749106115E-2</v>
      </c>
      <c r="G198" s="193" t="s">
        <v>352</v>
      </c>
    </row>
    <row r="199" spans="2:7" x14ac:dyDescent="0.5">
      <c r="B199" s="160" t="s">
        <v>561</v>
      </c>
      <c r="C199" s="190">
        <v>4.2916666666666679E-2</v>
      </c>
      <c r="D199" s="190">
        <v>2.2856948183143655E-2</v>
      </c>
      <c r="E199" s="190">
        <v>1.87762015833402</v>
      </c>
      <c r="F199" s="190">
        <v>6.3347285261788885E-2</v>
      </c>
      <c r="G199" s="193" t="s">
        <v>352</v>
      </c>
    </row>
    <row r="200" spans="2:7" x14ac:dyDescent="0.5">
      <c r="B200" s="160" t="s">
        <v>562</v>
      </c>
      <c r="C200" s="190">
        <v>3.7983333333333348E-2</v>
      </c>
      <c r="D200" s="190">
        <v>2.2856948183143655E-2</v>
      </c>
      <c r="E200" s="190">
        <v>1.6617849867352357</v>
      </c>
      <c r="F200" s="190">
        <v>9.9687767719454118E-2</v>
      </c>
      <c r="G200" s="193" t="s">
        <v>352</v>
      </c>
    </row>
    <row r="201" spans="2:7" x14ac:dyDescent="0.5">
      <c r="B201" s="160" t="s">
        <v>563</v>
      </c>
      <c r="C201" s="190">
        <v>2.8066666666666684E-2</v>
      </c>
      <c r="D201" s="190">
        <v>2.2856948183143655E-2</v>
      </c>
      <c r="E201" s="190">
        <v>1.2279271249065984</v>
      </c>
      <c r="F201" s="190">
        <v>0.22235677186290337</v>
      </c>
      <c r="G201" s="199" t="s">
        <v>352</v>
      </c>
    </row>
    <row r="202" spans="2:7" x14ac:dyDescent="0.5">
      <c r="B202" s="160" t="s">
        <v>564</v>
      </c>
      <c r="C202" s="190">
        <v>2.1000000000000015E-2</v>
      </c>
      <c r="D202" s="190">
        <v>2.2856948183143655E-2</v>
      </c>
      <c r="E202" s="190">
        <v>0.91875782504888004</v>
      </c>
      <c r="F202" s="190">
        <v>0.36043304597848846</v>
      </c>
      <c r="G202" s="193" t="s">
        <v>352</v>
      </c>
    </row>
    <row r="203" spans="2:7" x14ac:dyDescent="0.5">
      <c r="B203" s="160" t="s">
        <v>565</v>
      </c>
      <c r="C203" s="190">
        <v>1.9050000000000008E-2</v>
      </c>
      <c r="D203" s="190">
        <v>2.2856948183143655E-2</v>
      </c>
      <c r="E203" s="190">
        <v>0.83344459843719809</v>
      </c>
      <c r="F203" s="190">
        <v>0.40658033619456829</v>
      </c>
      <c r="G203" s="193" t="s">
        <v>352</v>
      </c>
    </row>
    <row r="204" spans="2:7" x14ac:dyDescent="0.5">
      <c r="B204" s="160" t="s">
        <v>566</v>
      </c>
      <c r="C204" s="190">
        <v>1.7800000000000007E-2</v>
      </c>
      <c r="D204" s="190">
        <v>2.2856948183143655E-2</v>
      </c>
      <c r="E204" s="190">
        <v>0.77875663266047901</v>
      </c>
      <c r="F204" s="190">
        <v>0.43796200521180306</v>
      </c>
      <c r="G204" s="193" t="s">
        <v>352</v>
      </c>
    </row>
    <row r="205" spans="2:7" x14ac:dyDescent="0.5">
      <c r="B205" s="160" t="s">
        <v>567</v>
      </c>
      <c r="C205" s="190">
        <v>1.1983333333333346E-2</v>
      </c>
      <c r="D205" s="190">
        <v>2.2856948183143655E-2</v>
      </c>
      <c r="E205" s="190">
        <v>0.52427529857948019</v>
      </c>
      <c r="F205" s="190">
        <v>0.60124725233328002</v>
      </c>
      <c r="G205" s="193" t="s">
        <v>352</v>
      </c>
    </row>
    <row r="206" spans="2:7" x14ac:dyDescent="0.5">
      <c r="B206" s="160" t="s">
        <v>568</v>
      </c>
      <c r="C206" s="190">
        <v>1.1500000000000052E-3</v>
      </c>
      <c r="D206" s="190">
        <v>2.2856948183143655E-2</v>
      </c>
      <c r="E206" s="190">
        <v>5.0312928514581717E-2</v>
      </c>
      <c r="F206" s="190">
        <v>0.95997338052580083</v>
      </c>
      <c r="G206" s="193" t="s">
        <v>352</v>
      </c>
    </row>
    <row r="207" spans="2:7" x14ac:dyDescent="0.5">
      <c r="B207" s="160" t="s">
        <v>569</v>
      </c>
      <c r="C207" s="190">
        <v>0.15295</v>
      </c>
      <c r="D207" s="190">
        <v>2.2856948183143655E-2</v>
      </c>
      <c r="E207" s="190">
        <v>6.6916194924393384</v>
      </c>
      <c r="F207" s="190" t="s">
        <v>272</v>
      </c>
      <c r="G207" s="193" t="s">
        <v>351</v>
      </c>
    </row>
    <row r="208" spans="2:7" x14ac:dyDescent="0.5">
      <c r="B208" s="160" t="s">
        <v>570</v>
      </c>
      <c r="C208" s="190">
        <v>0.12328333333333333</v>
      </c>
      <c r="D208" s="190">
        <v>2.2856948183143655E-2</v>
      </c>
      <c r="E208" s="190">
        <v>5.3936917713385402</v>
      </c>
      <c r="F208" s="190" t="s">
        <v>272</v>
      </c>
      <c r="G208" s="193" t="s">
        <v>351</v>
      </c>
    </row>
    <row r="209" spans="2:7" x14ac:dyDescent="0.5">
      <c r="B209" s="160" t="s">
        <v>571</v>
      </c>
      <c r="C209" s="190">
        <v>0.11535000000000001</v>
      </c>
      <c r="D209" s="190">
        <v>2.2856948183143655E-2</v>
      </c>
      <c r="E209" s="190">
        <v>5.0466054818756305</v>
      </c>
      <c r="F209" s="190" t="s">
        <v>272</v>
      </c>
      <c r="G209" s="193" t="s">
        <v>351</v>
      </c>
    </row>
    <row r="210" spans="2:7" x14ac:dyDescent="0.5">
      <c r="B210" s="160" t="s">
        <v>572</v>
      </c>
      <c r="C210" s="190">
        <v>7.8950000000000006E-2</v>
      </c>
      <c r="D210" s="190">
        <v>2.2856948183143655E-2</v>
      </c>
      <c r="E210" s="190">
        <v>3.4540919184575731</v>
      </c>
      <c r="F210" s="190">
        <v>8.1124137068982875E-4</v>
      </c>
      <c r="G210" s="193" t="s">
        <v>351</v>
      </c>
    </row>
    <row r="211" spans="2:7" x14ac:dyDescent="0.5">
      <c r="B211" s="160" t="s">
        <v>573</v>
      </c>
      <c r="C211" s="190">
        <v>7.6649999999999996E-2</v>
      </c>
      <c r="D211" s="190">
        <v>2.2856948183143655E-2</v>
      </c>
      <c r="E211" s="190">
        <v>3.3534660614284095</v>
      </c>
      <c r="F211" s="190">
        <v>1.1281515823295929E-3</v>
      </c>
      <c r="G211" s="193" t="s">
        <v>351</v>
      </c>
    </row>
    <row r="212" spans="2:7" x14ac:dyDescent="0.5">
      <c r="B212" s="160" t="s">
        <v>574</v>
      </c>
      <c r="C212" s="190">
        <v>7.1516666666666673E-2</v>
      </c>
      <c r="D212" s="190">
        <v>2.2856948183143655E-2</v>
      </c>
      <c r="E212" s="190">
        <v>3.1288808153053504</v>
      </c>
      <c r="F212" s="190">
        <v>2.2995424089572174E-3</v>
      </c>
      <c r="G212" s="193" t="s">
        <v>351</v>
      </c>
    </row>
    <row r="213" spans="2:7" x14ac:dyDescent="0.5">
      <c r="B213" s="160" t="s">
        <v>575</v>
      </c>
      <c r="C213" s="190">
        <v>6.7866666666666672E-2</v>
      </c>
      <c r="D213" s="190">
        <v>2.2856948183143655E-2</v>
      </c>
      <c r="E213" s="190">
        <v>2.9691919552373309</v>
      </c>
      <c r="F213" s="190">
        <v>3.7376429657601301E-3</v>
      </c>
      <c r="G213" s="193" t="s">
        <v>351</v>
      </c>
    </row>
    <row r="214" spans="2:7" x14ac:dyDescent="0.5">
      <c r="B214" s="160" t="s">
        <v>576</v>
      </c>
      <c r="C214" s="190">
        <v>4.2100000000000089E-2</v>
      </c>
      <c r="D214" s="190">
        <v>2.2856948183143655E-2</v>
      </c>
      <c r="E214" s="190">
        <v>1.8418906873599001</v>
      </c>
      <c r="F214" s="190">
        <v>6.8454730709379227E-2</v>
      </c>
      <c r="G214" s="193" t="s">
        <v>352</v>
      </c>
    </row>
    <row r="215" spans="2:7" x14ac:dyDescent="0.5">
      <c r="B215" s="160" t="s">
        <v>577</v>
      </c>
      <c r="C215" s="190">
        <v>4.1766666666666674E-2</v>
      </c>
      <c r="D215" s="190">
        <v>2.2856948183143655E-2</v>
      </c>
      <c r="E215" s="190">
        <v>1.8273072298194382</v>
      </c>
      <c r="F215" s="190">
        <v>7.0635961658683827E-2</v>
      </c>
      <c r="G215" s="193" t="s">
        <v>352</v>
      </c>
    </row>
    <row r="216" spans="2:7" x14ac:dyDescent="0.5">
      <c r="B216" s="160" t="s">
        <v>578</v>
      </c>
      <c r="C216" s="190">
        <v>3.6833333333333343E-2</v>
      </c>
      <c r="D216" s="190">
        <v>2.2856948183143655E-2</v>
      </c>
      <c r="E216" s="190">
        <v>1.6114720582206539</v>
      </c>
      <c r="F216" s="190">
        <v>0.11022879884495843</v>
      </c>
      <c r="G216" s="199" t="s">
        <v>352</v>
      </c>
    </row>
    <row r="217" spans="2:7" x14ac:dyDescent="0.5">
      <c r="B217" s="160" t="s">
        <v>579</v>
      </c>
      <c r="C217" s="190">
        <v>2.6916666666666679E-2</v>
      </c>
      <c r="D217" s="190">
        <v>2.2856948183143655E-2</v>
      </c>
      <c r="E217" s="190">
        <v>1.1776141963920166</v>
      </c>
      <c r="F217" s="190">
        <v>0.24174550256348468</v>
      </c>
      <c r="G217" s="193" t="s">
        <v>352</v>
      </c>
    </row>
    <row r="218" spans="2:7" x14ac:dyDescent="0.5">
      <c r="B218" s="160" t="s">
        <v>580</v>
      </c>
      <c r="C218" s="190">
        <v>1.985000000000001E-2</v>
      </c>
      <c r="D218" s="190">
        <v>2.2856948183143655E-2</v>
      </c>
      <c r="E218" s="190">
        <v>0.86844489653429835</v>
      </c>
      <c r="F218" s="190">
        <v>0.38723027570262797</v>
      </c>
      <c r="G218" s="193" t="s">
        <v>352</v>
      </c>
    </row>
    <row r="219" spans="2:7" x14ac:dyDescent="0.5">
      <c r="B219" s="160" t="s">
        <v>581</v>
      </c>
      <c r="C219" s="190">
        <v>1.7900000000000003E-2</v>
      </c>
      <c r="D219" s="190">
        <v>2.2856948183143655E-2</v>
      </c>
      <c r="E219" s="190">
        <v>0.7831316699226164</v>
      </c>
      <c r="F219" s="190">
        <v>0.43540055769451469</v>
      </c>
      <c r="G219" s="193" t="s">
        <v>352</v>
      </c>
    </row>
    <row r="220" spans="2:7" x14ac:dyDescent="0.5">
      <c r="B220" s="160" t="s">
        <v>582</v>
      </c>
      <c r="C220" s="190">
        <v>1.6650000000000002E-2</v>
      </c>
      <c r="D220" s="190">
        <v>2.2856948183143655E-2</v>
      </c>
      <c r="E220" s="190">
        <v>0.72844370414589732</v>
      </c>
      <c r="F220" s="190">
        <v>0.46804444416034652</v>
      </c>
      <c r="G220" s="193" t="s">
        <v>352</v>
      </c>
    </row>
    <row r="221" spans="2:7" x14ac:dyDescent="0.5">
      <c r="B221" s="160" t="s">
        <v>583</v>
      </c>
      <c r="C221" s="190">
        <v>1.0833333333333341E-2</v>
      </c>
      <c r="D221" s="190">
        <v>2.2856948183143655E-2</v>
      </c>
      <c r="E221" s="190">
        <v>0.47396237006489844</v>
      </c>
      <c r="F221" s="190">
        <v>0.63655995462254167</v>
      </c>
      <c r="G221" s="193" t="s">
        <v>352</v>
      </c>
    </row>
    <row r="222" spans="2:7" x14ac:dyDescent="0.5">
      <c r="B222" s="160" t="s">
        <v>584</v>
      </c>
      <c r="C222" s="190">
        <v>0.14211666666666667</v>
      </c>
      <c r="D222" s="190">
        <v>2.2856948183143655E-2</v>
      </c>
      <c r="E222" s="190">
        <v>6.2176571223744403</v>
      </c>
      <c r="F222" s="190" t="s">
        <v>272</v>
      </c>
      <c r="G222" s="193" t="s">
        <v>351</v>
      </c>
    </row>
    <row r="223" spans="2:7" x14ac:dyDescent="0.5">
      <c r="B223" s="160" t="s">
        <v>585</v>
      </c>
      <c r="C223" s="190">
        <v>0.11244999999999999</v>
      </c>
      <c r="D223" s="190">
        <v>2.2856948183143655E-2</v>
      </c>
      <c r="E223" s="190">
        <v>4.9197294012736421</v>
      </c>
      <c r="F223" s="190" t="s">
        <v>272</v>
      </c>
      <c r="G223" s="193" t="s">
        <v>351</v>
      </c>
    </row>
    <row r="224" spans="2:7" x14ac:dyDescent="0.5">
      <c r="B224" s="160" t="s">
        <v>586</v>
      </c>
      <c r="C224" s="190">
        <v>0.10451666666666666</v>
      </c>
      <c r="D224" s="190">
        <v>2.2856948183143655E-2</v>
      </c>
      <c r="E224" s="190">
        <v>4.5726431118107325</v>
      </c>
      <c r="F224" s="190" t="s">
        <v>272</v>
      </c>
      <c r="G224" s="212" t="s">
        <v>351</v>
      </c>
    </row>
    <row r="225" spans="2:7" x14ac:dyDescent="0.5">
      <c r="B225" s="160" t="s">
        <v>587</v>
      </c>
      <c r="C225" s="190">
        <v>6.8116666666666659E-2</v>
      </c>
      <c r="D225" s="190">
        <v>2.2856948183143655E-2</v>
      </c>
      <c r="E225" s="190">
        <v>2.9801295483926742</v>
      </c>
      <c r="F225" s="190">
        <v>3.6173512306407422E-3</v>
      </c>
      <c r="G225" s="193" t="s">
        <v>351</v>
      </c>
    </row>
    <row r="226" spans="2:7" x14ac:dyDescent="0.5">
      <c r="B226" s="160" t="s">
        <v>588</v>
      </c>
      <c r="C226" s="190">
        <v>6.5816666666666662E-2</v>
      </c>
      <c r="D226" s="190">
        <v>2.2856948183143655E-2</v>
      </c>
      <c r="E226" s="190">
        <v>2.8795036913635115</v>
      </c>
      <c r="F226" s="190">
        <v>4.8723420142437641E-3</v>
      </c>
      <c r="G226" s="193" t="s">
        <v>351</v>
      </c>
    </row>
    <row r="227" spans="2:7" x14ac:dyDescent="0.5">
      <c r="B227" s="160" t="s">
        <v>589</v>
      </c>
      <c r="C227" s="190">
        <v>6.0683333333333339E-2</v>
      </c>
      <c r="D227" s="190">
        <v>2.2856948183143655E-2</v>
      </c>
      <c r="E227" s="190">
        <v>2.6549184452404524</v>
      </c>
      <c r="F227" s="190">
        <v>9.2314610610488203E-3</v>
      </c>
      <c r="G227" s="193" t="s">
        <v>351</v>
      </c>
    </row>
    <row r="228" spans="2:7" x14ac:dyDescent="0.5">
      <c r="B228" s="160" t="s">
        <v>590</v>
      </c>
      <c r="C228" s="190">
        <v>5.7033333333333325E-2</v>
      </c>
      <c r="D228" s="190">
        <v>2.2856948183143655E-2</v>
      </c>
      <c r="E228" s="190">
        <v>2.4952295851724324</v>
      </c>
      <c r="F228" s="190">
        <v>1.4224545593386264E-2</v>
      </c>
      <c r="G228" s="193" t="s">
        <v>351</v>
      </c>
    </row>
    <row r="229" spans="2:7" x14ac:dyDescent="0.5">
      <c r="B229" s="160" t="s">
        <v>591</v>
      </c>
      <c r="C229" s="190">
        <v>3.1266666666666748E-2</v>
      </c>
      <c r="D229" s="190">
        <v>2.2856948183143655E-2</v>
      </c>
      <c r="E229" s="190">
        <v>1.3679283172950019</v>
      </c>
      <c r="F229" s="190">
        <v>0.17440064095164468</v>
      </c>
      <c r="G229" s="193" t="s">
        <v>352</v>
      </c>
    </row>
    <row r="230" spans="2:7" x14ac:dyDescent="0.5">
      <c r="B230" s="160" t="s">
        <v>592</v>
      </c>
      <c r="C230" s="190">
        <v>3.0933333333333337E-2</v>
      </c>
      <c r="D230" s="190">
        <v>2.2856948183143655E-2</v>
      </c>
      <c r="E230" s="190">
        <v>1.3533448597545399</v>
      </c>
      <c r="F230" s="190">
        <v>0.17899684373703995</v>
      </c>
      <c r="G230" s="193" t="s">
        <v>352</v>
      </c>
    </row>
    <row r="231" spans="2:7" x14ac:dyDescent="0.5">
      <c r="B231" s="160" t="s">
        <v>593</v>
      </c>
      <c r="C231" s="190">
        <v>2.6000000000000002E-2</v>
      </c>
      <c r="D231" s="190">
        <v>2.2856948183143655E-2</v>
      </c>
      <c r="E231" s="190">
        <v>1.1375096881557556</v>
      </c>
      <c r="F231" s="190">
        <v>0.258043471401809</v>
      </c>
      <c r="G231" s="193" t="s">
        <v>352</v>
      </c>
    </row>
    <row r="232" spans="2:7" x14ac:dyDescent="0.5">
      <c r="B232" s="160" t="s">
        <v>594</v>
      </c>
      <c r="C232" s="190">
        <v>1.6083333333333338E-2</v>
      </c>
      <c r="D232" s="190">
        <v>2.2856948183143655E-2</v>
      </c>
      <c r="E232" s="190">
        <v>0.7036518263271182</v>
      </c>
      <c r="F232" s="190">
        <v>0.48328482093581071</v>
      </c>
      <c r="G232" s="193" t="s">
        <v>352</v>
      </c>
    </row>
    <row r="233" spans="2:7" x14ac:dyDescent="0.5">
      <c r="B233" s="160" t="s">
        <v>595</v>
      </c>
      <c r="C233" s="190">
        <v>9.0166666666666694E-3</v>
      </c>
      <c r="D233" s="190">
        <v>2.2856948183143655E-2</v>
      </c>
      <c r="E233" s="190">
        <v>0.39448252646939991</v>
      </c>
      <c r="F233" s="190">
        <v>0.69406487913800463</v>
      </c>
      <c r="G233" s="199" t="s">
        <v>352</v>
      </c>
    </row>
    <row r="234" spans="2:7" x14ac:dyDescent="0.5">
      <c r="B234" s="160" t="s">
        <v>596</v>
      </c>
      <c r="C234" s="190">
        <v>7.0666666666666621E-3</v>
      </c>
      <c r="D234" s="190">
        <v>2.2856948183143655E-2</v>
      </c>
      <c r="E234" s="190">
        <v>0.30916929985771796</v>
      </c>
      <c r="F234" s="190">
        <v>0.75783598924188678</v>
      </c>
      <c r="G234" s="193" t="s">
        <v>352</v>
      </c>
    </row>
    <row r="235" spans="2:7" x14ac:dyDescent="0.5">
      <c r="B235" s="160" t="s">
        <v>597</v>
      </c>
      <c r="C235" s="190">
        <v>5.816666666666661E-3</v>
      </c>
      <c r="D235" s="190">
        <v>2.2856948183143655E-2</v>
      </c>
      <c r="E235" s="190">
        <v>0.25448133408099888</v>
      </c>
      <c r="F235" s="190">
        <v>0.79964629808230614</v>
      </c>
      <c r="G235" s="193" t="s">
        <v>352</v>
      </c>
    </row>
    <row r="236" spans="2:7" x14ac:dyDescent="0.5">
      <c r="B236" s="160" t="s">
        <v>598</v>
      </c>
      <c r="C236" s="190">
        <v>0.1363</v>
      </c>
      <c r="D236" s="190">
        <v>2.2856948183143655E-2</v>
      </c>
      <c r="E236" s="190">
        <v>5.9631757882934409</v>
      </c>
      <c r="F236" s="190" t="s">
        <v>272</v>
      </c>
      <c r="G236" s="193" t="s">
        <v>351</v>
      </c>
    </row>
    <row r="237" spans="2:7" x14ac:dyDescent="0.5">
      <c r="B237" s="160" t="s">
        <v>599</v>
      </c>
      <c r="C237" s="190">
        <v>0.10663333333333333</v>
      </c>
      <c r="D237" s="190">
        <v>2.2856948183143655E-2</v>
      </c>
      <c r="E237" s="190">
        <v>4.6652480671926426</v>
      </c>
      <c r="F237" s="190" t="s">
        <v>272</v>
      </c>
      <c r="G237" s="193" t="s">
        <v>351</v>
      </c>
    </row>
    <row r="238" spans="2:7" x14ac:dyDescent="0.5">
      <c r="B238" s="160" t="s">
        <v>600</v>
      </c>
      <c r="C238" s="190">
        <v>9.8699999999999996E-2</v>
      </c>
      <c r="D238" s="190">
        <v>2.2856948183143655E-2</v>
      </c>
      <c r="E238" s="190">
        <v>4.318161777729733</v>
      </c>
      <c r="F238" s="190" t="s">
        <v>272</v>
      </c>
      <c r="G238" s="193" t="s">
        <v>351</v>
      </c>
    </row>
    <row r="239" spans="2:7" x14ac:dyDescent="0.5">
      <c r="B239" s="160" t="s">
        <v>601</v>
      </c>
      <c r="C239" s="190">
        <v>6.2300000000000008E-2</v>
      </c>
      <c r="D239" s="190">
        <v>2.2856948183143655E-2</v>
      </c>
      <c r="E239" s="190">
        <v>2.725648214311676</v>
      </c>
      <c r="F239" s="190">
        <v>7.5778591455083035E-3</v>
      </c>
      <c r="G239" s="193" t="s">
        <v>351</v>
      </c>
    </row>
    <row r="240" spans="2:7" x14ac:dyDescent="0.5">
      <c r="B240" s="160" t="s">
        <v>602</v>
      </c>
      <c r="C240" s="190">
        <v>0.06</v>
      </c>
      <c r="D240" s="190">
        <v>2.2856948183143655E-2</v>
      </c>
      <c r="E240" s="190">
        <v>2.6250223572825124</v>
      </c>
      <c r="F240" s="190">
        <v>1.0023851402649943E-2</v>
      </c>
      <c r="G240" s="193" t="s">
        <v>351</v>
      </c>
    </row>
    <row r="241" spans="2:7" x14ac:dyDescent="0.5">
      <c r="B241" s="160" t="s">
        <v>603</v>
      </c>
      <c r="C241" s="190">
        <v>5.4866666666666675E-2</v>
      </c>
      <c r="D241" s="190">
        <v>2.2856948183143655E-2</v>
      </c>
      <c r="E241" s="190">
        <v>2.4004371111594534</v>
      </c>
      <c r="F241" s="190">
        <v>1.8224979677421545E-2</v>
      </c>
      <c r="G241" s="193" t="s">
        <v>351</v>
      </c>
    </row>
    <row r="242" spans="2:7" x14ac:dyDescent="0.5">
      <c r="B242" s="160" t="s">
        <v>604</v>
      </c>
      <c r="C242" s="190">
        <v>5.1216666666666667E-2</v>
      </c>
      <c r="D242" s="190">
        <v>2.2856948183143655E-2</v>
      </c>
      <c r="E242" s="190">
        <v>2.2407482510914338</v>
      </c>
      <c r="F242" s="190">
        <v>2.7254187021317114E-2</v>
      </c>
      <c r="G242" s="193" t="s">
        <v>351</v>
      </c>
    </row>
    <row r="243" spans="2:7" x14ac:dyDescent="0.5">
      <c r="B243" s="160" t="s">
        <v>605</v>
      </c>
      <c r="C243" s="190">
        <v>2.5450000000000087E-2</v>
      </c>
      <c r="D243" s="190">
        <v>2.2856948183143655E-2</v>
      </c>
      <c r="E243" s="190">
        <v>1.1134469832140028</v>
      </c>
      <c r="F243" s="190">
        <v>0.2681857436503588</v>
      </c>
      <c r="G243" s="193" t="s">
        <v>352</v>
      </c>
    </row>
    <row r="244" spans="2:7" x14ac:dyDescent="0.5">
      <c r="B244" s="160" t="s">
        <v>606</v>
      </c>
      <c r="C244" s="190">
        <v>2.5116666666666676E-2</v>
      </c>
      <c r="D244" s="190">
        <v>2.2856948183143655E-2</v>
      </c>
      <c r="E244" s="190">
        <v>1.0988635256735411</v>
      </c>
      <c r="F244" s="190">
        <v>0.27446618850755622</v>
      </c>
      <c r="G244" s="199" t="s">
        <v>352</v>
      </c>
    </row>
    <row r="245" spans="2:7" x14ac:dyDescent="0.5">
      <c r="B245" s="160" t="s">
        <v>607</v>
      </c>
      <c r="C245" s="190">
        <v>2.0183333333333341E-2</v>
      </c>
      <c r="D245" s="190">
        <v>2.2856948183143655E-2</v>
      </c>
      <c r="E245" s="190">
        <v>0.88302835407475666</v>
      </c>
      <c r="F245" s="190">
        <v>0.379338822752537</v>
      </c>
      <c r="G245" s="193" t="s">
        <v>352</v>
      </c>
    </row>
    <row r="246" spans="2:7" x14ac:dyDescent="0.5">
      <c r="B246" s="160" t="s">
        <v>608</v>
      </c>
      <c r="C246" s="190">
        <v>1.0266666666666676E-2</v>
      </c>
      <c r="D246" s="190">
        <v>2.2856948183143655E-2</v>
      </c>
      <c r="E246" s="190">
        <v>0.44917049224611921</v>
      </c>
      <c r="F246" s="190">
        <v>0.65428063003416082</v>
      </c>
      <c r="G246" s="193" t="s">
        <v>352</v>
      </c>
    </row>
    <row r="247" spans="2:7" x14ac:dyDescent="0.5">
      <c r="B247" s="160" t="s">
        <v>609</v>
      </c>
      <c r="C247" s="190">
        <v>3.2000000000000084E-3</v>
      </c>
      <c r="D247" s="190">
        <v>2.2856948183143655E-2</v>
      </c>
      <c r="E247" s="190">
        <v>0.14000119238840103</v>
      </c>
      <c r="F247" s="190">
        <v>0.88894064545555385</v>
      </c>
      <c r="G247" s="193" t="s">
        <v>352</v>
      </c>
    </row>
    <row r="248" spans="2:7" x14ac:dyDescent="0.5">
      <c r="B248" s="160" t="s">
        <v>610</v>
      </c>
      <c r="C248" s="190">
        <v>1.2500000000000011E-3</v>
      </c>
      <c r="D248" s="190">
        <v>2.2856948183143655E-2</v>
      </c>
      <c r="E248" s="190">
        <v>5.4687965776719062E-2</v>
      </c>
      <c r="F248" s="190">
        <v>0.95649616787000924</v>
      </c>
      <c r="G248" s="193" t="s">
        <v>352</v>
      </c>
    </row>
    <row r="249" spans="2:7" x14ac:dyDescent="0.5">
      <c r="B249" s="160" t="s">
        <v>611</v>
      </c>
      <c r="C249" s="190">
        <v>0.13505</v>
      </c>
      <c r="D249" s="190">
        <v>2.2856948183143655E-2</v>
      </c>
      <c r="E249" s="190">
        <v>5.9084878225167223</v>
      </c>
      <c r="F249" s="190" t="s">
        <v>272</v>
      </c>
      <c r="G249" s="193" t="s">
        <v>351</v>
      </c>
    </row>
    <row r="250" spans="2:7" x14ac:dyDescent="0.5">
      <c r="B250" s="160" t="s">
        <v>612</v>
      </c>
      <c r="C250" s="190">
        <v>0.10538333333333333</v>
      </c>
      <c r="D250" s="190">
        <v>2.2856948183143655E-2</v>
      </c>
      <c r="E250" s="190">
        <v>4.6105601014159241</v>
      </c>
      <c r="F250" s="190" t="s">
        <v>272</v>
      </c>
      <c r="G250" s="193" t="s">
        <v>351</v>
      </c>
    </row>
    <row r="251" spans="2:7" x14ac:dyDescent="0.5">
      <c r="B251" s="160" t="s">
        <v>613</v>
      </c>
      <c r="C251" s="190">
        <v>9.7449999999999995E-2</v>
      </c>
      <c r="D251" s="190">
        <v>2.2856948183143655E-2</v>
      </c>
      <c r="E251" s="190">
        <v>4.2634738119530136</v>
      </c>
      <c r="F251" s="190" t="s">
        <v>272</v>
      </c>
      <c r="G251" s="193" t="s">
        <v>351</v>
      </c>
    </row>
    <row r="252" spans="2:7" x14ac:dyDescent="0.5">
      <c r="B252" s="160" t="s">
        <v>614</v>
      </c>
      <c r="C252" s="190">
        <v>6.1050000000000007E-2</v>
      </c>
      <c r="D252" s="190">
        <v>2.2856948183143655E-2</v>
      </c>
      <c r="E252" s="190">
        <v>2.6709602485349571</v>
      </c>
      <c r="F252" s="190">
        <v>8.8300793929408598E-3</v>
      </c>
      <c r="G252" s="193" t="s">
        <v>351</v>
      </c>
    </row>
    <row r="253" spans="2:7" x14ac:dyDescent="0.5">
      <c r="B253" s="160" t="s">
        <v>615</v>
      </c>
      <c r="C253" s="190">
        <v>5.8749999999999997E-2</v>
      </c>
      <c r="D253" s="190">
        <v>2.2856948183143655E-2</v>
      </c>
      <c r="E253" s="190">
        <v>2.5703343915057935</v>
      </c>
      <c r="F253" s="190">
        <v>1.1634032739021491E-2</v>
      </c>
      <c r="G253" s="193" t="s">
        <v>351</v>
      </c>
    </row>
    <row r="254" spans="2:7" x14ac:dyDescent="0.5">
      <c r="B254" s="160" t="s">
        <v>616</v>
      </c>
      <c r="C254" s="190">
        <v>5.3616666666666674E-2</v>
      </c>
      <c r="D254" s="190">
        <v>2.2856948183143655E-2</v>
      </c>
      <c r="E254" s="190">
        <v>2.3457491453827344</v>
      </c>
      <c r="F254" s="190">
        <v>2.0962735119673052E-2</v>
      </c>
      <c r="G254" s="193" t="s">
        <v>351</v>
      </c>
    </row>
    <row r="255" spans="2:7" x14ac:dyDescent="0.5">
      <c r="B255" s="160" t="s">
        <v>617</v>
      </c>
      <c r="C255" s="190">
        <v>4.9966666666666666E-2</v>
      </c>
      <c r="D255" s="190">
        <v>2.2856948183143655E-2</v>
      </c>
      <c r="E255" s="190">
        <v>2.1860602853147144</v>
      </c>
      <c r="F255" s="190">
        <v>3.1144265940764342E-2</v>
      </c>
      <c r="G255" s="193" t="s">
        <v>351</v>
      </c>
    </row>
    <row r="256" spans="2:7" x14ac:dyDescent="0.5">
      <c r="B256" s="160" t="s">
        <v>618</v>
      </c>
      <c r="C256" s="190">
        <v>2.4200000000000086E-2</v>
      </c>
      <c r="D256" s="190">
        <v>2.2856948183143655E-2</v>
      </c>
      <c r="E256" s="190">
        <v>1.0587590174372838</v>
      </c>
      <c r="F256" s="190">
        <v>0.29226030009113152</v>
      </c>
      <c r="G256" s="199" t="s">
        <v>352</v>
      </c>
    </row>
    <row r="257" spans="2:7" x14ac:dyDescent="0.5">
      <c r="B257" s="160" t="s">
        <v>619</v>
      </c>
      <c r="C257" s="190">
        <v>2.3866666666666675E-2</v>
      </c>
      <c r="D257" s="190">
        <v>2.2856948183143655E-2</v>
      </c>
      <c r="E257" s="190">
        <v>1.0441755598968221</v>
      </c>
      <c r="F257" s="190">
        <v>0.29892178077675163</v>
      </c>
      <c r="G257" s="193" t="s">
        <v>352</v>
      </c>
    </row>
    <row r="258" spans="2:7" x14ac:dyDescent="0.5">
      <c r="B258" s="160" t="s">
        <v>620</v>
      </c>
      <c r="C258" s="190">
        <v>1.893333333333334E-2</v>
      </c>
      <c r="D258" s="190">
        <v>2.2856948183143655E-2</v>
      </c>
      <c r="E258" s="190">
        <v>0.82834038829803758</v>
      </c>
      <c r="F258" s="190">
        <v>0.40945038484466606</v>
      </c>
      <c r="G258" s="193" t="s">
        <v>352</v>
      </c>
    </row>
    <row r="259" spans="2:7" x14ac:dyDescent="0.5">
      <c r="B259" s="160" t="s">
        <v>621</v>
      </c>
      <c r="C259" s="190">
        <v>9.0166666666666746E-3</v>
      </c>
      <c r="D259" s="190">
        <v>2.2856948183143655E-2</v>
      </c>
      <c r="E259" s="190">
        <v>0.39448252646940013</v>
      </c>
      <c r="F259" s="190">
        <v>0.69406487913800463</v>
      </c>
      <c r="G259" s="193" t="s">
        <v>352</v>
      </c>
    </row>
    <row r="260" spans="2:7" x14ac:dyDescent="0.5">
      <c r="B260" s="160" t="s">
        <v>622</v>
      </c>
      <c r="C260" s="190">
        <v>1.9500000000000073E-3</v>
      </c>
      <c r="D260" s="190">
        <v>2.2856948183143655E-2</v>
      </c>
      <c r="E260" s="190">
        <v>8.5313226611681975E-2</v>
      </c>
      <c r="F260" s="190">
        <v>0.93218295055476863</v>
      </c>
      <c r="G260" s="193" t="s">
        <v>352</v>
      </c>
    </row>
    <row r="261" spans="2:7" x14ac:dyDescent="0.5">
      <c r="B261" s="160" t="s">
        <v>623</v>
      </c>
      <c r="C261" s="190">
        <v>0.1331</v>
      </c>
      <c r="D261" s="190">
        <v>2.2856948183143655E-2</v>
      </c>
      <c r="E261" s="190">
        <v>5.8231745959050398</v>
      </c>
      <c r="F261" s="190" t="s">
        <v>272</v>
      </c>
      <c r="G261" s="193" t="s">
        <v>351</v>
      </c>
    </row>
    <row r="262" spans="2:7" x14ac:dyDescent="0.5">
      <c r="B262" s="160" t="s">
        <v>624</v>
      </c>
      <c r="C262" s="190">
        <v>0.10343333333333332</v>
      </c>
      <c r="D262" s="190">
        <v>2.2856948183143655E-2</v>
      </c>
      <c r="E262" s="190">
        <v>4.5252468748042416</v>
      </c>
      <c r="F262" s="190" t="s">
        <v>272</v>
      </c>
      <c r="G262" s="193" t="s">
        <v>351</v>
      </c>
    </row>
    <row r="263" spans="2:7" x14ac:dyDescent="0.5">
      <c r="B263" s="160" t="s">
        <v>625</v>
      </c>
      <c r="C263" s="190">
        <v>9.5499999999999988E-2</v>
      </c>
      <c r="D263" s="190">
        <v>2.2856948183143655E-2</v>
      </c>
      <c r="E263" s="190">
        <v>4.1781605853413319</v>
      </c>
      <c r="F263" s="190" t="s">
        <v>272</v>
      </c>
      <c r="G263" s="193" t="s">
        <v>351</v>
      </c>
    </row>
    <row r="264" spans="2:7" x14ac:dyDescent="0.5">
      <c r="B264" s="160" t="s">
        <v>626</v>
      </c>
      <c r="C264" s="190">
        <v>5.91E-2</v>
      </c>
      <c r="D264" s="190">
        <v>2.2856948183143655E-2</v>
      </c>
      <c r="E264" s="190">
        <v>2.585647021923275</v>
      </c>
      <c r="F264" s="190">
        <v>1.1161188973094848E-2</v>
      </c>
      <c r="G264" s="212" t="s">
        <v>351</v>
      </c>
    </row>
    <row r="265" spans="2:7" x14ac:dyDescent="0.5">
      <c r="B265" s="160" t="s">
        <v>627</v>
      </c>
      <c r="C265" s="190">
        <v>5.6799999999999989E-2</v>
      </c>
      <c r="D265" s="190">
        <v>2.2856948183143655E-2</v>
      </c>
      <c r="E265" s="190">
        <v>2.4850211648941114</v>
      </c>
      <c r="F265" s="190">
        <v>1.4613935047948867E-2</v>
      </c>
      <c r="G265" s="193" t="s">
        <v>351</v>
      </c>
    </row>
    <row r="266" spans="2:7" x14ac:dyDescent="0.5">
      <c r="B266" s="160" t="s">
        <v>628</v>
      </c>
      <c r="C266" s="190">
        <v>5.1666666666666666E-2</v>
      </c>
      <c r="D266" s="190">
        <v>2.2856948183143655E-2</v>
      </c>
      <c r="E266" s="190">
        <v>2.2604359187710523</v>
      </c>
      <c r="F266" s="190">
        <v>2.5961752086875574E-2</v>
      </c>
      <c r="G266" s="193" t="s">
        <v>351</v>
      </c>
    </row>
    <row r="267" spans="2:7" x14ac:dyDescent="0.5">
      <c r="B267" s="160" t="s">
        <v>629</v>
      </c>
      <c r="C267" s="190">
        <v>4.8016666666666659E-2</v>
      </c>
      <c r="D267" s="190">
        <v>2.2856948183143655E-2</v>
      </c>
      <c r="E267" s="190">
        <v>2.1007470587030328</v>
      </c>
      <c r="F267" s="190">
        <v>3.8178050493562966E-2</v>
      </c>
      <c r="G267" s="193" t="s">
        <v>351</v>
      </c>
    </row>
    <row r="268" spans="2:7" x14ac:dyDescent="0.5">
      <c r="B268" s="160" t="s">
        <v>630</v>
      </c>
      <c r="C268" s="190">
        <v>2.2250000000000079E-2</v>
      </c>
      <c r="D268" s="190">
        <v>2.2856948183143655E-2</v>
      </c>
      <c r="E268" s="190">
        <v>0.9734457908256019</v>
      </c>
      <c r="F268" s="190">
        <v>0.33268063176094814</v>
      </c>
      <c r="G268" s="193" t="s">
        <v>352</v>
      </c>
    </row>
    <row r="269" spans="2:7" x14ac:dyDescent="0.5">
      <c r="B269" s="160" t="s">
        <v>631</v>
      </c>
      <c r="C269" s="190">
        <v>2.1916666666666668E-2</v>
      </c>
      <c r="D269" s="190">
        <v>2.2856948183143655E-2</v>
      </c>
      <c r="E269" s="190">
        <v>0.95886233328514003</v>
      </c>
      <c r="F269" s="190">
        <v>0.33994069494510459</v>
      </c>
      <c r="G269" s="193" t="s">
        <v>352</v>
      </c>
    </row>
    <row r="270" spans="2:7" x14ac:dyDescent="0.5">
      <c r="B270" s="160" t="s">
        <v>632</v>
      </c>
      <c r="C270" s="190">
        <v>1.6983333333333333E-2</v>
      </c>
      <c r="D270" s="190">
        <v>2.2856948183143655E-2</v>
      </c>
      <c r="E270" s="190">
        <v>0.74302716168635563</v>
      </c>
      <c r="F270" s="190">
        <v>0.4592072456457405</v>
      </c>
      <c r="G270" s="193" t="s">
        <v>352</v>
      </c>
    </row>
    <row r="271" spans="2:7" x14ac:dyDescent="0.5">
      <c r="B271" s="160" t="s">
        <v>633</v>
      </c>
      <c r="C271" s="190">
        <v>7.0666666666666673E-3</v>
      </c>
      <c r="D271" s="190">
        <v>2.2856948183143655E-2</v>
      </c>
      <c r="E271" s="190">
        <v>0.30916929985771818</v>
      </c>
      <c r="F271" s="190">
        <v>0.75783598924188678</v>
      </c>
      <c r="G271" s="193" t="s">
        <v>352</v>
      </c>
    </row>
    <row r="272" spans="2:7" x14ac:dyDescent="0.5">
      <c r="B272" s="160" t="s">
        <v>634</v>
      </c>
      <c r="C272" s="190">
        <v>0.12603333333333333</v>
      </c>
      <c r="D272" s="190">
        <v>2.2856948183143655E-2</v>
      </c>
      <c r="E272" s="190">
        <v>5.5140052960473218</v>
      </c>
      <c r="F272" s="190" t="s">
        <v>272</v>
      </c>
      <c r="G272" s="193" t="s">
        <v>351</v>
      </c>
    </row>
    <row r="273" spans="2:7" x14ac:dyDescent="0.5">
      <c r="B273" s="160" t="s">
        <v>635</v>
      </c>
      <c r="C273" s="190">
        <v>9.6366666666666656E-2</v>
      </c>
      <c r="D273" s="190">
        <v>2.2856948183143655E-2</v>
      </c>
      <c r="E273" s="190">
        <v>4.2160775749465236</v>
      </c>
      <c r="F273" s="190" t="s">
        <v>272</v>
      </c>
      <c r="G273" s="193" t="s">
        <v>351</v>
      </c>
    </row>
    <row r="274" spans="2:7" x14ac:dyDescent="0.5">
      <c r="B274" s="160" t="s">
        <v>636</v>
      </c>
      <c r="C274" s="190">
        <v>8.8433333333333322E-2</v>
      </c>
      <c r="D274" s="190">
        <v>2.2856948183143655E-2</v>
      </c>
      <c r="E274" s="190">
        <v>3.8689912854836139</v>
      </c>
      <c r="F274" s="190">
        <v>1.9480357226103341E-4</v>
      </c>
      <c r="G274" s="193" t="s">
        <v>351</v>
      </c>
    </row>
    <row r="275" spans="2:7" x14ac:dyDescent="0.5">
      <c r="B275" s="160" t="s">
        <v>637</v>
      </c>
      <c r="C275" s="190">
        <v>5.2033333333333327E-2</v>
      </c>
      <c r="D275" s="190">
        <v>2.2856948183143655E-2</v>
      </c>
      <c r="E275" s="190">
        <v>2.2764777220655565</v>
      </c>
      <c r="F275" s="190">
        <v>2.4948743656101884E-2</v>
      </c>
      <c r="G275" s="193" t="s">
        <v>351</v>
      </c>
    </row>
    <row r="276" spans="2:7" x14ac:dyDescent="0.5">
      <c r="B276" s="160" t="s">
        <v>638</v>
      </c>
      <c r="C276" s="190">
        <v>4.9733333333333324E-2</v>
      </c>
      <c r="D276" s="190">
        <v>2.2856948183143655E-2</v>
      </c>
      <c r="E276" s="190">
        <v>2.1758518650363934</v>
      </c>
      <c r="F276" s="190">
        <v>3.1921703568963719E-2</v>
      </c>
      <c r="G276" s="193" t="s">
        <v>351</v>
      </c>
    </row>
    <row r="277" spans="2:7" x14ac:dyDescent="0.5">
      <c r="B277" s="160" t="s">
        <v>639</v>
      </c>
      <c r="C277" s="190">
        <v>4.4600000000000001E-2</v>
      </c>
      <c r="D277" s="190">
        <v>2.2856948183143655E-2</v>
      </c>
      <c r="E277" s="190">
        <v>1.9512666189133343</v>
      </c>
      <c r="F277" s="190">
        <v>5.3823375814948192E-2</v>
      </c>
      <c r="G277" s="193" t="s">
        <v>352</v>
      </c>
    </row>
    <row r="278" spans="2:7" x14ac:dyDescent="0.5">
      <c r="B278" s="160" t="s">
        <v>640</v>
      </c>
      <c r="C278" s="190">
        <v>4.0949999999999993E-2</v>
      </c>
      <c r="D278" s="190">
        <v>2.2856948183143655E-2</v>
      </c>
      <c r="E278" s="190">
        <v>1.7915777588453146</v>
      </c>
      <c r="F278" s="190">
        <v>7.6225413787248911E-2</v>
      </c>
      <c r="G278" s="193" t="s">
        <v>352</v>
      </c>
    </row>
    <row r="279" spans="2:7" x14ac:dyDescent="0.5">
      <c r="B279" s="160" t="s">
        <v>641</v>
      </c>
      <c r="C279" s="190">
        <v>1.5183333333333411E-2</v>
      </c>
      <c r="D279" s="190">
        <v>2.2856948183143655E-2</v>
      </c>
      <c r="E279" s="190">
        <v>0.66427649096788366</v>
      </c>
      <c r="F279" s="190">
        <v>0.50804218168322024</v>
      </c>
      <c r="G279" s="193" t="s">
        <v>352</v>
      </c>
    </row>
    <row r="280" spans="2:7" x14ac:dyDescent="0.5">
      <c r="B280" s="160" t="s">
        <v>642</v>
      </c>
      <c r="C280" s="190">
        <v>1.4849999999999999E-2</v>
      </c>
      <c r="D280" s="190">
        <v>2.2856948183143655E-2</v>
      </c>
      <c r="E280" s="190">
        <v>0.6496930334274218</v>
      </c>
      <c r="F280" s="190">
        <v>0.51738014340059624</v>
      </c>
      <c r="G280" s="193" t="s">
        <v>352</v>
      </c>
    </row>
    <row r="281" spans="2:7" x14ac:dyDescent="0.5">
      <c r="B281" s="160" t="s">
        <v>643</v>
      </c>
      <c r="C281" s="190">
        <v>9.9166666666666639E-3</v>
      </c>
      <c r="D281" s="190">
        <v>2.2856948183143655E-2</v>
      </c>
      <c r="E281" s="190">
        <v>0.43385786182863739</v>
      </c>
      <c r="F281" s="190">
        <v>0.66532623475290931</v>
      </c>
      <c r="G281" s="193" t="s">
        <v>352</v>
      </c>
    </row>
    <row r="282" spans="2:7" x14ac:dyDescent="0.5">
      <c r="B282" s="160" t="s">
        <v>644</v>
      </c>
      <c r="C282" s="190">
        <v>0.11611666666666667</v>
      </c>
      <c r="D282" s="190">
        <v>2.2856948183143655E-2</v>
      </c>
      <c r="E282" s="190">
        <v>5.0801474342186852</v>
      </c>
      <c r="F282" s="190" t="s">
        <v>272</v>
      </c>
      <c r="G282" s="193" t="s">
        <v>351</v>
      </c>
    </row>
    <row r="283" spans="2:7" x14ac:dyDescent="0.5">
      <c r="B283" s="160" t="s">
        <v>645</v>
      </c>
      <c r="C283" s="190">
        <v>8.6449999999999999E-2</v>
      </c>
      <c r="D283" s="190">
        <v>2.2856948183143655E-2</v>
      </c>
      <c r="E283" s="190">
        <v>3.782219713117887</v>
      </c>
      <c r="F283" s="190">
        <v>2.6480699600905705E-4</v>
      </c>
      <c r="G283" s="193" t="s">
        <v>351</v>
      </c>
    </row>
    <row r="284" spans="2:7" x14ac:dyDescent="0.5">
      <c r="B284" s="160" t="s">
        <v>646</v>
      </c>
      <c r="C284" s="190">
        <v>7.8516666666666665E-2</v>
      </c>
      <c r="D284" s="190">
        <v>2.2856948183143655E-2</v>
      </c>
      <c r="E284" s="190">
        <v>3.4351334236549769</v>
      </c>
      <c r="F284" s="190">
        <v>8.6367236940849891E-4</v>
      </c>
      <c r="G284" s="193" t="s">
        <v>351</v>
      </c>
    </row>
    <row r="285" spans="2:7" x14ac:dyDescent="0.5">
      <c r="B285" s="160" t="s">
        <v>647</v>
      </c>
      <c r="C285" s="190">
        <v>4.2116666666666663E-2</v>
      </c>
      <c r="D285" s="190">
        <v>2.2856948183143655E-2</v>
      </c>
      <c r="E285" s="190">
        <v>1.842619860236919</v>
      </c>
      <c r="F285" s="190">
        <v>6.8347160849620794E-2</v>
      </c>
      <c r="G285" s="193" t="s">
        <v>352</v>
      </c>
    </row>
    <row r="286" spans="2:7" x14ac:dyDescent="0.5">
      <c r="B286" s="160" t="s">
        <v>648</v>
      </c>
      <c r="C286" s="190">
        <v>3.981666666666666E-2</v>
      </c>
      <c r="D286" s="190">
        <v>2.2856948183143655E-2</v>
      </c>
      <c r="E286" s="190">
        <v>1.7419940032077559</v>
      </c>
      <c r="F286" s="190">
        <v>8.4584204573671232E-2</v>
      </c>
      <c r="G286" s="193" t="s">
        <v>352</v>
      </c>
    </row>
    <row r="287" spans="2:7" x14ac:dyDescent="0.5">
      <c r="B287" s="160" t="s">
        <v>649</v>
      </c>
      <c r="C287" s="190">
        <v>3.4683333333333337E-2</v>
      </c>
      <c r="D287" s="190">
        <v>2.2856948183143655E-2</v>
      </c>
      <c r="E287" s="190">
        <v>1.517408757084697</v>
      </c>
      <c r="F287" s="190">
        <v>0.13231859179740205</v>
      </c>
      <c r="G287" s="193" t="s">
        <v>352</v>
      </c>
    </row>
    <row r="288" spans="2:7" x14ac:dyDescent="0.5">
      <c r="B288" s="160" t="s">
        <v>650</v>
      </c>
      <c r="C288" s="190">
        <v>3.1033333333333326E-2</v>
      </c>
      <c r="D288" s="190">
        <v>2.2856948183143655E-2</v>
      </c>
      <c r="E288" s="190">
        <v>1.3577198970166771</v>
      </c>
      <c r="F288" s="190">
        <v>0.17760848099882015</v>
      </c>
      <c r="G288" s="193" t="s">
        <v>352</v>
      </c>
    </row>
    <row r="289" spans="2:7" x14ac:dyDescent="0.5">
      <c r="B289" s="160" t="s">
        <v>651</v>
      </c>
      <c r="C289" s="190">
        <v>5.2666666666667467E-3</v>
      </c>
      <c r="D289" s="190">
        <v>2.2856948183143655E-2</v>
      </c>
      <c r="E289" s="190">
        <v>0.23041862913924627</v>
      </c>
      <c r="F289" s="190">
        <v>0.81823720812481937</v>
      </c>
      <c r="G289" s="193" t="s">
        <v>352</v>
      </c>
    </row>
    <row r="290" spans="2:7" x14ac:dyDescent="0.5">
      <c r="B290" s="160" t="s">
        <v>652</v>
      </c>
      <c r="C290" s="190">
        <v>4.9333333333333338E-3</v>
      </c>
      <c r="D290" s="190">
        <v>2.2856948183143655E-2</v>
      </c>
      <c r="E290" s="190">
        <v>0.21583517159878438</v>
      </c>
      <c r="F290" s="190">
        <v>0.82955586669061443</v>
      </c>
      <c r="G290" s="193" t="s">
        <v>352</v>
      </c>
    </row>
    <row r="291" spans="2:7" x14ac:dyDescent="0.5">
      <c r="B291" s="160" t="s">
        <v>653</v>
      </c>
      <c r="C291" s="190">
        <v>0.11118333333333333</v>
      </c>
      <c r="D291" s="190">
        <v>2.2856948183143655E-2</v>
      </c>
      <c r="E291" s="190">
        <v>4.8643122626199</v>
      </c>
      <c r="F291" s="190" t="s">
        <v>272</v>
      </c>
      <c r="G291" s="193" t="s">
        <v>351</v>
      </c>
    </row>
    <row r="292" spans="2:7" x14ac:dyDescent="0.5">
      <c r="B292" s="160" t="s">
        <v>654</v>
      </c>
      <c r="C292" s="190">
        <v>8.1516666666666654E-2</v>
      </c>
      <c r="D292" s="190">
        <v>2.2856948183143655E-2</v>
      </c>
      <c r="E292" s="190">
        <v>3.5663845415191018</v>
      </c>
      <c r="F292" s="190">
        <v>5.5721062385391963E-4</v>
      </c>
      <c r="G292" s="193" t="s">
        <v>351</v>
      </c>
    </row>
    <row r="293" spans="2:7" x14ac:dyDescent="0.5">
      <c r="B293" s="160" t="s">
        <v>655</v>
      </c>
      <c r="C293" s="190">
        <v>7.358333333333332E-2</v>
      </c>
      <c r="D293" s="190">
        <v>2.2856948183143655E-2</v>
      </c>
      <c r="E293" s="190">
        <v>3.2192982520561921</v>
      </c>
      <c r="F293" s="190">
        <v>1.733301260205742E-3</v>
      </c>
      <c r="G293" s="193" t="s">
        <v>351</v>
      </c>
    </row>
    <row r="294" spans="2:7" x14ac:dyDescent="0.5">
      <c r="B294" s="160" t="s">
        <v>656</v>
      </c>
      <c r="C294" s="190">
        <v>3.7183333333333332E-2</v>
      </c>
      <c r="D294" s="190">
        <v>2.2856948183143655E-2</v>
      </c>
      <c r="E294" s="190">
        <v>1.6267846886381347</v>
      </c>
      <c r="F294" s="190">
        <v>0.10692998758451326</v>
      </c>
      <c r="G294" s="193" t="s">
        <v>352</v>
      </c>
    </row>
    <row r="295" spans="2:7" x14ac:dyDescent="0.5">
      <c r="B295" s="160" t="s">
        <v>657</v>
      </c>
      <c r="C295" s="190">
        <v>3.4883333333333329E-2</v>
      </c>
      <c r="D295" s="190">
        <v>2.2856948183143655E-2</v>
      </c>
      <c r="E295" s="190">
        <v>1.5261588316089716</v>
      </c>
      <c r="F295" s="190">
        <v>0.13012701954779288</v>
      </c>
      <c r="G295" s="193" t="s">
        <v>352</v>
      </c>
    </row>
    <row r="296" spans="2:7" x14ac:dyDescent="0.5">
      <c r="B296" s="160" t="s">
        <v>658</v>
      </c>
      <c r="C296" s="190">
        <v>2.9749999999999999E-2</v>
      </c>
      <c r="D296" s="190">
        <v>2.2856948183143655E-2</v>
      </c>
      <c r="E296" s="190">
        <v>1.3015735854859125</v>
      </c>
      <c r="F296" s="190">
        <v>0.19605273832763187</v>
      </c>
      <c r="G296" s="193" t="s">
        <v>352</v>
      </c>
    </row>
    <row r="297" spans="2:7" x14ac:dyDescent="0.5">
      <c r="B297" s="160" t="s">
        <v>659</v>
      </c>
      <c r="C297" s="190">
        <v>2.6099999999999991E-2</v>
      </c>
      <c r="D297" s="190">
        <v>2.2856948183143655E-2</v>
      </c>
      <c r="E297" s="190">
        <v>1.1418847254178925</v>
      </c>
      <c r="F297" s="190">
        <v>0.2562288113845782</v>
      </c>
      <c r="G297" s="193" t="s">
        <v>352</v>
      </c>
    </row>
    <row r="298" spans="2:7" x14ac:dyDescent="0.5">
      <c r="B298" s="160" t="s">
        <v>660</v>
      </c>
      <c r="C298" s="190">
        <v>3.3333333333341263E-4</v>
      </c>
      <c r="D298" s="190">
        <v>2.2856948183143655E-2</v>
      </c>
      <c r="E298" s="190">
        <v>1.4583457540461872E-2</v>
      </c>
      <c r="F298" s="190">
        <v>0.9883935528786485</v>
      </c>
      <c r="G298" s="193" t="s">
        <v>352</v>
      </c>
    </row>
    <row r="299" spans="2:7" x14ac:dyDescent="0.5">
      <c r="B299" s="160" t="s">
        <v>661</v>
      </c>
      <c r="C299" s="190">
        <v>0.11084999999999992</v>
      </c>
      <c r="D299" s="190">
        <v>2.2856948183143655E-2</v>
      </c>
      <c r="E299" s="190">
        <v>4.8497288050794385</v>
      </c>
      <c r="F299" s="190" t="s">
        <v>272</v>
      </c>
      <c r="G299" s="193" t="s">
        <v>351</v>
      </c>
    </row>
    <row r="300" spans="2:7" x14ac:dyDescent="0.5">
      <c r="B300" s="160" t="s">
        <v>662</v>
      </c>
      <c r="C300" s="190">
        <v>8.1183333333333246E-2</v>
      </c>
      <c r="D300" s="190">
        <v>2.2856948183143655E-2</v>
      </c>
      <c r="E300" s="190">
        <v>3.5518010839786402</v>
      </c>
      <c r="F300" s="190">
        <v>5.85328912471752E-4</v>
      </c>
      <c r="G300" s="193" t="s">
        <v>351</v>
      </c>
    </row>
    <row r="301" spans="2:7" x14ac:dyDescent="0.5">
      <c r="B301" s="160" t="s">
        <v>663</v>
      </c>
      <c r="C301" s="190">
        <v>7.3249999999999912E-2</v>
      </c>
      <c r="D301" s="190">
        <v>2.2856948183143655E-2</v>
      </c>
      <c r="E301" s="190">
        <v>3.2047147945157302</v>
      </c>
      <c r="F301" s="190">
        <v>1.814828866919888E-3</v>
      </c>
      <c r="G301" s="193" t="s">
        <v>351</v>
      </c>
    </row>
    <row r="302" spans="2:7" x14ac:dyDescent="0.5">
      <c r="B302" s="160" t="s">
        <v>664</v>
      </c>
      <c r="C302" s="190">
        <v>3.6849999999999918E-2</v>
      </c>
      <c r="D302" s="190">
        <v>2.2856948183143655E-2</v>
      </c>
      <c r="E302" s="190">
        <v>1.6122012310976728</v>
      </c>
      <c r="F302" s="190">
        <v>0.110069883088907</v>
      </c>
      <c r="G302" s="193" t="s">
        <v>352</v>
      </c>
    </row>
    <row r="303" spans="2:7" x14ac:dyDescent="0.5">
      <c r="B303" s="160" t="s">
        <v>665</v>
      </c>
      <c r="C303" s="190">
        <v>3.4549999999999914E-2</v>
      </c>
      <c r="D303" s="190">
        <v>2.2856948183143655E-2</v>
      </c>
      <c r="E303" s="190">
        <v>1.5115753740685098</v>
      </c>
      <c r="F303" s="190">
        <v>0.13379569136082059</v>
      </c>
      <c r="G303" s="193" t="s">
        <v>352</v>
      </c>
    </row>
    <row r="304" spans="2:7" x14ac:dyDescent="0.5">
      <c r="B304" s="160" t="s">
        <v>666</v>
      </c>
      <c r="C304" s="190">
        <v>2.9416666666666588E-2</v>
      </c>
      <c r="D304" s="190">
        <v>2.2856948183143655E-2</v>
      </c>
      <c r="E304" s="190">
        <v>1.2869901279454505</v>
      </c>
      <c r="F304" s="190">
        <v>0.20106883225905497</v>
      </c>
      <c r="G304" s="193" t="s">
        <v>352</v>
      </c>
    </row>
    <row r="305" spans="2:7" x14ac:dyDescent="0.5">
      <c r="B305" s="160" t="s">
        <v>667</v>
      </c>
      <c r="C305" s="190">
        <v>2.576666666666658E-2</v>
      </c>
      <c r="D305" s="190">
        <v>2.2856948183143655E-2</v>
      </c>
      <c r="E305" s="190">
        <v>1.1273012678774308</v>
      </c>
      <c r="F305" s="190">
        <v>0.26231280207576935</v>
      </c>
      <c r="G305" s="193" t="s">
        <v>352</v>
      </c>
    </row>
    <row r="306" spans="2:7" x14ac:dyDescent="0.5">
      <c r="B306" s="160" t="s">
        <v>668</v>
      </c>
      <c r="C306" s="190">
        <v>8.5083333333333344E-2</v>
      </c>
      <c r="D306" s="190">
        <v>2.2856948183143655E-2</v>
      </c>
      <c r="E306" s="190">
        <v>3.7224275372020079</v>
      </c>
      <c r="F306" s="190">
        <v>3.2633910884526676E-4</v>
      </c>
      <c r="G306" s="193" t="s">
        <v>351</v>
      </c>
    </row>
    <row r="307" spans="2:7" x14ac:dyDescent="0.5">
      <c r="B307" s="160" t="s">
        <v>669</v>
      </c>
      <c r="C307" s="190">
        <v>5.541666666666667E-2</v>
      </c>
      <c r="D307" s="190">
        <v>2.2856948183143655E-2</v>
      </c>
      <c r="E307" s="190">
        <v>2.4244998161012097</v>
      </c>
      <c r="F307" s="190">
        <v>1.7124523248697995E-2</v>
      </c>
      <c r="G307" s="193" t="s">
        <v>351</v>
      </c>
    </row>
    <row r="308" spans="2:7" x14ac:dyDescent="0.5">
      <c r="B308" s="160" t="s">
        <v>670</v>
      </c>
      <c r="C308" s="190">
        <v>4.7483333333333336E-2</v>
      </c>
      <c r="D308" s="190">
        <v>2.2856948183143655E-2</v>
      </c>
      <c r="E308" s="190">
        <v>2.0774135266382996</v>
      </c>
      <c r="F308" s="190">
        <v>4.0325887389964329E-2</v>
      </c>
      <c r="G308" s="193" t="s">
        <v>351</v>
      </c>
    </row>
    <row r="309" spans="2:7" x14ac:dyDescent="0.5">
      <c r="B309" s="160" t="s">
        <v>671</v>
      </c>
      <c r="C309" s="190">
        <v>1.1083333333333337E-2</v>
      </c>
      <c r="D309" s="190">
        <v>2.2856948183143655E-2</v>
      </c>
      <c r="E309" s="190">
        <v>0.48489996322024209</v>
      </c>
      <c r="F309" s="190">
        <v>0.62880782630369114</v>
      </c>
      <c r="G309" s="193" t="s">
        <v>352</v>
      </c>
    </row>
    <row r="310" spans="2:7" x14ac:dyDescent="0.5">
      <c r="B310" s="160" t="s">
        <v>672</v>
      </c>
      <c r="C310" s="190">
        <v>8.783333333333334E-3</v>
      </c>
      <c r="D310" s="190">
        <v>2.2856948183143655E-2</v>
      </c>
      <c r="E310" s="190">
        <v>0.38427410619107893</v>
      </c>
      <c r="F310" s="190">
        <v>0.70159122811282948</v>
      </c>
      <c r="G310" s="199" t="s">
        <v>352</v>
      </c>
    </row>
    <row r="311" spans="2:7" x14ac:dyDescent="0.5">
      <c r="B311" s="160" t="s">
        <v>673</v>
      </c>
      <c r="C311" s="190">
        <v>3.6500000000000074E-3</v>
      </c>
      <c r="D311" s="190">
        <v>2.2856948183143655E-2</v>
      </c>
      <c r="E311" s="190">
        <v>0.15968886006801983</v>
      </c>
      <c r="F311" s="190">
        <v>0.87344827876563891</v>
      </c>
      <c r="G311" s="193" t="s">
        <v>352</v>
      </c>
    </row>
    <row r="312" spans="2:7" x14ac:dyDescent="0.5">
      <c r="B312" s="160" t="s">
        <v>674</v>
      </c>
      <c r="C312" s="190">
        <v>8.143333333333333E-2</v>
      </c>
      <c r="D312" s="190">
        <v>2.2856948183143655E-2</v>
      </c>
      <c r="E312" s="190">
        <v>3.562738677133988</v>
      </c>
      <c r="F312" s="190">
        <v>5.641179892745472E-4</v>
      </c>
      <c r="G312" s="193" t="s">
        <v>351</v>
      </c>
    </row>
    <row r="313" spans="2:7" x14ac:dyDescent="0.5">
      <c r="B313" s="160" t="s">
        <v>675</v>
      </c>
      <c r="C313" s="190">
        <v>5.1766666666666655E-2</v>
      </c>
      <c r="D313" s="190">
        <v>2.2856948183143655E-2</v>
      </c>
      <c r="E313" s="190">
        <v>2.2648109560331897</v>
      </c>
      <c r="F313" s="190">
        <v>2.568195782227805E-2</v>
      </c>
      <c r="G313" s="193" t="s">
        <v>351</v>
      </c>
    </row>
    <row r="314" spans="2:7" x14ac:dyDescent="0.5">
      <c r="B314" s="160" t="s">
        <v>676</v>
      </c>
      <c r="C314" s="190">
        <v>4.3833333333333321E-2</v>
      </c>
      <c r="D314" s="190">
        <v>2.2856948183143655E-2</v>
      </c>
      <c r="E314" s="190">
        <v>1.9177246665702794</v>
      </c>
      <c r="F314" s="190">
        <v>5.799908819604653E-2</v>
      </c>
      <c r="G314" s="193" t="s">
        <v>352</v>
      </c>
    </row>
    <row r="315" spans="2:7" x14ac:dyDescent="0.5">
      <c r="B315" s="160" t="s">
        <v>677</v>
      </c>
      <c r="C315" s="190">
        <v>7.43333333333333E-3</v>
      </c>
      <c r="D315" s="190">
        <v>2.2856948183143655E-2</v>
      </c>
      <c r="E315" s="190">
        <v>0.32521110315222224</v>
      </c>
      <c r="F315" s="190">
        <v>0.74570073618068489</v>
      </c>
      <c r="G315" s="213" t="s">
        <v>352</v>
      </c>
    </row>
    <row r="316" spans="2:7" x14ac:dyDescent="0.5">
      <c r="B316" s="160" t="s">
        <v>678</v>
      </c>
      <c r="C316" s="190">
        <v>5.1333333333333266E-3</v>
      </c>
      <c r="D316" s="190">
        <v>2.2856948183143655E-2</v>
      </c>
      <c r="E316" s="190">
        <v>0.22458524612305911</v>
      </c>
      <c r="F316" s="190">
        <v>0.8227602007204452</v>
      </c>
      <c r="G316" s="193" t="s">
        <v>352</v>
      </c>
    </row>
    <row r="317" spans="2:7" x14ac:dyDescent="0.5">
      <c r="B317" s="160" t="s">
        <v>679</v>
      </c>
      <c r="C317" s="190">
        <v>7.6300000000000007E-2</v>
      </c>
      <c r="D317" s="190">
        <v>2.2856948183143655E-2</v>
      </c>
      <c r="E317" s="190">
        <v>3.3381534310109289</v>
      </c>
      <c r="F317" s="190">
        <v>1.185529469782146E-3</v>
      </c>
      <c r="G317" s="193" t="s">
        <v>351</v>
      </c>
    </row>
    <row r="318" spans="2:7" x14ac:dyDescent="0.5">
      <c r="B318" s="160" t="s">
        <v>680</v>
      </c>
      <c r="C318" s="190">
        <v>4.6633333333333332E-2</v>
      </c>
      <c r="D318" s="190">
        <v>2.2856948183143655E-2</v>
      </c>
      <c r="E318" s="190">
        <v>2.0402257099101306</v>
      </c>
      <c r="F318" s="190">
        <v>4.396386873168099E-2</v>
      </c>
      <c r="G318" s="193" t="s">
        <v>351</v>
      </c>
    </row>
    <row r="319" spans="2:7" x14ac:dyDescent="0.5">
      <c r="B319" s="160" t="s">
        <v>681</v>
      </c>
      <c r="C319" s="190">
        <v>3.8699999999999998E-2</v>
      </c>
      <c r="D319" s="190">
        <v>2.2856948183143655E-2</v>
      </c>
      <c r="E319" s="190">
        <v>1.6931394204472205</v>
      </c>
      <c r="F319" s="190">
        <v>9.3542060177733227E-2</v>
      </c>
      <c r="G319" s="193" t="s">
        <v>352</v>
      </c>
    </row>
    <row r="320" spans="2:7" x14ac:dyDescent="0.5">
      <c r="B320" s="160" t="s">
        <v>682</v>
      </c>
      <c r="C320" s="190">
        <v>2.3000000000000034E-3</v>
      </c>
      <c r="D320" s="190">
        <v>2.2856948183143655E-2</v>
      </c>
      <c r="E320" s="190">
        <v>0.10062585702916313</v>
      </c>
      <c r="F320" s="190">
        <v>0.92004894096788314</v>
      </c>
      <c r="G320" s="193" t="s">
        <v>352</v>
      </c>
    </row>
    <row r="321" spans="2:10" x14ac:dyDescent="0.5">
      <c r="B321" s="160" t="s">
        <v>683</v>
      </c>
      <c r="C321" s="190">
        <v>7.400000000000001E-2</v>
      </c>
      <c r="D321" s="190">
        <v>2.2856948183143655E-2</v>
      </c>
      <c r="E321" s="190">
        <v>3.2375275739817662</v>
      </c>
      <c r="F321" s="190">
        <v>1.6361976253121285E-3</v>
      </c>
      <c r="G321" s="193" t="s">
        <v>351</v>
      </c>
    </row>
    <row r="322" spans="2:10" x14ac:dyDescent="0.5">
      <c r="B322" s="160" t="s">
        <v>684</v>
      </c>
      <c r="C322" s="190">
        <v>4.4333333333333329E-2</v>
      </c>
      <c r="D322" s="190">
        <v>2.2856948183143655E-2</v>
      </c>
      <c r="E322" s="190">
        <v>1.9395998528809675</v>
      </c>
      <c r="F322" s="190">
        <v>5.5245953011494438E-2</v>
      </c>
      <c r="G322" s="193" t="s">
        <v>352</v>
      </c>
    </row>
    <row r="323" spans="2:10" x14ac:dyDescent="0.5">
      <c r="B323" s="160" t="s">
        <v>685</v>
      </c>
      <c r="C323" s="190">
        <v>3.6399999999999995E-2</v>
      </c>
      <c r="D323" s="190">
        <v>2.2856948183143655E-2</v>
      </c>
      <c r="E323" s="190">
        <v>1.5925135634180574</v>
      </c>
      <c r="F323" s="190">
        <v>0.11442555941592929</v>
      </c>
      <c r="G323" s="199" t="s">
        <v>352</v>
      </c>
    </row>
    <row r="324" spans="2:10" x14ac:dyDescent="0.5">
      <c r="B324" s="160" t="s">
        <v>686</v>
      </c>
      <c r="C324" s="190">
        <v>3.7600000000000008E-2</v>
      </c>
      <c r="D324" s="190">
        <v>2.2856948183143655E-2</v>
      </c>
      <c r="E324" s="190">
        <v>1.6450140105637083</v>
      </c>
      <c r="F324" s="190">
        <v>0.10310686975876059</v>
      </c>
      <c r="G324" s="193" t="s">
        <v>352</v>
      </c>
    </row>
    <row r="325" spans="2:10" x14ac:dyDescent="0.5">
      <c r="B325" s="160" t="s">
        <v>687</v>
      </c>
      <c r="C325" s="190">
        <v>7.9333333333333339E-3</v>
      </c>
      <c r="D325" s="190">
        <v>2.2856948183143655E-2</v>
      </c>
      <c r="E325" s="190">
        <v>0.34708628946291004</v>
      </c>
      <c r="F325" s="190">
        <v>0.72925587358629218</v>
      </c>
      <c r="G325" s="213" t="s">
        <v>352</v>
      </c>
    </row>
    <row r="326" spans="2:10" ht="14.7" thickBot="1" x14ac:dyDescent="0.55000000000000004">
      <c r="B326" s="167" t="s">
        <v>688</v>
      </c>
      <c r="C326" s="191">
        <v>2.9666666666666675E-2</v>
      </c>
      <c r="D326" s="191">
        <v>2.2856948183143655E-2</v>
      </c>
      <c r="E326" s="191">
        <v>1.2979277211007982</v>
      </c>
      <c r="F326" s="191">
        <v>0.19729795045519186</v>
      </c>
      <c r="G326" s="200" t="s">
        <v>352</v>
      </c>
    </row>
    <row r="327" spans="2:10" x14ac:dyDescent="0.5">
      <c r="B327" s="194" t="s">
        <v>353</v>
      </c>
      <c r="E327" s="195">
        <v>5.1489889870125749</v>
      </c>
    </row>
    <row r="329" spans="2:10" ht="14.7" thickBot="1" x14ac:dyDescent="0.55000000000000004"/>
    <row r="330" spans="2:10" x14ac:dyDescent="0.5">
      <c r="B330" s="161" t="s">
        <v>354</v>
      </c>
      <c r="C330" s="162" t="s">
        <v>355</v>
      </c>
      <c r="D330" s="315" t="s">
        <v>360</v>
      </c>
      <c r="E330" s="316"/>
      <c r="F330" s="316"/>
      <c r="G330" s="316"/>
      <c r="H330" s="316"/>
      <c r="I330" s="316"/>
      <c r="J330" s="316"/>
    </row>
    <row r="331" spans="2:10" x14ac:dyDescent="0.5">
      <c r="B331" s="163" t="s">
        <v>497</v>
      </c>
      <c r="C331" s="168">
        <v>0.12084999999999999</v>
      </c>
      <c r="D331" s="196" t="s">
        <v>356</v>
      </c>
      <c r="E331" s="196"/>
      <c r="F331" s="196"/>
      <c r="G331" s="196"/>
      <c r="H331" s="196"/>
      <c r="I331" s="196"/>
      <c r="J331" s="196"/>
    </row>
    <row r="332" spans="2:10" x14ac:dyDescent="0.5">
      <c r="B332" s="160" t="s">
        <v>492</v>
      </c>
      <c r="C332" s="169">
        <v>9.7599999999999992E-2</v>
      </c>
      <c r="D332" s="197" t="s">
        <v>356</v>
      </c>
      <c r="E332" s="197"/>
      <c r="F332" s="197"/>
      <c r="G332" s="197"/>
      <c r="H332" s="197"/>
      <c r="I332" s="197"/>
      <c r="J332" s="197"/>
    </row>
    <row r="333" spans="2:10" x14ac:dyDescent="0.5">
      <c r="B333" s="160" t="s">
        <v>485</v>
      </c>
      <c r="C333" s="169">
        <v>2.5250000000000002E-2</v>
      </c>
      <c r="D333" s="197"/>
      <c r="E333" s="197" t="s">
        <v>357</v>
      </c>
      <c r="F333" s="197"/>
      <c r="G333" s="197"/>
      <c r="H333" s="197"/>
      <c r="I333" s="197"/>
      <c r="J333" s="197"/>
    </row>
    <row r="334" spans="2:10" x14ac:dyDescent="0.5">
      <c r="B334" s="160" t="s">
        <v>496</v>
      </c>
      <c r="C334" s="169">
        <v>2.4683333333333342E-2</v>
      </c>
      <c r="D334" s="197"/>
      <c r="E334" s="197" t="s">
        <v>357</v>
      </c>
      <c r="F334" s="197"/>
      <c r="G334" s="197"/>
      <c r="H334" s="197"/>
      <c r="I334" s="197"/>
      <c r="J334" s="197"/>
    </row>
    <row r="335" spans="2:10" x14ac:dyDescent="0.5">
      <c r="B335" s="160" t="s">
        <v>495</v>
      </c>
      <c r="C335" s="169">
        <v>2.3533333333333337E-2</v>
      </c>
      <c r="D335" s="197"/>
      <c r="E335" s="197" t="s">
        <v>357</v>
      </c>
      <c r="F335" s="197"/>
      <c r="G335" s="197"/>
      <c r="H335" s="197"/>
      <c r="I335" s="197"/>
      <c r="J335" s="197"/>
    </row>
    <row r="336" spans="2:10" x14ac:dyDescent="0.5">
      <c r="B336" s="160" t="s">
        <v>494</v>
      </c>
      <c r="C336" s="169">
        <v>1.2699999999999996E-2</v>
      </c>
      <c r="D336" s="197"/>
      <c r="E336" s="197" t="s">
        <v>357</v>
      </c>
      <c r="F336" s="197"/>
      <c r="G336" s="197"/>
      <c r="H336" s="197"/>
      <c r="I336" s="197"/>
      <c r="J336" s="197"/>
    </row>
    <row r="337" spans="2:10" x14ac:dyDescent="0.5">
      <c r="B337" s="160" t="s">
        <v>493</v>
      </c>
      <c r="C337" s="169">
        <v>6.8833333333333351E-3</v>
      </c>
      <c r="D337" s="197"/>
      <c r="E337" s="197" t="s">
        <v>357</v>
      </c>
      <c r="F337" s="197"/>
      <c r="G337" s="197"/>
      <c r="H337" s="197"/>
      <c r="I337" s="197"/>
      <c r="J337" s="197"/>
    </row>
    <row r="338" spans="2:10" x14ac:dyDescent="0.5">
      <c r="B338" s="160" t="s">
        <v>483</v>
      </c>
      <c r="C338" s="169">
        <v>5.6333333333333339E-3</v>
      </c>
      <c r="D338" s="197"/>
      <c r="E338" s="197" t="s">
        <v>357</v>
      </c>
      <c r="F338" s="197"/>
      <c r="G338" s="197"/>
      <c r="H338" s="197"/>
      <c r="I338" s="197"/>
      <c r="J338" s="197"/>
    </row>
    <row r="339" spans="2:10" x14ac:dyDescent="0.5">
      <c r="B339" s="160" t="s">
        <v>489</v>
      </c>
      <c r="C339" s="169">
        <v>3.6833333333333267E-3</v>
      </c>
      <c r="D339" s="197"/>
      <c r="E339" s="197" t="s">
        <v>357</v>
      </c>
      <c r="F339" s="197"/>
      <c r="G339" s="197"/>
      <c r="H339" s="197"/>
      <c r="I339" s="197"/>
      <c r="J339" s="197"/>
    </row>
    <row r="340" spans="2:10" x14ac:dyDescent="0.5">
      <c r="B340" s="160" t="s">
        <v>491</v>
      </c>
      <c r="C340" s="169">
        <v>-3.3833333333333406E-3</v>
      </c>
      <c r="D340" s="197"/>
      <c r="E340" s="197" t="s">
        <v>357</v>
      </c>
      <c r="F340" s="197" t="s">
        <v>358</v>
      </c>
      <c r="G340" s="197"/>
      <c r="H340" s="197"/>
      <c r="I340" s="197"/>
      <c r="J340" s="197"/>
    </row>
    <row r="341" spans="2:10" x14ac:dyDescent="0.5">
      <c r="B341" s="160" t="s">
        <v>490</v>
      </c>
      <c r="C341" s="169">
        <v>-1.3300000000000006E-2</v>
      </c>
      <c r="D341" s="197"/>
      <c r="E341" s="197" t="s">
        <v>357</v>
      </c>
      <c r="F341" s="197" t="s">
        <v>358</v>
      </c>
      <c r="G341" s="197" t="s">
        <v>2</v>
      </c>
      <c r="H341" s="197"/>
      <c r="I341" s="197"/>
      <c r="J341" s="197"/>
    </row>
    <row r="342" spans="2:10" x14ac:dyDescent="0.5">
      <c r="B342" s="160" t="s">
        <v>488</v>
      </c>
      <c r="C342" s="169">
        <v>-1.8233333333333341E-2</v>
      </c>
      <c r="D342" s="197"/>
      <c r="E342" s="197" t="s">
        <v>357</v>
      </c>
      <c r="F342" s="197" t="s">
        <v>358</v>
      </c>
      <c r="G342" s="197" t="s">
        <v>2</v>
      </c>
      <c r="H342" s="197"/>
      <c r="I342" s="197"/>
      <c r="J342" s="197"/>
    </row>
    <row r="343" spans="2:10" x14ac:dyDescent="0.5">
      <c r="B343" s="160" t="s">
        <v>478</v>
      </c>
      <c r="C343" s="169">
        <v>-1.8566666666666752E-2</v>
      </c>
      <c r="D343" s="197"/>
      <c r="E343" s="197" t="s">
        <v>357</v>
      </c>
      <c r="F343" s="197" t="s">
        <v>358</v>
      </c>
      <c r="G343" s="197" t="s">
        <v>2</v>
      </c>
      <c r="H343" s="197"/>
      <c r="I343" s="197"/>
      <c r="J343" s="197"/>
    </row>
    <row r="344" spans="2:10" x14ac:dyDescent="0.5">
      <c r="B344" s="160" t="s">
        <v>481</v>
      </c>
      <c r="C344" s="169">
        <v>-4.4333333333333336E-2</v>
      </c>
      <c r="D344" s="197"/>
      <c r="E344" s="197"/>
      <c r="F344" s="197" t="s">
        <v>358</v>
      </c>
      <c r="G344" s="197" t="s">
        <v>2</v>
      </c>
      <c r="H344" s="197"/>
      <c r="I344" s="197"/>
      <c r="J344" s="197"/>
    </row>
    <row r="345" spans="2:10" x14ac:dyDescent="0.5">
      <c r="B345" s="160" t="s">
        <v>480</v>
      </c>
      <c r="C345" s="169">
        <v>-4.7983333333333336E-2</v>
      </c>
      <c r="D345" s="197"/>
      <c r="E345" s="197"/>
      <c r="F345" s="197" t="s">
        <v>358</v>
      </c>
      <c r="G345" s="197" t="s">
        <v>2</v>
      </c>
      <c r="H345" s="197" t="s">
        <v>359</v>
      </c>
      <c r="I345" s="197"/>
      <c r="J345" s="197"/>
    </row>
    <row r="346" spans="2:10" x14ac:dyDescent="0.5">
      <c r="B346" s="160" t="s">
        <v>486</v>
      </c>
      <c r="C346" s="169">
        <v>-5.3116666666666666E-2</v>
      </c>
      <c r="D346" s="197"/>
      <c r="E346" s="197"/>
      <c r="F346" s="197"/>
      <c r="G346" s="197" t="s">
        <v>2</v>
      </c>
      <c r="H346" s="197" t="s">
        <v>359</v>
      </c>
      <c r="I346" s="197"/>
      <c r="J346" s="197"/>
    </row>
    <row r="347" spans="2:10" x14ac:dyDescent="0.5">
      <c r="B347" s="160" t="s">
        <v>479</v>
      </c>
      <c r="C347" s="169">
        <v>-5.541666666666667E-2</v>
      </c>
      <c r="D347" s="197"/>
      <c r="E347" s="197"/>
      <c r="F347" s="197"/>
      <c r="G347" s="197" t="s">
        <v>2</v>
      </c>
      <c r="H347" s="197" t="s">
        <v>359</v>
      </c>
      <c r="I347" s="197" t="s">
        <v>62</v>
      </c>
      <c r="J347" s="197"/>
    </row>
    <row r="348" spans="2:10" x14ac:dyDescent="0.5">
      <c r="B348" s="160" t="s">
        <v>484</v>
      </c>
      <c r="C348" s="169">
        <v>-9.1816666666666658E-2</v>
      </c>
      <c r="D348" s="197"/>
      <c r="E348" s="197"/>
      <c r="F348" s="197"/>
      <c r="G348" s="197"/>
      <c r="H348" s="197" t="s">
        <v>359</v>
      </c>
      <c r="I348" s="197" t="s">
        <v>62</v>
      </c>
      <c r="J348" s="197" t="s">
        <v>689</v>
      </c>
    </row>
    <row r="349" spans="2:10" x14ac:dyDescent="0.5">
      <c r="B349" s="160" t="s">
        <v>487</v>
      </c>
      <c r="C349" s="169">
        <v>-9.9750000000000005E-2</v>
      </c>
      <c r="D349" s="197"/>
      <c r="E349" s="197"/>
      <c r="F349" s="197"/>
      <c r="G349" s="197"/>
      <c r="H349" s="197"/>
      <c r="I349" s="197" t="s">
        <v>62</v>
      </c>
      <c r="J349" s="197" t="s">
        <v>689</v>
      </c>
    </row>
    <row r="350" spans="2:10" ht="14.7" thickBot="1" x14ac:dyDescent="0.55000000000000004">
      <c r="B350" s="167" t="s">
        <v>482</v>
      </c>
      <c r="C350" s="170">
        <v>-0.12941666666666668</v>
      </c>
      <c r="D350" s="198"/>
      <c r="E350" s="198"/>
      <c r="F350" s="198"/>
      <c r="G350" s="198"/>
      <c r="H350" s="198"/>
      <c r="I350" s="198"/>
      <c r="J350" s="198" t="s">
        <v>689</v>
      </c>
    </row>
  </sheetData>
  <mergeCells count="1">
    <mergeCell ref="D330:J330"/>
  </mergeCells>
  <pageMargins left="0.7" right="0.7" top="0.75" bottom="0.75" header="0.3" footer="0.3"/>
  <ignoredErrors>
    <ignoredError sqref="A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EEAC97-654C-4993-BBFD-5D3A71FF4E61}">
  <dimension ref="B1:V181"/>
  <sheetViews>
    <sheetView topLeftCell="A136" zoomScaleNormal="100" workbookViewId="0">
      <selection activeCell="G166" sqref="G166"/>
    </sheetView>
  </sheetViews>
  <sheetFormatPr defaultRowHeight="14.35" x14ac:dyDescent="0.5"/>
  <cols>
    <col min="1" max="1" width="4.76171875" customWidth="1"/>
    <col min="2" max="2" width="46.5859375" customWidth="1"/>
  </cols>
  <sheetData>
    <row r="1" spans="2:9" x14ac:dyDescent="0.5">
      <c r="B1" t="s">
        <v>434</v>
      </c>
    </row>
    <row r="2" spans="2:9" x14ac:dyDescent="0.5">
      <c r="B2" t="s">
        <v>435</v>
      </c>
    </row>
    <row r="3" spans="2:9" x14ac:dyDescent="0.5">
      <c r="B3" t="s">
        <v>436</v>
      </c>
    </row>
    <row r="4" spans="2:9" x14ac:dyDescent="0.5">
      <c r="B4" t="s">
        <v>213</v>
      </c>
    </row>
    <row r="5" spans="2:9" x14ac:dyDescent="0.5">
      <c r="B5" t="s">
        <v>214</v>
      </c>
    </row>
    <row r="6" spans="2:9" x14ac:dyDescent="0.5">
      <c r="B6" t="s">
        <v>215</v>
      </c>
    </row>
    <row r="7" spans="2:9" x14ac:dyDescent="0.5">
      <c r="B7" t="s">
        <v>216</v>
      </c>
    </row>
    <row r="8" spans="2:9" x14ac:dyDescent="0.5">
      <c r="B8" t="s">
        <v>217</v>
      </c>
    </row>
    <row r="9" spans="2:9" x14ac:dyDescent="0.5">
      <c r="B9" t="s">
        <v>218</v>
      </c>
    </row>
    <row r="13" spans="2:9" x14ac:dyDescent="0.5">
      <c r="B13" t="s">
        <v>219</v>
      </c>
    </row>
    <row r="14" spans="2:9" ht="14.7" thickBot="1" x14ac:dyDescent="0.55000000000000004"/>
    <row r="15" spans="2:9" x14ac:dyDescent="0.5">
      <c r="B15" s="161" t="s">
        <v>220</v>
      </c>
      <c r="C15" s="162" t="s">
        <v>221</v>
      </c>
      <c r="D15" s="162" t="s">
        <v>222</v>
      </c>
      <c r="E15" s="162" t="s">
        <v>223</v>
      </c>
      <c r="F15" s="162" t="s">
        <v>224</v>
      </c>
      <c r="G15" s="162" t="s">
        <v>225</v>
      </c>
      <c r="H15" s="162" t="s">
        <v>77</v>
      </c>
      <c r="I15" s="162" t="s">
        <v>226</v>
      </c>
    </row>
    <row r="16" spans="2:9" ht="14.7" thickBot="1" x14ac:dyDescent="0.55000000000000004">
      <c r="B16" s="164" t="s">
        <v>433</v>
      </c>
      <c r="C16" s="165">
        <v>60</v>
      </c>
      <c r="D16" s="165">
        <v>0</v>
      </c>
      <c r="E16" s="165">
        <v>60</v>
      </c>
      <c r="F16" s="166">
        <v>2.2204412264779441E-2</v>
      </c>
      <c r="G16" s="166">
        <v>0.84265437480837901</v>
      </c>
      <c r="H16" s="166">
        <v>0.35267559323928299</v>
      </c>
      <c r="I16" s="166">
        <v>0.18550615463092407</v>
      </c>
    </row>
    <row r="18" spans="2:5" ht="14.7" thickBot="1" x14ac:dyDescent="0.55000000000000004"/>
    <row r="19" spans="2:5" x14ac:dyDescent="0.5">
      <c r="B19" s="162" t="s">
        <v>220</v>
      </c>
      <c r="C19" s="162" t="s">
        <v>227</v>
      </c>
      <c r="D19" s="162" t="s">
        <v>228</v>
      </c>
      <c r="E19" s="162" t="s">
        <v>229</v>
      </c>
    </row>
    <row r="20" spans="2:5" x14ac:dyDescent="0.5">
      <c r="B20" s="163" t="s">
        <v>5</v>
      </c>
      <c r="C20" s="163" t="s">
        <v>93</v>
      </c>
      <c r="D20" s="163">
        <v>5</v>
      </c>
      <c r="E20" s="168">
        <v>8.3333333333333339</v>
      </c>
    </row>
    <row r="21" spans="2:5" x14ac:dyDescent="0.5">
      <c r="B21" s="160"/>
      <c r="C21" s="160" t="s">
        <v>92</v>
      </c>
      <c r="D21" s="160">
        <v>5</v>
      </c>
      <c r="E21" s="169">
        <v>8.3333333333333339</v>
      </c>
    </row>
    <row r="22" spans="2:5" x14ac:dyDescent="0.5">
      <c r="B22" s="160"/>
      <c r="C22" s="160">
        <v>3729060</v>
      </c>
      <c r="D22" s="160">
        <v>5</v>
      </c>
      <c r="E22" s="169">
        <v>8.3333333333333339</v>
      </c>
    </row>
    <row r="23" spans="2:5" x14ac:dyDescent="0.5">
      <c r="B23" s="160"/>
      <c r="C23" s="160">
        <v>3729172</v>
      </c>
      <c r="D23" s="160">
        <v>5</v>
      </c>
      <c r="E23" s="169">
        <v>8.3333333333333339</v>
      </c>
    </row>
    <row r="24" spans="2:5" x14ac:dyDescent="0.5">
      <c r="B24" s="160"/>
      <c r="C24" s="160" t="s">
        <v>95</v>
      </c>
      <c r="D24" s="160">
        <v>5</v>
      </c>
      <c r="E24" s="169">
        <v>8.3333333333333339</v>
      </c>
    </row>
    <row r="25" spans="2:5" x14ac:dyDescent="0.5">
      <c r="B25" s="160"/>
      <c r="C25" s="160" t="s">
        <v>96</v>
      </c>
      <c r="D25" s="160">
        <v>5</v>
      </c>
      <c r="E25" s="169">
        <v>8.3333333333333339</v>
      </c>
    </row>
    <row r="26" spans="2:5" x14ac:dyDescent="0.5">
      <c r="B26" s="160"/>
      <c r="C26" s="160" t="s">
        <v>100</v>
      </c>
      <c r="D26" s="160">
        <v>5</v>
      </c>
      <c r="E26" s="169">
        <v>8.3333333333333339</v>
      </c>
    </row>
    <row r="27" spans="2:5" x14ac:dyDescent="0.5">
      <c r="B27" s="160"/>
      <c r="C27" s="160" t="s">
        <v>188</v>
      </c>
      <c r="D27" s="160">
        <v>5</v>
      </c>
      <c r="E27" s="169">
        <v>8.3333333333333339</v>
      </c>
    </row>
    <row r="28" spans="2:5" x14ac:dyDescent="0.5">
      <c r="B28" s="160"/>
      <c r="C28" s="160" t="s">
        <v>97</v>
      </c>
      <c r="D28" s="160">
        <v>5</v>
      </c>
      <c r="E28" s="169">
        <v>8.3333333333333339</v>
      </c>
    </row>
    <row r="29" spans="2:5" x14ac:dyDescent="0.5">
      <c r="B29" s="160"/>
      <c r="C29" s="160" t="s">
        <v>98</v>
      </c>
      <c r="D29" s="160">
        <v>5</v>
      </c>
      <c r="E29" s="169">
        <v>8.3333333333333339</v>
      </c>
    </row>
    <row r="30" spans="2:5" x14ac:dyDescent="0.5">
      <c r="B30" s="160"/>
      <c r="C30" s="160" t="s">
        <v>82</v>
      </c>
      <c r="D30" s="160">
        <v>5</v>
      </c>
      <c r="E30" s="169">
        <v>8.3333333333333339</v>
      </c>
    </row>
    <row r="31" spans="2:5" x14ac:dyDescent="0.5">
      <c r="B31" s="160"/>
      <c r="C31" s="160" t="s">
        <v>83</v>
      </c>
      <c r="D31" s="160">
        <v>5</v>
      </c>
      <c r="E31" s="169">
        <v>8.3333333333333339</v>
      </c>
    </row>
    <row r="32" spans="2:5" x14ac:dyDescent="0.5">
      <c r="B32" s="163" t="s">
        <v>367</v>
      </c>
      <c r="C32" s="163" t="s">
        <v>8</v>
      </c>
      <c r="D32" s="163">
        <v>30</v>
      </c>
      <c r="E32" s="168">
        <v>50</v>
      </c>
    </row>
    <row r="33" spans="2:22" x14ac:dyDescent="0.5">
      <c r="B33" s="160"/>
      <c r="C33" s="160" t="s">
        <v>7</v>
      </c>
      <c r="D33" s="160">
        <v>30</v>
      </c>
      <c r="E33" s="169">
        <v>50</v>
      </c>
    </row>
    <row r="34" spans="2:22" x14ac:dyDescent="0.5">
      <c r="B34" s="163" t="s">
        <v>366</v>
      </c>
      <c r="C34" s="163" t="s">
        <v>368</v>
      </c>
      <c r="D34" s="163">
        <v>12</v>
      </c>
      <c r="E34" s="168">
        <v>20</v>
      </c>
    </row>
    <row r="35" spans="2:22" x14ac:dyDescent="0.5">
      <c r="B35" s="160"/>
      <c r="C35" s="160" t="s">
        <v>371</v>
      </c>
      <c r="D35" s="160">
        <v>12</v>
      </c>
      <c r="E35" s="169">
        <v>20</v>
      </c>
    </row>
    <row r="36" spans="2:22" x14ac:dyDescent="0.5">
      <c r="B36" s="160"/>
      <c r="C36" s="160" t="s">
        <v>369</v>
      </c>
      <c r="D36" s="160">
        <v>12</v>
      </c>
      <c r="E36" s="169">
        <v>20</v>
      </c>
    </row>
    <row r="37" spans="2:22" x14ac:dyDescent="0.5">
      <c r="B37" s="160"/>
      <c r="C37" s="160" t="s">
        <v>370</v>
      </c>
      <c r="D37" s="160">
        <v>12</v>
      </c>
      <c r="E37" s="169">
        <v>20</v>
      </c>
    </row>
    <row r="38" spans="2:22" ht="14.7" thickBot="1" x14ac:dyDescent="0.55000000000000004">
      <c r="B38" s="167"/>
      <c r="C38" s="167" t="s">
        <v>432</v>
      </c>
      <c r="D38" s="167">
        <v>12</v>
      </c>
      <c r="E38" s="170">
        <v>20</v>
      </c>
    </row>
    <row r="41" spans="2:22" x14ac:dyDescent="0.5">
      <c r="B41" t="s">
        <v>230</v>
      </c>
    </row>
    <row r="42" spans="2:22" ht="14.7" thickBot="1" x14ac:dyDescent="0.55000000000000004"/>
    <row r="43" spans="2:22" x14ac:dyDescent="0.5">
      <c r="B43" s="161" t="s">
        <v>231</v>
      </c>
      <c r="C43" s="172" t="s">
        <v>375</v>
      </c>
      <c r="D43" s="172" t="s">
        <v>376</v>
      </c>
      <c r="E43" s="172" t="s">
        <v>377</v>
      </c>
      <c r="F43" s="172" t="s">
        <v>378</v>
      </c>
      <c r="G43" s="172" t="s">
        <v>379</v>
      </c>
      <c r="H43" s="172" t="s">
        <v>380</v>
      </c>
      <c r="I43" s="172" t="s">
        <v>381</v>
      </c>
      <c r="J43" s="172" t="s">
        <v>382</v>
      </c>
      <c r="K43" s="172" t="s">
        <v>383</v>
      </c>
      <c r="L43" s="172" t="s">
        <v>384</v>
      </c>
      <c r="M43" s="172" t="s">
        <v>385</v>
      </c>
      <c r="N43" s="172" t="s">
        <v>386</v>
      </c>
      <c r="O43" s="172" t="s">
        <v>387</v>
      </c>
      <c r="P43" s="172" t="s">
        <v>388</v>
      </c>
      <c r="Q43" s="172" t="s">
        <v>389</v>
      </c>
      <c r="R43" s="172" t="s">
        <v>392</v>
      </c>
      <c r="S43" s="172" t="s">
        <v>390</v>
      </c>
      <c r="T43" s="172" t="s">
        <v>391</v>
      </c>
      <c r="U43" s="172" t="s">
        <v>437</v>
      </c>
      <c r="V43" s="173" t="s">
        <v>433</v>
      </c>
    </row>
    <row r="44" spans="2:22" x14ac:dyDescent="0.5">
      <c r="B44" s="174" t="s">
        <v>375</v>
      </c>
      <c r="C44" s="181">
        <v>1</v>
      </c>
      <c r="D44" s="176">
        <v>-9.0909090909090898E-2</v>
      </c>
      <c r="E44" s="176">
        <v>-9.0909090909090925E-2</v>
      </c>
      <c r="F44" s="176">
        <v>-9.0909090909090912E-2</v>
      </c>
      <c r="G44" s="176">
        <v>-9.0909090909090912E-2</v>
      </c>
      <c r="H44" s="176">
        <v>-9.0909090909090925E-2</v>
      </c>
      <c r="I44" s="176">
        <v>-9.0909090909090912E-2</v>
      </c>
      <c r="J44" s="176">
        <v>-9.0909090909090925E-2</v>
      </c>
      <c r="K44" s="176">
        <v>-9.0909090909090912E-2</v>
      </c>
      <c r="L44" s="176">
        <v>-9.0909090909090912E-2</v>
      </c>
      <c r="M44" s="176">
        <v>-9.0909090909090912E-2</v>
      </c>
      <c r="N44" s="176">
        <v>-9.0909090909090912E-2</v>
      </c>
      <c r="O44" s="176">
        <v>-0.30151134457776363</v>
      </c>
      <c r="P44" s="176">
        <v>0.30151134457776363</v>
      </c>
      <c r="Q44" s="176">
        <v>6.286681294261679E-18</v>
      </c>
      <c r="R44" s="176">
        <v>-8.4053970895653396E-18</v>
      </c>
      <c r="S44" s="176">
        <v>-2.0821950191792117E-18</v>
      </c>
      <c r="T44" s="176">
        <v>1.0470480975875054E-17</v>
      </c>
      <c r="U44" s="176">
        <v>-6.2662500908354143E-18</v>
      </c>
      <c r="V44" s="177">
        <v>0.12298629767100068</v>
      </c>
    </row>
    <row r="45" spans="2:22" x14ac:dyDescent="0.5">
      <c r="B45" s="171" t="s">
        <v>376</v>
      </c>
      <c r="C45" s="178">
        <v>-9.0909090909090898E-2</v>
      </c>
      <c r="D45" s="182">
        <v>1</v>
      </c>
      <c r="E45" s="178">
        <v>-9.0909090909090912E-2</v>
      </c>
      <c r="F45" s="178">
        <v>-9.0909090909090912E-2</v>
      </c>
      <c r="G45" s="178">
        <v>-9.0909090909090939E-2</v>
      </c>
      <c r="H45" s="178">
        <v>-9.0909090909090939E-2</v>
      </c>
      <c r="I45" s="178">
        <v>-9.0909090909090939E-2</v>
      </c>
      <c r="J45" s="178">
        <v>-9.0909090909090925E-2</v>
      </c>
      <c r="K45" s="178">
        <v>-9.0909090909090925E-2</v>
      </c>
      <c r="L45" s="178">
        <v>-9.0909090909090925E-2</v>
      </c>
      <c r="M45" s="178">
        <v>-9.0909090909090898E-2</v>
      </c>
      <c r="N45" s="178">
        <v>-9.0909090909090898E-2</v>
      </c>
      <c r="O45" s="178">
        <v>-0.30151134457776363</v>
      </c>
      <c r="P45" s="178">
        <v>0.30151134457776363</v>
      </c>
      <c r="Q45" s="178">
        <v>6.2866812942616797E-18</v>
      </c>
      <c r="R45" s="178">
        <v>-8.4053970895653396E-18</v>
      </c>
      <c r="S45" s="178">
        <v>2.1021154425198199E-18</v>
      </c>
      <c r="T45" s="178">
        <v>8.3783257450255391E-18</v>
      </c>
      <c r="U45" s="178">
        <v>-6.2662500908354151E-18</v>
      </c>
      <c r="V45" s="179">
        <v>0.12017388976610439</v>
      </c>
    </row>
    <row r="46" spans="2:22" x14ac:dyDescent="0.5">
      <c r="B46" s="171" t="s">
        <v>377</v>
      </c>
      <c r="C46" s="178">
        <v>-9.0909090909090925E-2</v>
      </c>
      <c r="D46" s="178">
        <v>-9.0909090909090912E-2</v>
      </c>
      <c r="E46" s="182">
        <v>1</v>
      </c>
      <c r="F46" s="178">
        <v>-9.0909090909090884E-2</v>
      </c>
      <c r="G46" s="178">
        <v>-9.0909090909090925E-2</v>
      </c>
      <c r="H46" s="178">
        <v>-9.0909090909090953E-2</v>
      </c>
      <c r="I46" s="178">
        <v>-9.0909090909090939E-2</v>
      </c>
      <c r="J46" s="178">
        <v>-9.0909090909090953E-2</v>
      </c>
      <c r="K46" s="178">
        <v>-9.0909090909090939E-2</v>
      </c>
      <c r="L46" s="178">
        <v>-9.0909090909090939E-2</v>
      </c>
      <c r="M46" s="178">
        <v>-9.0909090909090912E-2</v>
      </c>
      <c r="N46" s="178">
        <v>-9.0909090909090898E-2</v>
      </c>
      <c r="O46" s="178">
        <v>-0.30151134457776368</v>
      </c>
      <c r="P46" s="178">
        <v>0.30151134457776368</v>
      </c>
      <c r="Q46" s="178">
        <v>-1.4634871014233478E-17</v>
      </c>
      <c r="R46" s="178">
        <v>-8.406418649736654E-18</v>
      </c>
      <c r="S46" s="178">
        <v>1.0470991755960711E-17</v>
      </c>
      <c r="T46" s="178">
        <v>1.0470480975875054E-17</v>
      </c>
      <c r="U46" s="178">
        <v>-1.4634871014233478E-17</v>
      </c>
      <c r="V46" s="179">
        <v>0.14249087873819913</v>
      </c>
    </row>
    <row r="47" spans="2:22" x14ac:dyDescent="0.5">
      <c r="B47" s="171" t="s">
        <v>378</v>
      </c>
      <c r="C47" s="178">
        <v>-9.0909090909090912E-2</v>
      </c>
      <c r="D47" s="178">
        <v>-9.0909090909090912E-2</v>
      </c>
      <c r="E47" s="178">
        <v>-9.0909090909090884E-2</v>
      </c>
      <c r="F47" s="182">
        <v>1</v>
      </c>
      <c r="G47" s="178">
        <v>-9.0909090909090925E-2</v>
      </c>
      <c r="H47" s="178">
        <v>-9.0909090909090953E-2</v>
      </c>
      <c r="I47" s="178">
        <v>-9.0909090909090939E-2</v>
      </c>
      <c r="J47" s="178">
        <v>-9.0909090909090939E-2</v>
      </c>
      <c r="K47" s="178">
        <v>-9.0909090909090925E-2</v>
      </c>
      <c r="L47" s="178">
        <v>-9.0909090909090939E-2</v>
      </c>
      <c r="M47" s="178">
        <v>-9.0909090909090884E-2</v>
      </c>
      <c r="N47" s="178">
        <v>-9.0909090909090884E-2</v>
      </c>
      <c r="O47" s="178">
        <v>-0.30151134457776368</v>
      </c>
      <c r="P47" s="178">
        <v>0.30151134457776368</v>
      </c>
      <c r="Q47" s="178">
        <v>-6.2662500908354151E-18</v>
      </c>
      <c r="R47" s="178">
        <v>-8.406418649736654E-18</v>
      </c>
      <c r="S47" s="178">
        <v>1.8839612679358775E-17</v>
      </c>
      <c r="T47" s="178">
        <v>1.0470480975875054E-17</v>
      </c>
      <c r="U47" s="178">
        <v>2.1023708325626481E-18</v>
      </c>
      <c r="V47" s="179">
        <v>4.1517620840899203E-2</v>
      </c>
    </row>
    <row r="48" spans="2:22" x14ac:dyDescent="0.5">
      <c r="B48" s="171" t="s">
        <v>379</v>
      </c>
      <c r="C48" s="178">
        <v>-9.0909090909090912E-2</v>
      </c>
      <c r="D48" s="178">
        <v>-9.0909090909090939E-2</v>
      </c>
      <c r="E48" s="178">
        <v>-9.0909090909090925E-2</v>
      </c>
      <c r="F48" s="178">
        <v>-9.0909090909090925E-2</v>
      </c>
      <c r="G48" s="182">
        <v>1</v>
      </c>
      <c r="H48" s="178">
        <v>-9.0909090909090953E-2</v>
      </c>
      <c r="I48" s="178">
        <v>-9.0909090909090939E-2</v>
      </c>
      <c r="J48" s="178">
        <v>-9.0909090909090939E-2</v>
      </c>
      <c r="K48" s="178">
        <v>-9.0909090909090925E-2</v>
      </c>
      <c r="L48" s="178">
        <v>-9.0909090909090939E-2</v>
      </c>
      <c r="M48" s="178">
        <v>-9.0909090909090912E-2</v>
      </c>
      <c r="N48" s="178">
        <v>-9.0909090909090912E-2</v>
      </c>
      <c r="O48" s="178">
        <v>0.30151134457776363</v>
      </c>
      <c r="P48" s="178">
        <v>-0.30151134457776363</v>
      </c>
      <c r="Q48" s="178">
        <v>8.3788365251111948E-18</v>
      </c>
      <c r="R48" s="178">
        <v>-8.406418649736654E-18</v>
      </c>
      <c r="S48" s="178">
        <v>1.0215601713132401E-20</v>
      </c>
      <c r="T48" s="178">
        <v>8.3783257450255391E-18</v>
      </c>
      <c r="U48" s="178">
        <v>-4.1740948599858985E-18</v>
      </c>
      <c r="V48" s="179">
        <v>-8.7514321516237212E-2</v>
      </c>
    </row>
    <row r="49" spans="2:22" x14ac:dyDescent="0.5">
      <c r="B49" s="171" t="s">
        <v>380</v>
      </c>
      <c r="C49" s="178">
        <v>-9.0909090909090925E-2</v>
      </c>
      <c r="D49" s="178">
        <v>-9.0909090909090939E-2</v>
      </c>
      <c r="E49" s="178">
        <v>-9.0909090909090953E-2</v>
      </c>
      <c r="F49" s="178">
        <v>-9.0909090909090953E-2</v>
      </c>
      <c r="G49" s="178">
        <v>-9.0909090909090953E-2</v>
      </c>
      <c r="H49" s="182">
        <v>1</v>
      </c>
      <c r="I49" s="178">
        <v>-9.0909090909090939E-2</v>
      </c>
      <c r="J49" s="178">
        <v>-9.0909090909090939E-2</v>
      </c>
      <c r="K49" s="178">
        <v>-9.0909090909090925E-2</v>
      </c>
      <c r="L49" s="178">
        <v>-9.0909090909090939E-2</v>
      </c>
      <c r="M49" s="178">
        <v>-9.0909090909090925E-2</v>
      </c>
      <c r="N49" s="178">
        <v>-9.0909090909090939E-2</v>
      </c>
      <c r="O49" s="178">
        <v>0.30151134457776363</v>
      </c>
      <c r="P49" s="178">
        <v>-0.30151134457776363</v>
      </c>
      <c r="Q49" s="178">
        <v>6.2866812942616797E-18</v>
      </c>
      <c r="R49" s="178">
        <v>-8.4053970895653396E-18</v>
      </c>
      <c r="S49" s="178">
        <v>-1.0450815942577274E-17</v>
      </c>
      <c r="T49" s="178">
        <v>6.2861705141760233E-18</v>
      </c>
      <c r="U49" s="178">
        <v>2.1023708325626481E-18</v>
      </c>
      <c r="V49" s="179">
        <v>-0.11862257159712465</v>
      </c>
    </row>
    <row r="50" spans="2:22" x14ac:dyDescent="0.5">
      <c r="B50" s="171" t="s">
        <v>381</v>
      </c>
      <c r="C50" s="178">
        <v>-9.0909090909090912E-2</v>
      </c>
      <c r="D50" s="178">
        <v>-9.0909090909090939E-2</v>
      </c>
      <c r="E50" s="178">
        <v>-9.0909090909090939E-2</v>
      </c>
      <c r="F50" s="178">
        <v>-9.0909090909090939E-2</v>
      </c>
      <c r="G50" s="178">
        <v>-9.0909090909090939E-2</v>
      </c>
      <c r="H50" s="178">
        <v>-9.0909090909090939E-2</v>
      </c>
      <c r="I50" s="182">
        <v>1</v>
      </c>
      <c r="J50" s="178">
        <v>-9.0909090909090939E-2</v>
      </c>
      <c r="K50" s="178">
        <v>-9.0909090909090925E-2</v>
      </c>
      <c r="L50" s="178">
        <v>-9.0909090909090939E-2</v>
      </c>
      <c r="M50" s="178">
        <v>-9.0909090909090912E-2</v>
      </c>
      <c r="N50" s="178">
        <v>-9.0909090909090925E-2</v>
      </c>
      <c r="O50" s="178">
        <v>0.30151134457776363</v>
      </c>
      <c r="P50" s="178">
        <v>-0.30151134457776363</v>
      </c>
      <c r="Q50" s="178">
        <v>2.1023708325626481E-18</v>
      </c>
      <c r="R50" s="178">
        <v>-8.4053970895653396E-18</v>
      </c>
      <c r="S50" s="178">
        <v>-2.0821950191792117E-18</v>
      </c>
      <c r="T50" s="178">
        <v>6.2861705141760233E-18</v>
      </c>
      <c r="U50" s="178">
        <v>2.1023708325626481E-18</v>
      </c>
      <c r="V50" s="179">
        <v>-9.264705923262373E-2</v>
      </c>
    </row>
    <row r="51" spans="2:22" x14ac:dyDescent="0.5">
      <c r="B51" s="171" t="s">
        <v>382</v>
      </c>
      <c r="C51" s="178">
        <v>-9.0909090909090925E-2</v>
      </c>
      <c r="D51" s="178">
        <v>-9.0909090909090925E-2</v>
      </c>
      <c r="E51" s="178">
        <v>-9.0909090909090953E-2</v>
      </c>
      <c r="F51" s="178">
        <v>-9.0909090909090939E-2</v>
      </c>
      <c r="G51" s="178">
        <v>-9.0909090909090939E-2</v>
      </c>
      <c r="H51" s="178">
        <v>-9.0909090909090939E-2</v>
      </c>
      <c r="I51" s="178">
        <v>-9.0909090909090939E-2</v>
      </c>
      <c r="J51" s="182">
        <v>1</v>
      </c>
      <c r="K51" s="178">
        <v>-9.0909090909090939E-2</v>
      </c>
      <c r="L51" s="178">
        <v>-9.0909090909090925E-2</v>
      </c>
      <c r="M51" s="178">
        <v>-9.0909090909090925E-2</v>
      </c>
      <c r="N51" s="178">
        <v>-9.0909090909090939E-2</v>
      </c>
      <c r="O51" s="178">
        <v>0.30151134457776357</v>
      </c>
      <c r="P51" s="178">
        <v>-0.30151134457776357</v>
      </c>
      <c r="Q51" s="178">
        <v>7.3327589096864365E-18</v>
      </c>
      <c r="R51" s="178">
        <v>-1.2590729111435686E-17</v>
      </c>
      <c r="S51" s="178">
        <v>7.332758909686438E-18</v>
      </c>
      <c r="T51" s="178">
        <v>3.1479376679017496E-18</v>
      </c>
      <c r="U51" s="178">
        <v>-1.0358620137116252E-18</v>
      </c>
      <c r="V51" s="179">
        <v>3.2817181151542786E-2</v>
      </c>
    </row>
    <row r="52" spans="2:22" x14ac:dyDescent="0.5">
      <c r="B52" s="171" t="s">
        <v>383</v>
      </c>
      <c r="C52" s="178">
        <v>-9.0909090909090912E-2</v>
      </c>
      <c r="D52" s="178">
        <v>-9.0909090909090925E-2</v>
      </c>
      <c r="E52" s="178">
        <v>-9.0909090909090939E-2</v>
      </c>
      <c r="F52" s="178">
        <v>-9.0909090909090925E-2</v>
      </c>
      <c r="G52" s="178">
        <v>-9.0909090909090925E-2</v>
      </c>
      <c r="H52" s="178">
        <v>-9.0909090909090925E-2</v>
      </c>
      <c r="I52" s="178">
        <v>-9.0909090909090925E-2</v>
      </c>
      <c r="J52" s="178">
        <v>-9.0909090909090939E-2</v>
      </c>
      <c r="K52" s="182">
        <v>1</v>
      </c>
      <c r="L52" s="178">
        <v>-9.0909090909090925E-2</v>
      </c>
      <c r="M52" s="178">
        <v>-9.0909090909090912E-2</v>
      </c>
      <c r="N52" s="178">
        <v>-9.0909090909090925E-2</v>
      </c>
      <c r="O52" s="178">
        <v>0.30151134457776368</v>
      </c>
      <c r="P52" s="178">
        <v>-0.30151134457776368</v>
      </c>
      <c r="Q52" s="178">
        <v>-6.7892888985477927E-18</v>
      </c>
      <c r="R52" s="178">
        <v>-6.3132418587158246E-18</v>
      </c>
      <c r="S52" s="178">
        <v>1.4132008019904536E-17</v>
      </c>
      <c r="T52" s="178">
        <v>-2.605489216934419E-18</v>
      </c>
      <c r="U52" s="178">
        <v>-6.7892888985477927E-18</v>
      </c>
      <c r="V52" s="179">
        <v>-5.6503472809912879E-2</v>
      </c>
    </row>
    <row r="53" spans="2:22" x14ac:dyDescent="0.5">
      <c r="B53" s="171" t="s">
        <v>384</v>
      </c>
      <c r="C53" s="178">
        <v>-9.0909090909090912E-2</v>
      </c>
      <c r="D53" s="178">
        <v>-9.0909090909090925E-2</v>
      </c>
      <c r="E53" s="178">
        <v>-9.0909090909090939E-2</v>
      </c>
      <c r="F53" s="178">
        <v>-9.0909090909090939E-2</v>
      </c>
      <c r="G53" s="178">
        <v>-9.0909090909090939E-2</v>
      </c>
      <c r="H53" s="178">
        <v>-9.0909090909090939E-2</v>
      </c>
      <c r="I53" s="178">
        <v>-9.0909090909090939E-2</v>
      </c>
      <c r="J53" s="178">
        <v>-9.0909090909090925E-2</v>
      </c>
      <c r="K53" s="178">
        <v>-9.0909090909090925E-2</v>
      </c>
      <c r="L53" s="182">
        <v>1</v>
      </c>
      <c r="M53" s="178">
        <v>-9.0909090909090912E-2</v>
      </c>
      <c r="N53" s="178">
        <v>-9.0909090909090925E-2</v>
      </c>
      <c r="O53" s="178">
        <v>0.30151134457776363</v>
      </c>
      <c r="P53" s="178">
        <v>-0.30151134457776363</v>
      </c>
      <c r="Q53" s="178">
        <v>4.1679654989580195E-19</v>
      </c>
      <c r="R53" s="178">
        <v>-1.691703643694726E-18</v>
      </c>
      <c r="S53" s="178">
        <v>2.1338348858390959E-17</v>
      </c>
      <c r="T53" s="178">
        <v>-3.7634276711179765E-18</v>
      </c>
      <c r="U53" s="178">
        <v>-7.9518243735022595E-18</v>
      </c>
      <c r="V53" s="179">
        <v>-7.0923900120609201E-2</v>
      </c>
    </row>
    <row r="54" spans="2:22" x14ac:dyDescent="0.5">
      <c r="B54" s="171" t="s">
        <v>385</v>
      </c>
      <c r="C54" s="178">
        <v>-9.0909090909090912E-2</v>
      </c>
      <c r="D54" s="178">
        <v>-9.0909090909090898E-2</v>
      </c>
      <c r="E54" s="178">
        <v>-9.0909090909090912E-2</v>
      </c>
      <c r="F54" s="178">
        <v>-9.0909090909090884E-2</v>
      </c>
      <c r="G54" s="178">
        <v>-9.0909090909090912E-2</v>
      </c>
      <c r="H54" s="178">
        <v>-9.0909090909090925E-2</v>
      </c>
      <c r="I54" s="178">
        <v>-9.0909090909090912E-2</v>
      </c>
      <c r="J54" s="178">
        <v>-9.0909090909090925E-2</v>
      </c>
      <c r="K54" s="178">
        <v>-9.0909090909090912E-2</v>
      </c>
      <c r="L54" s="178">
        <v>-9.0909090909090912E-2</v>
      </c>
      <c r="M54" s="182">
        <v>1</v>
      </c>
      <c r="N54" s="178">
        <v>-9.0909090909090884E-2</v>
      </c>
      <c r="O54" s="178">
        <v>-0.30151134457776368</v>
      </c>
      <c r="P54" s="178">
        <v>0.30151134457776368</v>
      </c>
      <c r="Q54" s="178">
        <v>2.1023708325626477E-18</v>
      </c>
      <c r="R54" s="178">
        <v>-8.406418649736654E-18</v>
      </c>
      <c r="S54" s="178">
        <v>-2.0819396291363835E-18</v>
      </c>
      <c r="T54" s="178">
        <v>1.0470480975875054E-17</v>
      </c>
      <c r="U54" s="178">
        <v>2.1023708325626477E-18</v>
      </c>
      <c r="V54" s="179">
        <v>6.5516424685648417E-2</v>
      </c>
    </row>
    <row r="55" spans="2:22" x14ac:dyDescent="0.5">
      <c r="B55" s="171" t="s">
        <v>386</v>
      </c>
      <c r="C55" s="178">
        <v>-9.0909090909090912E-2</v>
      </c>
      <c r="D55" s="178">
        <v>-9.0909090909090898E-2</v>
      </c>
      <c r="E55" s="178">
        <v>-9.0909090909090898E-2</v>
      </c>
      <c r="F55" s="178">
        <v>-9.0909090909090884E-2</v>
      </c>
      <c r="G55" s="178">
        <v>-9.0909090909090912E-2</v>
      </c>
      <c r="H55" s="178">
        <v>-9.0909090909090939E-2</v>
      </c>
      <c r="I55" s="178">
        <v>-9.0909090909090925E-2</v>
      </c>
      <c r="J55" s="178">
        <v>-9.0909090909090939E-2</v>
      </c>
      <c r="K55" s="178">
        <v>-9.0909090909090925E-2</v>
      </c>
      <c r="L55" s="178">
        <v>-9.0909090909090925E-2</v>
      </c>
      <c r="M55" s="178">
        <v>-9.0909090909090884E-2</v>
      </c>
      <c r="N55" s="182">
        <v>1</v>
      </c>
      <c r="O55" s="178">
        <v>-0.30151134457776368</v>
      </c>
      <c r="P55" s="178">
        <v>0.30151134457776368</v>
      </c>
      <c r="Q55" s="178">
        <v>-6.2662500908354143E-18</v>
      </c>
      <c r="R55" s="178">
        <v>-8.406418649736654E-18</v>
      </c>
      <c r="S55" s="178">
        <v>-2.0819396291363835E-18</v>
      </c>
      <c r="T55" s="178">
        <v>1.0470480975875054E-17</v>
      </c>
      <c r="U55" s="178">
        <v>2.1023708325626477E-18</v>
      </c>
      <c r="V55" s="179">
        <v>-9.9290967576886796E-2</v>
      </c>
    </row>
    <row r="56" spans="2:22" x14ac:dyDescent="0.5">
      <c r="B56" s="171" t="s">
        <v>387</v>
      </c>
      <c r="C56" s="178">
        <v>-0.30151134457776363</v>
      </c>
      <c r="D56" s="178">
        <v>-0.30151134457776363</v>
      </c>
      <c r="E56" s="178">
        <v>-0.30151134457776368</v>
      </c>
      <c r="F56" s="178">
        <v>-0.30151134457776368</v>
      </c>
      <c r="G56" s="178">
        <v>0.30151134457776363</v>
      </c>
      <c r="H56" s="178">
        <v>0.30151134457776363</v>
      </c>
      <c r="I56" s="178">
        <v>0.30151134457776363</v>
      </c>
      <c r="J56" s="178">
        <v>0.30151134457776357</v>
      </c>
      <c r="K56" s="178">
        <v>0.30151134457776368</v>
      </c>
      <c r="L56" s="178">
        <v>0.30151134457776363</v>
      </c>
      <c r="M56" s="178">
        <v>-0.30151134457776368</v>
      </c>
      <c r="N56" s="178">
        <v>-0.30151134457776368</v>
      </c>
      <c r="O56" s="182">
        <v>1</v>
      </c>
      <c r="P56" s="178">
        <v>-1</v>
      </c>
      <c r="Q56" s="178">
        <v>6.3284654932526259E-18</v>
      </c>
      <c r="R56" s="178">
        <v>1.1682278408531309E-17</v>
      </c>
      <c r="S56" s="178">
        <v>1.5580888720427098E-17</v>
      </c>
      <c r="T56" s="178">
        <v>-2.1425416056481767E-17</v>
      </c>
      <c r="U56" s="178">
        <v>-1.2175251583833308E-17</v>
      </c>
      <c r="V56" s="179">
        <v>-0.21745679513091737</v>
      </c>
    </row>
    <row r="57" spans="2:22" x14ac:dyDescent="0.5">
      <c r="B57" s="171" t="s">
        <v>388</v>
      </c>
      <c r="C57" s="178">
        <v>0.30151134457776363</v>
      </c>
      <c r="D57" s="178">
        <v>0.30151134457776363</v>
      </c>
      <c r="E57" s="178">
        <v>0.30151134457776368</v>
      </c>
      <c r="F57" s="178">
        <v>0.30151134457776368</v>
      </c>
      <c r="G57" s="178">
        <v>-0.30151134457776363</v>
      </c>
      <c r="H57" s="178">
        <v>-0.30151134457776363</v>
      </c>
      <c r="I57" s="178">
        <v>-0.30151134457776363</v>
      </c>
      <c r="J57" s="178">
        <v>-0.30151134457776357</v>
      </c>
      <c r="K57" s="178">
        <v>-0.30151134457776368</v>
      </c>
      <c r="L57" s="178">
        <v>-0.30151134457776363</v>
      </c>
      <c r="M57" s="178">
        <v>0.30151134457776368</v>
      </c>
      <c r="N57" s="178">
        <v>0.30151134457776368</v>
      </c>
      <c r="O57" s="178">
        <v>-1</v>
      </c>
      <c r="P57" s="182">
        <v>1</v>
      </c>
      <c r="Q57" s="178">
        <v>-6.3256420500951119E-18</v>
      </c>
      <c r="R57" s="178">
        <v>-1.1691313426635354E-17</v>
      </c>
      <c r="S57" s="178">
        <v>-1.5578629965901086E-17</v>
      </c>
      <c r="T57" s="178">
        <v>2.1427674811007777E-17</v>
      </c>
      <c r="U57" s="178">
        <v>1.2178075026990822E-17</v>
      </c>
      <c r="V57" s="179">
        <v>0.21745679513091737</v>
      </c>
    </row>
    <row r="58" spans="2:22" x14ac:dyDescent="0.5">
      <c r="B58" s="171" t="s">
        <v>389</v>
      </c>
      <c r="C58" s="178">
        <v>6.286681294261679E-18</v>
      </c>
      <c r="D58" s="178">
        <v>6.2866812942616797E-18</v>
      </c>
      <c r="E58" s="178">
        <v>-1.4634871014233478E-17</v>
      </c>
      <c r="F58" s="178">
        <v>-6.2662500908354151E-18</v>
      </c>
      <c r="G58" s="178">
        <v>8.3788365251111948E-18</v>
      </c>
      <c r="H58" s="178">
        <v>6.2866812942616797E-18</v>
      </c>
      <c r="I58" s="178">
        <v>2.1023708325626481E-18</v>
      </c>
      <c r="J58" s="178">
        <v>7.3327589096864365E-18</v>
      </c>
      <c r="K58" s="178">
        <v>-6.7892888985477927E-18</v>
      </c>
      <c r="L58" s="178">
        <v>4.1679654989580195E-19</v>
      </c>
      <c r="M58" s="178">
        <v>2.1023708325626477E-18</v>
      </c>
      <c r="N58" s="178">
        <v>-6.2662500908354143E-18</v>
      </c>
      <c r="O58" s="178">
        <v>6.3284654932526259E-18</v>
      </c>
      <c r="P58" s="178">
        <v>-6.3256420500951119E-18</v>
      </c>
      <c r="Q58" s="182">
        <v>1</v>
      </c>
      <c r="R58" s="178">
        <v>-0.24999999999999994</v>
      </c>
      <c r="S58" s="178">
        <v>-0.24999999999999994</v>
      </c>
      <c r="T58" s="178">
        <v>-0.25</v>
      </c>
      <c r="U58" s="178">
        <v>-0.24999999999999992</v>
      </c>
      <c r="V58" s="179">
        <v>-8.6373481456037099E-2</v>
      </c>
    </row>
    <row r="59" spans="2:22" x14ac:dyDescent="0.5">
      <c r="B59" s="171" t="s">
        <v>392</v>
      </c>
      <c r="C59" s="178">
        <v>-8.4053970895653396E-18</v>
      </c>
      <c r="D59" s="178">
        <v>-8.4053970895653396E-18</v>
      </c>
      <c r="E59" s="178">
        <v>-8.406418649736654E-18</v>
      </c>
      <c r="F59" s="178">
        <v>-8.406418649736654E-18</v>
      </c>
      <c r="G59" s="178">
        <v>-8.406418649736654E-18</v>
      </c>
      <c r="H59" s="178">
        <v>-8.4053970895653396E-18</v>
      </c>
      <c r="I59" s="178">
        <v>-8.4053970895653396E-18</v>
      </c>
      <c r="J59" s="178">
        <v>-1.2590729111435686E-17</v>
      </c>
      <c r="K59" s="178">
        <v>-6.3132418587158246E-18</v>
      </c>
      <c r="L59" s="178">
        <v>-1.691703643694726E-18</v>
      </c>
      <c r="M59" s="178">
        <v>-8.406418649736654E-18</v>
      </c>
      <c r="N59" s="178">
        <v>-8.406418649736654E-18</v>
      </c>
      <c r="O59" s="178">
        <v>1.1682278408531309E-17</v>
      </c>
      <c r="P59" s="178">
        <v>-1.1691313426635354E-17</v>
      </c>
      <c r="Q59" s="178">
        <v>-0.24999999999999994</v>
      </c>
      <c r="R59" s="182">
        <v>1</v>
      </c>
      <c r="S59" s="178">
        <v>-0.24999999999999994</v>
      </c>
      <c r="T59" s="178">
        <v>-0.24999999999999994</v>
      </c>
      <c r="U59" s="178">
        <v>-0.24999999999999994</v>
      </c>
      <c r="V59" s="179">
        <v>-0.10173256430906381</v>
      </c>
    </row>
    <row r="60" spans="2:22" x14ac:dyDescent="0.5">
      <c r="B60" s="171" t="s">
        <v>390</v>
      </c>
      <c r="C60" s="178">
        <v>-2.0821950191792117E-18</v>
      </c>
      <c r="D60" s="178">
        <v>2.1021154425198199E-18</v>
      </c>
      <c r="E60" s="178">
        <v>1.0470991755960711E-17</v>
      </c>
      <c r="F60" s="178">
        <v>1.8839612679358775E-17</v>
      </c>
      <c r="G60" s="178">
        <v>1.0215601713132401E-20</v>
      </c>
      <c r="H60" s="178">
        <v>-1.0450815942577274E-17</v>
      </c>
      <c r="I60" s="178">
        <v>-2.0821950191792117E-18</v>
      </c>
      <c r="J60" s="178">
        <v>7.332758909686438E-18</v>
      </c>
      <c r="K60" s="178">
        <v>1.4132008019904536E-17</v>
      </c>
      <c r="L60" s="178">
        <v>2.1338348858390959E-17</v>
      </c>
      <c r="M60" s="178">
        <v>-2.0819396291363835E-18</v>
      </c>
      <c r="N60" s="178">
        <v>-2.0819396291363835E-18</v>
      </c>
      <c r="O60" s="178">
        <v>1.5580888720427098E-17</v>
      </c>
      <c r="P60" s="178">
        <v>-1.5578629965901086E-17</v>
      </c>
      <c r="Q60" s="178">
        <v>-0.24999999999999994</v>
      </c>
      <c r="R60" s="178">
        <v>-0.24999999999999994</v>
      </c>
      <c r="S60" s="182">
        <v>1</v>
      </c>
      <c r="T60" s="178">
        <v>-0.25000000000000006</v>
      </c>
      <c r="U60" s="178">
        <v>-0.24999999999999994</v>
      </c>
      <c r="V60" s="179">
        <v>6.2250267054611327E-2</v>
      </c>
    </row>
    <row r="61" spans="2:22" x14ac:dyDescent="0.5">
      <c r="B61" s="171" t="s">
        <v>391</v>
      </c>
      <c r="C61" s="178">
        <v>1.0470480975875054E-17</v>
      </c>
      <c r="D61" s="178">
        <v>8.3783257450255391E-18</v>
      </c>
      <c r="E61" s="178">
        <v>1.0470480975875054E-17</v>
      </c>
      <c r="F61" s="178">
        <v>1.0470480975875054E-17</v>
      </c>
      <c r="G61" s="178">
        <v>8.3783257450255391E-18</v>
      </c>
      <c r="H61" s="178">
        <v>6.2861705141760233E-18</v>
      </c>
      <c r="I61" s="178">
        <v>6.2861705141760233E-18</v>
      </c>
      <c r="J61" s="178">
        <v>3.1479376679017496E-18</v>
      </c>
      <c r="K61" s="178">
        <v>-2.605489216934419E-18</v>
      </c>
      <c r="L61" s="178">
        <v>-3.7634276711179765E-18</v>
      </c>
      <c r="M61" s="178">
        <v>1.0470480975875054E-17</v>
      </c>
      <c r="N61" s="178">
        <v>1.0470480975875054E-17</v>
      </c>
      <c r="O61" s="178">
        <v>-2.1425416056481767E-17</v>
      </c>
      <c r="P61" s="178">
        <v>2.1427674811007777E-17</v>
      </c>
      <c r="Q61" s="178">
        <v>-0.25</v>
      </c>
      <c r="R61" s="178">
        <v>-0.24999999999999994</v>
      </c>
      <c r="S61" s="178">
        <v>-0.25000000000000006</v>
      </c>
      <c r="T61" s="182">
        <v>1</v>
      </c>
      <c r="U61" s="178">
        <v>-0.25</v>
      </c>
      <c r="V61" s="179">
        <v>-0.16446915533696937</v>
      </c>
    </row>
    <row r="62" spans="2:22" x14ac:dyDescent="0.5">
      <c r="B62" s="171" t="s">
        <v>437</v>
      </c>
      <c r="C62" s="178">
        <v>-6.2662500908354143E-18</v>
      </c>
      <c r="D62" s="178">
        <v>-6.2662500908354151E-18</v>
      </c>
      <c r="E62" s="178">
        <v>-1.4634871014233478E-17</v>
      </c>
      <c r="F62" s="178">
        <v>2.1023708325626481E-18</v>
      </c>
      <c r="G62" s="178">
        <v>-4.1740948599858985E-18</v>
      </c>
      <c r="H62" s="178">
        <v>2.1023708325626481E-18</v>
      </c>
      <c r="I62" s="178">
        <v>2.1023708325626481E-18</v>
      </c>
      <c r="J62" s="178">
        <v>-1.0358620137116252E-18</v>
      </c>
      <c r="K62" s="178">
        <v>-6.7892888985477927E-18</v>
      </c>
      <c r="L62" s="178">
        <v>-7.9518243735022595E-18</v>
      </c>
      <c r="M62" s="178">
        <v>2.1023708325626477E-18</v>
      </c>
      <c r="N62" s="178">
        <v>2.1023708325626477E-18</v>
      </c>
      <c r="O62" s="178">
        <v>-1.2175251583833308E-17</v>
      </c>
      <c r="P62" s="178">
        <v>1.2178075026990822E-17</v>
      </c>
      <c r="Q62" s="178">
        <v>-0.24999999999999992</v>
      </c>
      <c r="R62" s="178">
        <v>-0.24999999999999994</v>
      </c>
      <c r="S62" s="178">
        <v>-0.24999999999999994</v>
      </c>
      <c r="T62" s="178">
        <v>-0.25</v>
      </c>
      <c r="U62" s="182">
        <v>1</v>
      </c>
      <c r="V62" s="179">
        <v>0.2903249340474589</v>
      </c>
    </row>
    <row r="63" spans="2:22" ht="14.7" thickBot="1" x14ac:dyDescent="0.55000000000000004">
      <c r="B63" s="175" t="s">
        <v>433</v>
      </c>
      <c r="C63" s="180">
        <v>0.12298629767100068</v>
      </c>
      <c r="D63" s="180">
        <v>0.12017388976610439</v>
      </c>
      <c r="E63" s="180">
        <v>0.14249087873819913</v>
      </c>
      <c r="F63" s="180">
        <v>4.1517620840899203E-2</v>
      </c>
      <c r="G63" s="180">
        <v>-8.7514321516237212E-2</v>
      </c>
      <c r="H63" s="180">
        <v>-0.11862257159712465</v>
      </c>
      <c r="I63" s="180">
        <v>-9.264705923262373E-2</v>
      </c>
      <c r="J63" s="180">
        <v>3.2817181151542786E-2</v>
      </c>
      <c r="K63" s="180">
        <v>-5.6503472809912879E-2</v>
      </c>
      <c r="L63" s="180">
        <v>-7.0923900120609201E-2</v>
      </c>
      <c r="M63" s="180">
        <v>6.5516424685648417E-2</v>
      </c>
      <c r="N63" s="180">
        <v>-9.9290967576886796E-2</v>
      </c>
      <c r="O63" s="180">
        <v>-0.21745679513091737</v>
      </c>
      <c r="P63" s="180">
        <v>0.21745679513091737</v>
      </c>
      <c r="Q63" s="180">
        <v>-8.6373481456037099E-2</v>
      </c>
      <c r="R63" s="180">
        <v>-0.10173256430906381</v>
      </c>
      <c r="S63" s="180">
        <v>6.2250267054611327E-2</v>
      </c>
      <c r="T63" s="180">
        <v>-0.16446915533696937</v>
      </c>
      <c r="U63" s="180">
        <v>0.2903249340474589</v>
      </c>
      <c r="V63" s="183">
        <v>1</v>
      </c>
    </row>
    <row r="66" spans="2:3" x14ac:dyDescent="0.5">
      <c r="B66" s="89" t="s">
        <v>438</v>
      </c>
    </row>
    <row r="68" spans="2:3" x14ac:dyDescent="0.5">
      <c r="B68" t="s">
        <v>252</v>
      </c>
    </row>
    <row r="69" spans="2:3" ht="14.7" thickBot="1" x14ac:dyDescent="0.55000000000000004"/>
    <row r="70" spans="2:3" x14ac:dyDescent="0.5">
      <c r="B70" s="184" t="s">
        <v>221</v>
      </c>
      <c r="C70" s="185">
        <v>60</v>
      </c>
    </row>
    <row r="71" spans="2:3" x14ac:dyDescent="0.5">
      <c r="B71" s="160" t="s">
        <v>253</v>
      </c>
      <c r="C71" s="186">
        <v>60</v>
      </c>
    </row>
    <row r="72" spans="2:3" x14ac:dyDescent="0.5">
      <c r="B72" s="160" t="s">
        <v>254</v>
      </c>
      <c r="C72" s="169">
        <v>-53.624949511616272</v>
      </c>
    </row>
    <row r="73" spans="2:3" x14ac:dyDescent="0.5">
      <c r="B73" s="160" t="s">
        <v>255</v>
      </c>
      <c r="C73" s="169">
        <v>-49.624949511616272</v>
      </c>
    </row>
    <row r="74" spans="2:3" x14ac:dyDescent="0.5">
      <c r="B74" s="160" t="s">
        <v>256</v>
      </c>
      <c r="C74" s="169">
        <v>-49.414423195826799</v>
      </c>
    </row>
    <row r="75" spans="2:3" x14ac:dyDescent="0.5">
      <c r="B75" s="160" t="s">
        <v>257</v>
      </c>
      <c r="C75" s="169">
        <v>-45.436260387172069</v>
      </c>
    </row>
    <row r="76" spans="2:3" x14ac:dyDescent="0.5">
      <c r="B76" s="160" t="s">
        <v>258</v>
      </c>
      <c r="C76" s="169">
        <v>-43.436260387172069</v>
      </c>
    </row>
    <row r="77" spans="2:3" x14ac:dyDescent="0.5">
      <c r="B77" s="160" t="s">
        <v>259</v>
      </c>
      <c r="C77" s="186">
        <v>7</v>
      </c>
    </row>
    <row r="78" spans="2:3" x14ac:dyDescent="0.5">
      <c r="B78" s="160" t="s">
        <v>260</v>
      </c>
      <c r="C78" s="186">
        <v>2</v>
      </c>
    </row>
    <row r="79" spans="2:3" x14ac:dyDescent="0.5">
      <c r="B79" s="160" t="s">
        <v>261</v>
      </c>
      <c r="C79" s="186">
        <v>1</v>
      </c>
    </row>
    <row r="80" spans="2:3" x14ac:dyDescent="0.5">
      <c r="B80" s="160" t="s">
        <v>262</v>
      </c>
      <c r="C80" s="186">
        <v>0</v>
      </c>
    </row>
    <row r="81" spans="2:6" x14ac:dyDescent="0.5">
      <c r="B81" s="160" t="s">
        <v>263</v>
      </c>
      <c r="C81" s="186">
        <v>12</v>
      </c>
    </row>
    <row r="82" spans="2:6" ht="14.7" thickBot="1" x14ac:dyDescent="0.55000000000000004">
      <c r="B82" s="167" t="s">
        <v>264</v>
      </c>
      <c r="C82" s="187">
        <v>5</v>
      </c>
    </row>
    <row r="85" spans="2:6" x14ac:dyDescent="0.5">
      <c r="B85" t="s">
        <v>265</v>
      </c>
    </row>
    <row r="86" spans="2:6" ht="14.7" thickBot="1" x14ac:dyDescent="0.55000000000000004"/>
    <row r="87" spans="2:6" x14ac:dyDescent="0.5">
      <c r="B87" s="161"/>
      <c r="C87" s="162" t="s">
        <v>266</v>
      </c>
      <c r="D87" s="162" t="s">
        <v>267</v>
      </c>
      <c r="E87" s="162" t="s">
        <v>268</v>
      </c>
      <c r="F87" s="162" t="s">
        <v>269</v>
      </c>
    </row>
    <row r="88" spans="2:6" x14ac:dyDescent="0.5">
      <c r="B88" s="163" t="s">
        <v>270</v>
      </c>
      <c r="C88" s="168">
        <v>1.1713810488546588E-2</v>
      </c>
      <c r="D88" s="168">
        <v>2.6192845083147305E-3</v>
      </c>
      <c r="E88" s="168">
        <v>4.472141323847004</v>
      </c>
      <c r="F88" s="188" t="s">
        <v>272</v>
      </c>
    </row>
    <row r="89" spans="2:6" ht="14.7" thickBot="1" x14ac:dyDescent="0.55000000000000004">
      <c r="B89" s="167" t="s">
        <v>271</v>
      </c>
      <c r="C89" s="170">
        <v>3.369554285333688E-3</v>
      </c>
      <c r="D89" s="170">
        <v>2.6077759943397187E-3</v>
      </c>
      <c r="E89" s="170">
        <v>1.2921179935114977</v>
      </c>
      <c r="F89" s="170">
        <v>0.19631628547096325</v>
      </c>
    </row>
    <row r="92" spans="2:6" x14ac:dyDescent="0.5">
      <c r="B92" t="s">
        <v>273</v>
      </c>
    </row>
    <row r="93" spans="2:6" ht="14.7" thickBot="1" x14ac:dyDescent="0.55000000000000004"/>
    <row r="94" spans="2:6" x14ac:dyDescent="0.5">
      <c r="B94" s="162" t="s">
        <v>274</v>
      </c>
      <c r="C94" s="162" t="s">
        <v>275</v>
      </c>
      <c r="D94" s="162" t="s">
        <v>276</v>
      </c>
    </row>
    <row r="95" spans="2:6" ht="14.7" thickBot="1" x14ac:dyDescent="0.55000000000000004">
      <c r="B95" s="165">
        <v>1</v>
      </c>
      <c r="C95" s="166">
        <v>3.7282568719684122</v>
      </c>
      <c r="D95" s="166">
        <v>5.3499197782676658E-2</v>
      </c>
    </row>
    <row r="98" spans="2:8" x14ac:dyDescent="0.5">
      <c r="B98" t="s">
        <v>277</v>
      </c>
    </row>
    <row r="99" spans="2:8" ht="14.7" thickBot="1" x14ac:dyDescent="0.55000000000000004"/>
    <row r="100" spans="2:8" x14ac:dyDescent="0.5">
      <c r="B100" s="161" t="s">
        <v>278</v>
      </c>
      <c r="C100" s="162" t="s">
        <v>279</v>
      </c>
      <c r="D100" s="162" t="s">
        <v>280</v>
      </c>
      <c r="E100" s="162" t="s">
        <v>62</v>
      </c>
      <c r="F100" s="162" t="s">
        <v>281</v>
      </c>
    </row>
    <row r="101" spans="2:8" ht="14.7" thickBot="1" x14ac:dyDescent="0.55000000000000004">
      <c r="B101" s="164" t="s">
        <v>394</v>
      </c>
      <c r="C101" s="165">
        <v>9</v>
      </c>
      <c r="D101" s="165">
        <v>50</v>
      </c>
      <c r="E101" s="166">
        <v>11.943821308688193</v>
      </c>
      <c r="F101" s="189" t="s">
        <v>272</v>
      </c>
    </row>
    <row r="104" spans="2:8" x14ac:dyDescent="0.5">
      <c r="B104" t="s">
        <v>283</v>
      </c>
    </row>
    <row r="105" spans="2:8" ht="14.7" thickBot="1" x14ac:dyDescent="0.55000000000000004"/>
    <row r="106" spans="2:8" x14ac:dyDescent="0.5">
      <c r="B106" s="161" t="s">
        <v>284</v>
      </c>
      <c r="C106" s="162" t="s">
        <v>285</v>
      </c>
      <c r="D106" s="162" t="s">
        <v>267</v>
      </c>
      <c r="E106" s="162" t="s">
        <v>286</v>
      </c>
      <c r="F106" s="162" t="s">
        <v>287</v>
      </c>
      <c r="G106" s="162" t="s">
        <v>288</v>
      </c>
      <c r="H106" s="162" t="s">
        <v>289</v>
      </c>
    </row>
    <row r="107" spans="2:8" x14ac:dyDescent="0.5">
      <c r="B107" s="163" t="s">
        <v>290</v>
      </c>
      <c r="C107" s="168">
        <v>0.36363821232818078</v>
      </c>
      <c r="D107" s="168">
        <v>5.0138748777567729E-2</v>
      </c>
      <c r="E107" s="168">
        <v>7.2526383524527427</v>
      </c>
      <c r="F107" s="188" t="s">
        <v>272</v>
      </c>
      <c r="G107" s="168">
        <v>0.26334578234992978</v>
      </c>
      <c r="H107" s="168">
        <v>0.46393064230643177</v>
      </c>
    </row>
    <row r="108" spans="2:8" x14ac:dyDescent="0.5">
      <c r="B108" s="160" t="s">
        <v>395</v>
      </c>
      <c r="C108" s="169">
        <v>0</v>
      </c>
      <c r="D108" s="169"/>
      <c r="E108" s="169"/>
      <c r="F108" s="169"/>
      <c r="G108" s="169"/>
      <c r="H108" s="169"/>
    </row>
    <row r="109" spans="2:8" x14ac:dyDescent="0.5">
      <c r="B109" s="160" t="s">
        <v>398</v>
      </c>
      <c r="C109" s="169">
        <v>-0.11074396594007543</v>
      </c>
      <c r="D109" s="169">
        <v>6.248682658114587E-2</v>
      </c>
      <c r="E109" s="169">
        <v>-1.7722770061984581</v>
      </c>
      <c r="F109" s="169">
        <v>8.1425517279281656E-2</v>
      </c>
      <c r="G109" s="169">
        <v>-0.23573622905487712</v>
      </c>
      <c r="H109" s="169">
        <v>1.424829717472624E-2</v>
      </c>
    </row>
    <row r="110" spans="2:8" x14ac:dyDescent="0.5">
      <c r="B110" s="160" t="s">
        <v>396</v>
      </c>
      <c r="C110" s="169">
        <v>-0.1919798911044705</v>
      </c>
      <c r="D110" s="169">
        <v>6.248682658114587E-2</v>
      </c>
      <c r="E110" s="169">
        <v>-3.0723258262309727</v>
      </c>
      <c r="F110" s="169">
        <v>3.1916295501853865E-3</v>
      </c>
      <c r="G110" s="169">
        <v>-0.31697215421927216</v>
      </c>
      <c r="H110" s="169">
        <v>-6.6987627989668827E-2</v>
      </c>
    </row>
    <row r="111" spans="2:8" x14ac:dyDescent="0.5">
      <c r="B111" s="160" t="s">
        <v>397</v>
      </c>
      <c r="C111" s="169">
        <v>-0.12639011903726446</v>
      </c>
      <c r="D111" s="169">
        <v>6.2486826581145877E-2</v>
      </c>
      <c r="E111" s="169">
        <v>-2.0226682318893769</v>
      </c>
      <c r="F111" s="169">
        <v>4.7571020785373251E-2</v>
      </c>
      <c r="G111" s="169">
        <v>-0.25138238215206615</v>
      </c>
      <c r="H111" s="169">
        <v>-1.3978559224627762E-3</v>
      </c>
    </row>
    <row r="112" spans="2:8" x14ac:dyDescent="0.5">
      <c r="B112" s="160" t="s">
        <v>439</v>
      </c>
      <c r="C112" s="169">
        <v>0.26471159553035517</v>
      </c>
      <c r="D112" s="169">
        <v>6.2486826581145877E-2</v>
      </c>
      <c r="E112" s="169">
        <v>4.2362784288076885</v>
      </c>
      <c r="F112" s="190" t="s">
        <v>272</v>
      </c>
      <c r="G112" s="169">
        <v>0.13971933241555348</v>
      </c>
      <c r="H112" s="169">
        <v>0.38970385864515689</v>
      </c>
    </row>
    <row r="113" spans="2:8" x14ac:dyDescent="0.5">
      <c r="B113" s="160" t="s">
        <v>399</v>
      </c>
      <c r="C113" s="169">
        <v>9.7699102338202892E-3</v>
      </c>
      <c r="D113" s="169">
        <v>7.0906898521653702E-2</v>
      </c>
      <c r="E113" s="169">
        <v>0.1377850454259642</v>
      </c>
      <c r="F113" s="169">
        <v>0.89087166355152181</v>
      </c>
      <c r="G113" s="169">
        <v>-0.13206500444477623</v>
      </c>
      <c r="H113" s="169">
        <v>0.15160482491241681</v>
      </c>
    </row>
    <row r="114" spans="2:8" x14ac:dyDescent="0.5">
      <c r="B114" s="160" t="s">
        <v>402</v>
      </c>
      <c r="C114" s="169">
        <v>2.9512337801088615E-2</v>
      </c>
      <c r="D114" s="169">
        <v>7.0906898521653702E-2</v>
      </c>
      <c r="E114" s="169">
        <v>0.41621250423294248</v>
      </c>
      <c r="F114" s="169">
        <v>0.67873959012816432</v>
      </c>
      <c r="G114" s="169">
        <v>-0.11232257687750791</v>
      </c>
      <c r="H114" s="169">
        <v>0.17134725247968513</v>
      </c>
    </row>
    <row r="115" spans="2:8" x14ac:dyDescent="0.5">
      <c r="B115" s="160" t="s">
        <v>400</v>
      </c>
      <c r="C115" s="169">
        <v>-4.4893686581093654E-2</v>
      </c>
      <c r="D115" s="169">
        <v>7.0906898521653702E-2</v>
      </c>
      <c r="E115" s="169">
        <v>-0.63313566827893231</v>
      </c>
      <c r="F115" s="169">
        <v>0.52905097545566293</v>
      </c>
      <c r="G115" s="169">
        <v>-0.18672860125969018</v>
      </c>
      <c r="H115" s="169">
        <v>9.6941228097502857E-2</v>
      </c>
    </row>
    <row r="116" spans="2:8" x14ac:dyDescent="0.5">
      <c r="B116" s="160" t="s">
        <v>401</v>
      </c>
      <c r="C116" s="169">
        <v>-0.16206199832540377</v>
      </c>
      <c r="D116" s="169">
        <v>7.0906898521653702E-2</v>
      </c>
      <c r="E116" s="169">
        <v>-2.2855603855795912</v>
      </c>
      <c r="F116" s="169">
        <v>2.5827872111533475E-2</v>
      </c>
      <c r="G116" s="169">
        <v>-0.30389691300400029</v>
      </c>
      <c r="H116" s="169">
        <v>-2.0227083646807253E-2</v>
      </c>
    </row>
    <row r="117" spans="2:8" ht="14.7" thickBot="1" x14ac:dyDescent="0.55000000000000004">
      <c r="B117" s="167" t="s">
        <v>440</v>
      </c>
      <c r="C117" s="170">
        <v>0.22244962653406672</v>
      </c>
      <c r="D117" s="170">
        <v>7.0906898521653702E-2</v>
      </c>
      <c r="E117" s="170">
        <v>3.1372071148498275</v>
      </c>
      <c r="F117" s="170">
        <v>2.6430157234988831E-3</v>
      </c>
      <c r="G117" s="170">
        <v>8.06147118554702E-2</v>
      </c>
      <c r="H117" s="170">
        <v>0.36428454121266324</v>
      </c>
    </row>
    <row r="120" spans="2:8" x14ac:dyDescent="0.5">
      <c r="B120" t="s">
        <v>403</v>
      </c>
    </row>
    <row r="121" spans="2:8" ht="14.7" thickBot="1" x14ac:dyDescent="0.55000000000000004"/>
    <row r="122" spans="2:8" x14ac:dyDescent="0.5">
      <c r="B122" s="161" t="s">
        <v>302</v>
      </c>
      <c r="C122" s="162" t="s">
        <v>303</v>
      </c>
      <c r="D122" s="162" t="s">
        <v>304</v>
      </c>
      <c r="E122" s="162" t="s">
        <v>286</v>
      </c>
      <c r="F122" s="162" t="s">
        <v>287</v>
      </c>
      <c r="G122" s="162" t="s">
        <v>305</v>
      </c>
    </row>
    <row r="123" spans="2:8" x14ac:dyDescent="0.5">
      <c r="B123" s="163" t="s">
        <v>441</v>
      </c>
      <c r="C123" s="188">
        <v>0.45669148663482567</v>
      </c>
      <c r="D123" s="188">
        <v>6.248682658114587E-2</v>
      </c>
      <c r="E123" s="188">
        <v>7.3086042550386621</v>
      </c>
      <c r="F123" s="188" t="s">
        <v>272</v>
      </c>
      <c r="G123" s="192" t="s">
        <v>351</v>
      </c>
    </row>
    <row r="124" spans="2:8" x14ac:dyDescent="0.5">
      <c r="B124" s="160" t="s">
        <v>442</v>
      </c>
      <c r="C124" s="190">
        <v>0.42677359385575897</v>
      </c>
      <c r="D124" s="190">
        <v>6.248682658114587E-2</v>
      </c>
      <c r="E124" s="190">
        <v>6.8298170543442067</v>
      </c>
      <c r="F124" s="190" t="s">
        <v>272</v>
      </c>
      <c r="G124" s="193" t="s">
        <v>351</v>
      </c>
    </row>
    <row r="125" spans="2:8" x14ac:dyDescent="0.5">
      <c r="B125" s="160" t="s">
        <v>443</v>
      </c>
      <c r="C125" s="190">
        <v>0.39110171456761966</v>
      </c>
      <c r="D125" s="190">
        <v>6.248682658114587E-2</v>
      </c>
      <c r="E125" s="190">
        <v>6.2589466606970667</v>
      </c>
      <c r="F125" s="190" t="s">
        <v>272</v>
      </c>
      <c r="G125" s="193" t="s">
        <v>351</v>
      </c>
    </row>
    <row r="126" spans="2:8" x14ac:dyDescent="0.5">
      <c r="B126" s="160" t="s">
        <v>444</v>
      </c>
      <c r="C126" s="190">
        <v>0.37545556147043058</v>
      </c>
      <c r="D126" s="190">
        <v>6.248682658114587E-2</v>
      </c>
      <c r="E126" s="190">
        <v>6.008555435006147</v>
      </c>
      <c r="F126" s="190" t="s">
        <v>272</v>
      </c>
      <c r="G126" s="193" t="s">
        <v>351</v>
      </c>
    </row>
    <row r="127" spans="2:8" x14ac:dyDescent="0.5">
      <c r="B127" s="160" t="s">
        <v>445</v>
      </c>
      <c r="C127" s="190">
        <v>0.30960528211144883</v>
      </c>
      <c r="D127" s="190">
        <v>6.248682658114587E-2</v>
      </c>
      <c r="E127" s="190">
        <v>4.9547288452773808</v>
      </c>
      <c r="F127" s="190" t="s">
        <v>272</v>
      </c>
      <c r="G127" s="193" t="s">
        <v>351</v>
      </c>
    </row>
    <row r="128" spans="2:8" x14ac:dyDescent="0.5">
      <c r="B128" s="160" t="s">
        <v>446</v>
      </c>
      <c r="C128" s="190">
        <v>0.26471159553035517</v>
      </c>
      <c r="D128" s="190">
        <v>6.248682658114587E-2</v>
      </c>
      <c r="E128" s="190">
        <v>4.2362784288076893</v>
      </c>
      <c r="F128" s="190" t="s">
        <v>272</v>
      </c>
      <c r="G128" s="193" t="s">
        <v>351</v>
      </c>
    </row>
    <row r="129" spans="2:7" x14ac:dyDescent="0.5">
      <c r="B129" s="160" t="s">
        <v>447</v>
      </c>
      <c r="C129" s="190">
        <v>0.25494168529653488</v>
      </c>
      <c r="D129" s="190">
        <v>6.248682658114587E-2</v>
      </c>
      <c r="E129" s="190">
        <v>4.0799269101218583</v>
      </c>
      <c r="F129" s="190">
        <v>1.6186273391652231E-4</v>
      </c>
      <c r="G129" s="193" t="s">
        <v>351</v>
      </c>
    </row>
    <row r="130" spans="2:7" x14ac:dyDescent="0.5">
      <c r="B130" s="160" t="s">
        <v>448</v>
      </c>
      <c r="C130" s="190">
        <v>0.23519925772926656</v>
      </c>
      <c r="D130" s="190">
        <v>6.248682658114587E-2</v>
      </c>
      <c r="E130" s="190">
        <v>3.7639814757408909</v>
      </c>
      <c r="F130" s="190">
        <v>4.4046249737122371E-4</v>
      </c>
      <c r="G130" s="193" t="s">
        <v>351</v>
      </c>
    </row>
    <row r="131" spans="2:7" x14ac:dyDescent="0.5">
      <c r="B131" s="160" t="s">
        <v>449</v>
      </c>
      <c r="C131" s="190">
        <v>4.2261968996288451E-2</v>
      </c>
      <c r="D131" s="190">
        <v>6.248682658114587E-2</v>
      </c>
      <c r="E131" s="190">
        <v>0.6763340580499273</v>
      </c>
      <c r="F131" s="190">
        <v>0.50194533312695211</v>
      </c>
      <c r="G131" s="199" t="s">
        <v>352</v>
      </c>
    </row>
    <row r="132" spans="2:7" x14ac:dyDescent="0.5">
      <c r="B132" s="160" t="s">
        <v>450</v>
      </c>
      <c r="C132" s="190">
        <v>0.41442951763853719</v>
      </c>
      <c r="D132" s="190">
        <v>6.248682658114587E-2</v>
      </c>
      <c r="E132" s="190">
        <v>6.6322701969887339</v>
      </c>
      <c r="F132" s="190" t="s">
        <v>272</v>
      </c>
      <c r="G132" s="193" t="s">
        <v>351</v>
      </c>
    </row>
    <row r="133" spans="2:7" x14ac:dyDescent="0.5">
      <c r="B133" s="160" t="s">
        <v>451</v>
      </c>
      <c r="C133" s="190">
        <v>0.38451162485947049</v>
      </c>
      <c r="D133" s="190">
        <v>6.248682658114587E-2</v>
      </c>
      <c r="E133" s="190">
        <v>6.1534829962942794</v>
      </c>
      <c r="F133" s="190" t="s">
        <v>272</v>
      </c>
      <c r="G133" s="193" t="s">
        <v>351</v>
      </c>
    </row>
    <row r="134" spans="2:7" x14ac:dyDescent="0.5">
      <c r="B134" s="160" t="s">
        <v>452</v>
      </c>
      <c r="C134" s="190">
        <v>0.34883974557133118</v>
      </c>
      <c r="D134" s="190">
        <v>6.248682658114587E-2</v>
      </c>
      <c r="E134" s="190">
        <v>5.5826126026471394</v>
      </c>
      <c r="F134" s="190" t="s">
        <v>272</v>
      </c>
      <c r="G134" s="193" t="s">
        <v>351</v>
      </c>
    </row>
    <row r="135" spans="2:7" x14ac:dyDescent="0.5">
      <c r="B135" s="160" t="s">
        <v>453</v>
      </c>
      <c r="C135" s="190">
        <v>0.33319359247414215</v>
      </c>
      <c r="D135" s="190">
        <v>6.248682658114587E-2</v>
      </c>
      <c r="E135" s="190">
        <v>5.3322213769562197</v>
      </c>
      <c r="F135" s="190" t="s">
        <v>272</v>
      </c>
      <c r="G135" s="193" t="s">
        <v>351</v>
      </c>
    </row>
    <row r="136" spans="2:7" x14ac:dyDescent="0.5">
      <c r="B136" s="160" t="s">
        <v>454</v>
      </c>
      <c r="C136" s="190">
        <v>0.26734331311516035</v>
      </c>
      <c r="D136" s="190">
        <v>6.248682658114587E-2</v>
      </c>
      <c r="E136" s="190">
        <v>4.2783947872274535</v>
      </c>
      <c r="F136" s="190" t="s">
        <v>272</v>
      </c>
      <c r="G136" s="193" t="s">
        <v>351</v>
      </c>
    </row>
    <row r="137" spans="2:7" x14ac:dyDescent="0.5">
      <c r="B137" s="160" t="s">
        <v>455</v>
      </c>
      <c r="C137" s="190">
        <v>0.22244962653406672</v>
      </c>
      <c r="D137" s="190">
        <v>6.248682658114587E-2</v>
      </c>
      <c r="E137" s="190">
        <v>3.559944370757762</v>
      </c>
      <c r="F137" s="190">
        <v>8.2448432615158296E-4</v>
      </c>
      <c r="G137" s="193" t="s">
        <v>351</v>
      </c>
    </row>
    <row r="138" spans="2:7" x14ac:dyDescent="0.5">
      <c r="B138" s="160" t="s">
        <v>456</v>
      </c>
      <c r="C138" s="190">
        <v>0.21267971630024643</v>
      </c>
      <c r="D138" s="190">
        <v>6.248682658114587E-2</v>
      </c>
      <c r="E138" s="190">
        <v>3.403592852071931</v>
      </c>
      <c r="F138" s="190">
        <v>1.3177779848279852E-3</v>
      </c>
      <c r="G138" s="193" t="s">
        <v>351</v>
      </c>
    </row>
    <row r="139" spans="2:7" x14ac:dyDescent="0.5">
      <c r="B139" s="160" t="s">
        <v>457</v>
      </c>
      <c r="C139" s="190">
        <v>0.19293728873297811</v>
      </c>
      <c r="D139" s="190">
        <v>6.248682658114587E-2</v>
      </c>
      <c r="E139" s="190">
        <v>3.0876474176909636</v>
      </c>
      <c r="F139" s="190">
        <v>3.2880461701723053E-3</v>
      </c>
      <c r="G139" s="193" t="s">
        <v>351</v>
      </c>
    </row>
    <row r="140" spans="2:7" x14ac:dyDescent="0.5">
      <c r="B140" s="160" t="s">
        <v>458</v>
      </c>
      <c r="C140" s="190">
        <v>0.22149222890555911</v>
      </c>
      <c r="D140" s="190">
        <v>6.248682658114587E-2</v>
      </c>
      <c r="E140" s="190">
        <v>3.5446227792977711</v>
      </c>
      <c r="F140" s="190">
        <v>8.6364811690107233E-4</v>
      </c>
      <c r="G140" s="193" t="s">
        <v>351</v>
      </c>
    </row>
    <row r="141" spans="2:7" x14ac:dyDescent="0.5">
      <c r="B141" s="160" t="s">
        <v>459</v>
      </c>
      <c r="C141" s="190">
        <v>0.19157433612649238</v>
      </c>
      <c r="D141" s="190">
        <v>6.248682658114587E-2</v>
      </c>
      <c r="E141" s="190">
        <v>3.0658355786033153</v>
      </c>
      <c r="F141" s="190">
        <v>3.4961765700848046E-3</v>
      </c>
      <c r="G141" s="193" t="s">
        <v>351</v>
      </c>
    </row>
    <row r="142" spans="2:7" x14ac:dyDescent="0.5">
      <c r="B142" s="160" t="s">
        <v>429</v>
      </c>
      <c r="C142" s="190">
        <v>0.15590245683835308</v>
      </c>
      <c r="D142" s="190">
        <v>6.248682658114587E-2</v>
      </c>
      <c r="E142" s="190">
        <v>2.4949651849561758</v>
      </c>
      <c r="F142" s="190">
        <v>1.5944411987858516E-2</v>
      </c>
      <c r="G142" s="193" t="s">
        <v>351</v>
      </c>
    </row>
    <row r="143" spans="2:7" x14ac:dyDescent="0.5">
      <c r="B143" s="160" t="s">
        <v>430</v>
      </c>
      <c r="C143" s="190">
        <v>0.14025630374116405</v>
      </c>
      <c r="D143" s="190">
        <v>6.248682658114587E-2</v>
      </c>
      <c r="E143" s="190">
        <v>2.2445739592652565</v>
      </c>
      <c r="F143" s="190">
        <v>2.9251183459934948E-2</v>
      </c>
      <c r="G143" s="199" t="s">
        <v>351</v>
      </c>
    </row>
    <row r="144" spans="2:7" x14ac:dyDescent="0.5">
      <c r="B144" s="160" t="s">
        <v>460</v>
      </c>
      <c r="C144" s="190">
        <v>7.4406024382182273E-2</v>
      </c>
      <c r="D144" s="190">
        <v>6.248682658114587E-2</v>
      </c>
      <c r="E144" s="190">
        <v>1.1907473695364901</v>
      </c>
      <c r="F144" s="190">
        <v>0.23937526086377436</v>
      </c>
      <c r="G144" s="193" t="s">
        <v>352</v>
      </c>
    </row>
    <row r="145" spans="2:7" x14ac:dyDescent="0.5">
      <c r="B145" s="160" t="s">
        <v>461</v>
      </c>
      <c r="C145" s="190">
        <v>2.9512337801088615E-2</v>
      </c>
      <c r="D145" s="190">
        <v>6.248682658114587E-2</v>
      </c>
      <c r="E145" s="190">
        <v>0.47229695306679831</v>
      </c>
      <c r="F145" s="190">
        <v>0.63876979511039322</v>
      </c>
      <c r="G145" s="193" t="s">
        <v>352</v>
      </c>
    </row>
    <row r="146" spans="2:7" x14ac:dyDescent="0.5">
      <c r="B146" s="160" t="s">
        <v>462</v>
      </c>
      <c r="C146" s="190">
        <v>1.9742427567268326E-2</v>
      </c>
      <c r="D146" s="190">
        <v>6.248682658114587E-2</v>
      </c>
      <c r="E146" s="190">
        <v>0.31594543438096762</v>
      </c>
      <c r="F146" s="190">
        <v>0.75335905446160167</v>
      </c>
      <c r="G146" s="193" t="s">
        <v>352</v>
      </c>
    </row>
    <row r="147" spans="2:7" x14ac:dyDescent="0.5">
      <c r="B147" s="160" t="s">
        <v>408</v>
      </c>
      <c r="C147" s="190">
        <v>0.20174980133829079</v>
      </c>
      <c r="D147" s="190">
        <v>6.248682658114587E-2</v>
      </c>
      <c r="E147" s="190">
        <v>3.2286773449168034</v>
      </c>
      <c r="F147" s="190">
        <v>2.1987461649816413E-3</v>
      </c>
      <c r="G147" s="193" t="s">
        <v>351</v>
      </c>
    </row>
    <row r="148" spans="2:7" x14ac:dyDescent="0.5">
      <c r="B148" s="160" t="s">
        <v>407</v>
      </c>
      <c r="C148" s="190">
        <v>0.17183190855922406</v>
      </c>
      <c r="D148" s="190">
        <v>6.248682658114587E-2</v>
      </c>
      <c r="E148" s="190">
        <v>2.749890144222348</v>
      </c>
      <c r="F148" s="190">
        <v>8.2764685456522078E-3</v>
      </c>
      <c r="G148" s="193" t="s">
        <v>351</v>
      </c>
    </row>
    <row r="149" spans="2:7" x14ac:dyDescent="0.5">
      <c r="B149" s="160" t="s">
        <v>404</v>
      </c>
      <c r="C149" s="190">
        <v>0.13616002927108475</v>
      </c>
      <c r="D149" s="190">
        <v>6.248682658114587E-2</v>
      </c>
      <c r="E149" s="190">
        <v>2.179019750575208</v>
      </c>
      <c r="F149" s="190">
        <v>3.4069366687429326E-2</v>
      </c>
      <c r="G149" s="193" t="s">
        <v>351</v>
      </c>
    </row>
    <row r="150" spans="2:7" x14ac:dyDescent="0.5">
      <c r="B150" s="160" t="s">
        <v>405</v>
      </c>
      <c r="C150" s="190">
        <v>0.12051387617389572</v>
      </c>
      <c r="D150" s="190">
        <v>6.248682658114587E-2</v>
      </c>
      <c r="E150" s="190">
        <v>1.9286285248842887</v>
      </c>
      <c r="F150" s="190">
        <v>5.9463993543255322E-2</v>
      </c>
      <c r="G150" s="193" t="s">
        <v>352</v>
      </c>
    </row>
    <row r="151" spans="2:7" x14ac:dyDescent="0.5">
      <c r="B151" s="160" t="s">
        <v>409</v>
      </c>
      <c r="C151" s="190">
        <v>5.4663596814913944E-2</v>
      </c>
      <c r="D151" s="190">
        <v>6.248682658114587E-2</v>
      </c>
      <c r="E151" s="190">
        <v>0.8748019351555224</v>
      </c>
      <c r="F151" s="190">
        <v>0.38586455877030096</v>
      </c>
      <c r="G151" s="193" t="s">
        <v>352</v>
      </c>
    </row>
    <row r="152" spans="2:7" x14ac:dyDescent="0.5">
      <c r="B152" s="160" t="s">
        <v>410</v>
      </c>
      <c r="C152" s="190">
        <v>9.7699102338202892E-3</v>
      </c>
      <c r="D152" s="190">
        <v>6.248682658114587E-2</v>
      </c>
      <c r="E152" s="190">
        <v>0.15635151868583066</v>
      </c>
      <c r="F152" s="190">
        <v>0.87638554333843899</v>
      </c>
      <c r="G152" s="199" t="s">
        <v>352</v>
      </c>
    </row>
    <row r="153" spans="2:7" x14ac:dyDescent="0.5">
      <c r="B153" s="160" t="s">
        <v>415</v>
      </c>
      <c r="C153" s="190">
        <v>0.1919798911044705</v>
      </c>
      <c r="D153" s="190">
        <v>6.248682658114587E-2</v>
      </c>
      <c r="E153" s="190">
        <v>3.0723258262309727</v>
      </c>
      <c r="F153" s="190">
        <v>3.4329898166077311E-3</v>
      </c>
      <c r="G153" s="193" t="s">
        <v>351</v>
      </c>
    </row>
    <row r="154" spans="2:7" x14ac:dyDescent="0.5">
      <c r="B154" s="160" t="s">
        <v>414</v>
      </c>
      <c r="C154" s="190">
        <v>0.16206199832540377</v>
      </c>
      <c r="D154" s="190">
        <v>6.248682658114587E-2</v>
      </c>
      <c r="E154" s="190">
        <v>2.5935386255365174</v>
      </c>
      <c r="F154" s="190">
        <v>1.2428124425235117E-2</v>
      </c>
      <c r="G154" s="193" t="s">
        <v>351</v>
      </c>
    </row>
    <row r="155" spans="2:7" x14ac:dyDescent="0.5">
      <c r="B155" s="160" t="s">
        <v>411</v>
      </c>
      <c r="C155" s="190">
        <v>0.12639011903726446</v>
      </c>
      <c r="D155" s="190">
        <v>6.248682658114587E-2</v>
      </c>
      <c r="E155" s="190">
        <v>2.0226682318893774</v>
      </c>
      <c r="F155" s="190">
        <v>4.8472004547576185E-2</v>
      </c>
      <c r="G155" s="193" t="s">
        <v>351</v>
      </c>
    </row>
    <row r="156" spans="2:7" x14ac:dyDescent="0.5">
      <c r="B156" s="160" t="s">
        <v>412</v>
      </c>
      <c r="C156" s="190">
        <v>0.11074396594007543</v>
      </c>
      <c r="D156" s="190">
        <v>6.248682658114587E-2</v>
      </c>
      <c r="E156" s="190">
        <v>1.7722770061984581</v>
      </c>
      <c r="F156" s="190">
        <v>8.2441437091756345E-2</v>
      </c>
      <c r="G156" s="193" t="s">
        <v>352</v>
      </c>
    </row>
    <row r="157" spans="2:7" x14ac:dyDescent="0.5">
      <c r="B157" s="160" t="s">
        <v>416</v>
      </c>
      <c r="C157" s="190">
        <v>4.4893686581093654E-2</v>
      </c>
      <c r="D157" s="190">
        <v>6.248682658114587E-2</v>
      </c>
      <c r="E157" s="190">
        <v>0.71845041646969177</v>
      </c>
      <c r="F157" s="190">
        <v>0.4758236500575001</v>
      </c>
      <c r="G157" s="193" t="s">
        <v>352</v>
      </c>
    </row>
    <row r="158" spans="2:7" x14ac:dyDescent="0.5">
      <c r="B158" s="160" t="s">
        <v>421</v>
      </c>
      <c r="C158" s="190">
        <v>0.14708620452337684</v>
      </c>
      <c r="D158" s="190">
        <v>6.248682658114587E-2</v>
      </c>
      <c r="E158" s="190">
        <v>2.3538754097612808</v>
      </c>
      <c r="F158" s="190">
        <v>2.254976948303241E-2</v>
      </c>
      <c r="G158" s="199" t="s">
        <v>351</v>
      </c>
    </row>
    <row r="159" spans="2:7" x14ac:dyDescent="0.5">
      <c r="B159" s="160" t="s">
        <v>420</v>
      </c>
      <c r="C159" s="190">
        <v>0.11716831174431011</v>
      </c>
      <c r="D159" s="190">
        <v>6.248682658114587E-2</v>
      </c>
      <c r="E159" s="190">
        <v>1.8750882090668255</v>
      </c>
      <c r="F159" s="190">
        <v>6.6626818263763279E-2</v>
      </c>
      <c r="G159" s="193" t="s">
        <v>352</v>
      </c>
    </row>
    <row r="160" spans="2:7" x14ac:dyDescent="0.5">
      <c r="B160" s="160" t="s">
        <v>417</v>
      </c>
      <c r="C160" s="190">
        <v>8.1496432456170803E-2</v>
      </c>
      <c r="D160" s="190">
        <v>6.248682658114587E-2</v>
      </c>
      <c r="E160" s="190">
        <v>1.3042178154196855</v>
      </c>
      <c r="F160" s="190">
        <v>0.19813143272163122</v>
      </c>
      <c r="G160" s="193" t="s">
        <v>352</v>
      </c>
    </row>
    <row r="161" spans="2:8" x14ac:dyDescent="0.5">
      <c r="B161" s="160" t="s">
        <v>418</v>
      </c>
      <c r="C161" s="190">
        <v>6.5850279358981773E-2</v>
      </c>
      <c r="D161" s="190">
        <v>6.248682658114587E-2</v>
      </c>
      <c r="E161" s="190">
        <v>1.0538265897287662</v>
      </c>
      <c r="F161" s="190">
        <v>0.2970283495161759</v>
      </c>
      <c r="G161" s="193" t="s">
        <v>352</v>
      </c>
    </row>
    <row r="162" spans="2:8" x14ac:dyDescent="0.5">
      <c r="B162" s="160" t="s">
        <v>463</v>
      </c>
      <c r="C162" s="190">
        <v>8.1235925164395067E-2</v>
      </c>
      <c r="D162" s="190">
        <v>6.248682658114587E-2</v>
      </c>
      <c r="E162" s="190">
        <v>1.3000488200325149</v>
      </c>
      <c r="F162" s="190">
        <v>0.19954553118313212</v>
      </c>
      <c r="G162" s="193" t="s">
        <v>352</v>
      </c>
    </row>
    <row r="163" spans="2:8" x14ac:dyDescent="0.5">
      <c r="B163" s="160" t="s">
        <v>464</v>
      </c>
      <c r="C163" s="190">
        <v>5.1318032385328338E-2</v>
      </c>
      <c r="D163" s="190">
        <v>6.248682658114587E-2</v>
      </c>
      <c r="E163" s="190">
        <v>0.82126161933805919</v>
      </c>
      <c r="F163" s="190">
        <v>0.41539601999308357</v>
      </c>
      <c r="G163" s="193" t="s">
        <v>352</v>
      </c>
    </row>
    <row r="164" spans="2:8" x14ac:dyDescent="0.5">
      <c r="B164" s="160" t="s">
        <v>431</v>
      </c>
      <c r="C164" s="190">
        <v>1.5646153097189031E-2</v>
      </c>
      <c r="D164" s="190">
        <v>6.248682658114587E-2</v>
      </c>
      <c r="E164" s="190">
        <v>0.25039122569091932</v>
      </c>
      <c r="F164" s="190">
        <v>0.80331084223682525</v>
      </c>
      <c r="G164" s="193" t="s">
        <v>352</v>
      </c>
    </row>
    <row r="165" spans="2:8" x14ac:dyDescent="0.5">
      <c r="B165" s="160" t="s">
        <v>465</v>
      </c>
      <c r="C165" s="190">
        <v>6.5589772067206037E-2</v>
      </c>
      <c r="D165" s="190">
        <v>6.248682658114587E-2</v>
      </c>
      <c r="E165" s="190">
        <v>1.0496575943415956</v>
      </c>
      <c r="F165" s="190">
        <v>0.2989227295743912</v>
      </c>
      <c r="G165" s="193" t="s">
        <v>352</v>
      </c>
    </row>
    <row r="166" spans="2:8" x14ac:dyDescent="0.5">
      <c r="B166" s="160" t="s">
        <v>466</v>
      </c>
      <c r="C166" s="190">
        <v>3.5671879288139308E-2</v>
      </c>
      <c r="D166" s="190">
        <v>6.248682658114587E-2</v>
      </c>
      <c r="E166" s="190">
        <v>0.57087039364713987</v>
      </c>
      <c r="F166" s="190">
        <v>0.57064448709747462</v>
      </c>
      <c r="G166" s="199" t="s">
        <v>352</v>
      </c>
    </row>
    <row r="167" spans="2:8" ht="14.7" thickBot="1" x14ac:dyDescent="0.55000000000000004">
      <c r="B167" s="167" t="s">
        <v>467</v>
      </c>
      <c r="C167" s="191">
        <v>2.9917892779066729E-2</v>
      </c>
      <c r="D167" s="191">
        <v>6.248682658114587E-2</v>
      </c>
      <c r="E167" s="191">
        <v>0.47878720069445557</v>
      </c>
      <c r="F167" s="191">
        <v>0.63417723879696575</v>
      </c>
      <c r="G167" s="206" t="s">
        <v>352</v>
      </c>
    </row>
    <row r="168" spans="2:8" x14ac:dyDescent="0.5">
      <c r="B168" s="194" t="s">
        <v>353</v>
      </c>
      <c r="E168" s="195">
        <v>4.6815073778700826</v>
      </c>
    </row>
    <row r="170" spans="2:8" ht="14.7" thickBot="1" x14ac:dyDescent="0.55000000000000004"/>
    <row r="171" spans="2:8" x14ac:dyDescent="0.5">
      <c r="B171" s="161" t="s">
        <v>354</v>
      </c>
      <c r="C171" s="162" t="s">
        <v>355</v>
      </c>
      <c r="D171" s="315" t="s">
        <v>360</v>
      </c>
      <c r="E171" s="316"/>
      <c r="F171" s="316"/>
      <c r="G171" s="316"/>
      <c r="H171" s="316"/>
    </row>
    <row r="172" spans="2:8" x14ac:dyDescent="0.5">
      <c r="B172" s="163" t="s">
        <v>439</v>
      </c>
      <c r="C172" s="168">
        <v>0.62834980785853589</v>
      </c>
      <c r="D172" s="196" t="s">
        <v>356</v>
      </c>
      <c r="E172" s="196"/>
      <c r="F172" s="196"/>
      <c r="G172" s="196"/>
      <c r="H172" s="196"/>
    </row>
    <row r="173" spans="2:8" x14ac:dyDescent="0.5">
      <c r="B173" s="160" t="s">
        <v>440</v>
      </c>
      <c r="C173" s="169">
        <v>0.58608783886224747</v>
      </c>
      <c r="D173" s="197" t="s">
        <v>356</v>
      </c>
      <c r="E173" s="197"/>
      <c r="F173" s="197"/>
      <c r="G173" s="197"/>
      <c r="H173" s="197"/>
    </row>
    <row r="174" spans="2:8" x14ac:dyDescent="0.5">
      <c r="B174" s="160" t="s">
        <v>402</v>
      </c>
      <c r="C174" s="169">
        <v>0.39315055012926942</v>
      </c>
      <c r="D174" s="197"/>
      <c r="E174" s="197" t="s">
        <v>357</v>
      </c>
      <c r="F174" s="197"/>
      <c r="G174" s="197"/>
      <c r="H174" s="197"/>
    </row>
    <row r="175" spans="2:8" x14ac:dyDescent="0.5">
      <c r="B175" s="160" t="s">
        <v>399</v>
      </c>
      <c r="C175" s="169">
        <v>0.37340812256200107</v>
      </c>
      <c r="D175" s="197"/>
      <c r="E175" s="197" t="s">
        <v>357</v>
      </c>
      <c r="F175" s="197" t="s">
        <v>358</v>
      </c>
      <c r="G175" s="197"/>
      <c r="H175" s="197"/>
    </row>
    <row r="176" spans="2:8" x14ac:dyDescent="0.5">
      <c r="B176" s="160" t="s">
        <v>395</v>
      </c>
      <c r="C176" s="169">
        <v>0.36363821232818078</v>
      </c>
      <c r="D176" s="197"/>
      <c r="E176" s="197" t="s">
        <v>357</v>
      </c>
      <c r="F176" s="197" t="s">
        <v>358</v>
      </c>
      <c r="G176" s="197"/>
      <c r="H176" s="197"/>
    </row>
    <row r="177" spans="2:8" x14ac:dyDescent="0.5">
      <c r="B177" s="160" t="s">
        <v>400</v>
      </c>
      <c r="C177" s="169">
        <v>0.31874452574708712</v>
      </c>
      <c r="D177" s="197"/>
      <c r="E177" s="197" t="s">
        <v>357</v>
      </c>
      <c r="F177" s="197" t="s">
        <v>358</v>
      </c>
      <c r="G177" s="197" t="s">
        <v>2</v>
      </c>
      <c r="H177" s="197"/>
    </row>
    <row r="178" spans="2:8" x14ac:dyDescent="0.5">
      <c r="B178" s="160" t="s">
        <v>398</v>
      </c>
      <c r="C178" s="169">
        <v>0.25289424638810531</v>
      </c>
      <c r="D178" s="197"/>
      <c r="E178" s="197"/>
      <c r="F178" s="197" t="s">
        <v>358</v>
      </c>
      <c r="G178" s="197" t="s">
        <v>2</v>
      </c>
      <c r="H178" s="197" t="s">
        <v>359</v>
      </c>
    </row>
    <row r="179" spans="2:8" x14ac:dyDescent="0.5">
      <c r="B179" s="160" t="s">
        <v>397</v>
      </c>
      <c r="C179" s="169">
        <v>0.23724809329091631</v>
      </c>
      <c r="D179" s="197"/>
      <c r="E179" s="197"/>
      <c r="F179" s="197"/>
      <c r="G179" s="197" t="s">
        <v>2</v>
      </c>
      <c r="H179" s="197" t="s">
        <v>359</v>
      </c>
    </row>
    <row r="180" spans="2:8" x14ac:dyDescent="0.5">
      <c r="B180" s="160" t="s">
        <v>401</v>
      </c>
      <c r="C180" s="169">
        <v>0.201576214002777</v>
      </c>
      <c r="D180" s="197"/>
      <c r="E180" s="197"/>
      <c r="F180" s="197"/>
      <c r="G180" s="197" t="s">
        <v>2</v>
      </c>
      <c r="H180" s="197" t="s">
        <v>359</v>
      </c>
    </row>
    <row r="181" spans="2:8" ht="14.7" thickBot="1" x14ac:dyDescent="0.55000000000000004">
      <c r="B181" s="167" t="s">
        <v>396</v>
      </c>
      <c r="C181" s="170">
        <v>0.17165832122371028</v>
      </c>
      <c r="D181" s="198"/>
      <c r="E181" s="198"/>
      <c r="F181" s="198"/>
      <c r="G181" s="198"/>
      <c r="H181" s="198" t="s">
        <v>359</v>
      </c>
    </row>
  </sheetData>
  <mergeCells count="1">
    <mergeCell ref="D171:H171"/>
  </mergeCells>
  <pageMargins left="0.7" right="0.7" top="0.75" bottom="0.75" header="0.3" footer="0.3"/>
  <ignoredErrors>
    <ignoredError sqref="A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457596-02F8-4C5C-BFAE-EDED0EBD610C}">
  <dimension ref="B1:U158"/>
  <sheetViews>
    <sheetView tabSelected="1" topLeftCell="A88" zoomScaleNormal="100" workbookViewId="0">
      <selection activeCell="I123" sqref="I123"/>
    </sheetView>
  </sheetViews>
  <sheetFormatPr defaultRowHeight="14.35" x14ac:dyDescent="0.5"/>
  <cols>
    <col min="1" max="1" width="4.76171875" customWidth="1"/>
    <col min="2" max="2" width="38.3515625" customWidth="1"/>
  </cols>
  <sheetData>
    <row r="1" spans="2:9" x14ac:dyDescent="0.5">
      <c r="B1" t="s">
        <v>372</v>
      </c>
    </row>
    <row r="2" spans="2:9" x14ac:dyDescent="0.5">
      <c r="B2" t="s">
        <v>373</v>
      </c>
    </row>
    <row r="3" spans="2:9" x14ac:dyDescent="0.5">
      <c r="B3" t="s">
        <v>374</v>
      </c>
    </row>
    <row r="4" spans="2:9" x14ac:dyDescent="0.5">
      <c r="B4" t="s">
        <v>213</v>
      </c>
    </row>
    <row r="5" spans="2:9" x14ac:dyDescent="0.5">
      <c r="B5" t="s">
        <v>214</v>
      </c>
    </row>
    <row r="6" spans="2:9" x14ac:dyDescent="0.5">
      <c r="B6" t="s">
        <v>215</v>
      </c>
    </row>
    <row r="7" spans="2:9" x14ac:dyDescent="0.5">
      <c r="B7" t="s">
        <v>216</v>
      </c>
    </row>
    <row r="8" spans="2:9" x14ac:dyDescent="0.5">
      <c r="B8" t="s">
        <v>217</v>
      </c>
    </row>
    <row r="9" spans="2:9" x14ac:dyDescent="0.5">
      <c r="B9" t="s">
        <v>218</v>
      </c>
    </row>
    <row r="13" spans="2:9" x14ac:dyDescent="0.5">
      <c r="B13" t="s">
        <v>219</v>
      </c>
    </row>
    <row r="14" spans="2:9" ht="14.7" thickBot="1" x14ac:dyDescent="0.55000000000000004"/>
    <row r="15" spans="2:9" x14ac:dyDescent="0.5">
      <c r="B15" s="161" t="s">
        <v>220</v>
      </c>
      <c r="C15" s="162" t="s">
        <v>221</v>
      </c>
      <c r="D15" s="162" t="s">
        <v>222</v>
      </c>
      <c r="E15" s="162" t="s">
        <v>223</v>
      </c>
      <c r="F15" s="162" t="s">
        <v>224</v>
      </c>
      <c r="G15" s="162" t="s">
        <v>225</v>
      </c>
      <c r="H15" s="162" t="s">
        <v>77</v>
      </c>
      <c r="I15" s="162" t="s">
        <v>226</v>
      </c>
    </row>
    <row r="16" spans="2:9" ht="14.7" thickBot="1" x14ac:dyDescent="0.55000000000000004">
      <c r="B16" s="164" t="s">
        <v>361</v>
      </c>
      <c r="C16" s="165">
        <v>48</v>
      </c>
      <c r="D16" s="165">
        <v>0</v>
      </c>
      <c r="E16" s="165">
        <v>48</v>
      </c>
      <c r="F16" s="166">
        <v>3</v>
      </c>
      <c r="G16" s="166">
        <v>46</v>
      </c>
      <c r="H16" s="166">
        <v>14</v>
      </c>
      <c r="I16" s="166">
        <v>11.516870142201848</v>
      </c>
    </row>
    <row r="18" spans="2:5" ht="14.7" thickBot="1" x14ac:dyDescent="0.55000000000000004"/>
    <row r="19" spans="2:5" x14ac:dyDescent="0.5">
      <c r="B19" s="162" t="s">
        <v>220</v>
      </c>
      <c r="C19" s="162" t="s">
        <v>227</v>
      </c>
      <c r="D19" s="162" t="s">
        <v>228</v>
      </c>
      <c r="E19" s="162" t="s">
        <v>229</v>
      </c>
    </row>
    <row r="20" spans="2:5" x14ac:dyDescent="0.5">
      <c r="B20" s="163" t="s">
        <v>5</v>
      </c>
      <c r="C20" s="163" t="s">
        <v>93</v>
      </c>
      <c r="D20" s="163">
        <v>4</v>
      </c>
      <c r="E20" s="168">
        <v>8.3333333333333339</v>
      </c>
    </row>
    <row r="21" spans="2:5" x14ac:dyDescent="0.5">
      <c r="B21" s="160"/>
      <c r="C21" s="160" t="s">
        <v>92</v>
      </c>
      <c r="D21" s="160">
        <v>4</v>
      </c>
      <c r="E21" s="169">
        <v>8.3333333333333339</v>
      </c>
    </row>
    <row r="22" spans="2:5" x14ac:dyDescent="0.5">
      <c r="B22" s="160"/>
      <c r="C22" s="160">
        <v>3729060</v>
      </c>
      <c r="D22" s="160">
        <v>4</v>
      </c>
      <c r="E22" s="169">
        <v>8.3333333333333339</v>
      </c>
    </row>
    <row r="23" spans="2:5" x14ac:dyDescent="0.5">
      <c r="B23" s="160"/>
      <c r="C23" s="160">
        <v>3729172</v>
      </c>
      <c r="D23" s="160">
        <v>4</v>
      </c>
      <c r="E23" s="169">
        <v>8.3333333333333339</v>
      </c>
    </row>
    <row r="24" spans="2:5" x14ac:dyDescent="0.5">
      <c r="B24" s="160"/>
      <c r="C24" s="160" t="s">
        <v>95</v>
      </c>
      <c r="D24" s="160">
        <v>4</v>
      </c>
      <c r="E24" s="169">
        <v>8.3333333333333339</v>
      </c>
    </row>
    <row r="25" spans="2:5" x14ac:dyDescent="0.5">
      <c r="B25" s="160"/>
      <c r="C25" s="160" t="s">
        <v>96</v>
      </c>
      <c r="D25" s="160">
        <v>4</v>
      </c>
      <c r="E25" s="169">
        <v>8.3333333333333339</v>
      </c>
    </row>
    <row r="26" spans="2:5" x14ac:dyDescent="0.5">
      <c r="B26" s="160"/>
      <c r="C26" s="160" t="s">
        <v>100</v>
      </c>
      <c r="D26" s="160">
        <v>4</v>
      </c>
      <c r="E26" s="169">
        <v>8.3333333333333339</v>
      </c>
    </row>
    <row r="27" spans="2:5" x14ac:dyDescent="0.5">
      <c r="B27" s="160"/>
      <c r="C27" s="160" t="s">
        <v>188</v>
      </c>
      <c r="D27" s="160">
        <v>4</v>
      </c>
      <c r="E27" s="169">
        <v>8.3333333333333339</v>
      </c>
    </row>
    <row r="28" spans="2:5" x14ac:dyDescent="0.5">
      <c r="B28" s="160"/>
      <c r="C28" s="160" t="s">
        <v>97</v>
      </c>
      <c r="D28" s="160">
        <v>4</v>
      </c>
      <c r="E28" s="169">
        <v>8.3333333333333339</v>
      </c>
    </row>
    <row r="29" spans="2:5" x14ac:dyDescent="0.5">
      <c r="B29" s="160"/>
      <c r="C29" s="160" t="s">
        <v>98</v>
      </c>
      <c r="D29" s="160">
        <v>4</v>
      </c>
      <c r="E29" s="169">
        <v>8.3333333333333339</v>
      </c>
    </row>
    <row r="30" spans="2:5" x14ac:dyDescent="0.5">
      <c r="B30" s="160"/>
      <c r="C30" s="160" t="s">
        <v>82</v>
      </c>
      <c r="D30" s="160">
        <v>4</v>
      </c>
      <c r="E30" s="169">
        <v>8.3333333333333339</v>
      </c>
    </row>
    <row r="31" spans="2:5" x14ac:dyDescent="0.5">
      <c r="B31" s="160"/>
      <c r="C31" s="160" t="s">
        <v>83</v>
      </c>
      <c r="D31" s="160">
        <v>4</v>
      </c>
      <c r="E31" s="169">
        <v>8.3333333333333339</v>
      </c>
    </row>
    <row r="32" spans="2:5" x14ac:dyDescent="0.5">
      <c r="B32" s="163" t="s">
        <v>367</v>
      </c>
      <c r="C32" s="163" t="s">
        <v>8</v>
      </c>
      <c r="D32" s="163">
        <v>24</v>
      </c>
      <c r="E32" s="168">
        <v>50</v>
      </c>
    </row>
    <row r="33" spans="2:21" x14ac:dyDescent="0.5">
      <c r="B33" s="160"/>
      <c r="C33" s="160" t="s">
        <v>7</v>
      </c>
      <c r="D33" s="160">
        <v>24</v>
      </c>
      <c r="E33" s="169">
        <v>50</v>
      </c>
    </row>
    <row r="34" spans="2:21" x14ac:dyDescent="0.5">
      <c r="B34" s="163" t="s">
        <v>366</v>
      </c>
      <c r="C34" s="163" t="s">
        <v>368</v>
      </c>
      <c r="D34" s="163">
        <v>12</v>
      </c>
      <c r="E34" s="168">
        <v>25</v>
      </c>
    </row>
    <row r="35" spans="2:21" x14ac:dyDescent="0.5">
      <c r="B35" s="160"/>
      <c r="C35" s="160" t="s">
        <v>369</v>
      </c>
      <c r="D35" s="160">
        <v>12</v>
      </c>
      <c r="E35" s="169">
        <v>25</v>
      </c>
    </row>
    <row r="36" spans="2:21" x14ac:dyDescent="0.5">
      <c r="B36" s="160"/>
      <c r="C36" s="160" t="s">
        <v>370</v>
      </c>
      <c r="D36" s="160">
        <v>12</v>
      </c>
      <c r="E36" s="169">
        <v>25</v>
      </c>
    </row>
    <row r="37" spans="2:21" ht="14.7" thickBot="1" x14ac:dyDescent="0.55000000000000004">
      <c r="B37" s="167"/>
      <c r="C37" s="167" t="s">
        <v>371</v>
      </c>
      <c r="D37" s="167">
        <v>12</v>
      </c>
      <c r="E37" s="170">
        <v>25</v>
      </c>
    </row>
    <row r="40" spans="2:21" x14ac:dyDescent="0.5">
      <c r="B40" t="s">
        <v>230</v>
      </c>
    </row>
    <row r="41" spans="2:21" ht="14.7" thickBot="1" x14ac:dyDescent="0.55000000000000004"/>
    <row r="42" spans="2:21" x14ac:dyDescent="0.5">
      <c r="B42" s="161" t="s">
        <v>231</v>
      </c>
      <c r="C42" s="172" t="s">
        <v>375</v>
      </c>
      <c r="D42" s="172" t="s">
        <v>376</v>
      </c>
      <c r="E42" s="172" t="s">
        <v>377</v>
      </c>
      <c r="F42" s="172" t="s">
        <v>378</v>
      </c>
      <c r="G42" s="172" t="s">
        <v>379</v>
      </c>
      <c r="H42" s="172" t="s">
        <v>380</v>
      </c>
      <c r="I42" s="172" t="s">
        <v>381</v>
      </c>
      <c r="J42" s="172" t="s">
        <v>382</v>
      </c>
      <c r="K42" s="172" t="s">
        <v>383</v>
      </c>
      <c r="L42" s="172" t="s">
        <v>384</v>
      </c>
      <c r="M42" s="172" t="s">
        <v>385</v>
      </c>
      <c r="N42" s="172" t="s">
        <v>386</v>
      </c>
      <c r="O42" s="172" t="s">
        <v>387</v>
      </c>
      <c r="P42" s="172" t="s">
        <v>388</v>
      </c>
      <c r="Q42" s="172" t="s">
        <v>389</v>
      </c>
      <c r="R42" s="172" t="s">
        <v>390</v>
      </c>
      <c r="S42" s="172" t="s">
        <v>391</v>
      </c>
      <c r="T42" s="172" t="s">
        <v>392</v>
      </c>
      <c r="U42" s="173" t="s">
        <v>361</v>
      </c>
    </row>
    <row r="43" spans="2:21" x14ac:dyDescent="0.5">
      <c r="B43" s="174" t="s">
        <v>375</v>
      </c>
      <c r="C43" s="181">
        <v>1</v>
      </c>
      <c r="D43" s="176">
        <v>-9.0909090909090898E-2</v>
      </c>
      <c r="E43" s="176">
        <v>-9.0909090909090925E-2</v>
      </c>
      <c r="F43" s="176">
        <v>-9.0909090909090925E-2</v>
      </c>
      <c r="G43" s="176">
        <v>-9.0909090909090898E-2</v>
      </c>
      <c r="H43" s="176">
        <v>-9.0909090909090925E-2</v>
      </c>
      <c r="I43" s="176">
        <v>-9.0909090909090898E-2</v>
      </c>
      <c r="J43" s="176">
        <v>-9.0909090909090925E-2</v>
      </c>
      <c r="K43" s="176">
        <v>-9.0909090909090925E-2</v>
      </c>
      <c r="L43" s="176">
        <v>-9.0909090909090912E-2</v>
      </c>
      <c r="M43" s="176">
        <v>-9.0909090909090925E-2</v>
      </c>
      <c r="N43" s="176">
        <v>-9.0909090909090925E-2</v>
      </c>
      <c r="O43" s="176">
        <v>-0.30151134457776352</v>
      </c>
      <c r="P43" s="176">
        <v>0.30151134457776352</v>
      </c>
      <c r="Q43" s="176">
        <v>-9.5712425915150391E-18</v>
      </c>
      <c r="R43" s="176">
        <v>4.9236340370943769E-18</v>
      </c>
      <c r="S43" s="176">
        <v>-4.7402068466851358E-18</v>
      </c>
      <c r="T43" s="176">
        <v>8.787990794526381E-18</v>
      </c>
      <c r="U43" s="177">
        <v>0.23149889915448499</v>
      </c>
    </row>
    <row r="44" spans="2:21" x14ac:dyDescent="0.5">
      <c r="B44" s="171" t="s">
        <v>376</v>
      </c>
      <c r="C44" s="178">
        <v>-9.0909090909090898E-2</v>
      </c>
      <c r="D44" s="182">
        <v>1</v>
      </c>
      <c r="E44" s="178">
        <v>-9.0909090909090912E-2</v>
      </c>
      <c r="F44" s="178">
        <v>-9.0909090909090912E-2</v>
      </c>
      <c r="G44" s="178">
        <v>-9.0909090909090939E-2</v>
      </c>
      <c r="H44" s="178">
        <v>-9.0909090909090939E-2</v>
      </c>
      <c r="I44" s="178">
        <v>-9.0909090909090939E-2</v>
      </c>
      <c r="J44" s="178">
        <v>-9.0909090909090925E-2</v>
      </c>
      <c r="K44" s="178">
        <v>-9.0909090909090925E-2</v>
      </c>
      <c r="L44" s="178">
        <v>-9.0909090909090912E-2</v>
      </c>
      <c r="M44" s="178">
        <v>-9.0909090909090912E-2</v>
      </c>
      <c r="N44" s="178">
        <v>-9.0909090909090912E-2</v>
      </c>
      <c r="O44" s="178">
        <v>-0.30151134457776357</v>
      </c>
      <c r="P44" s="178">
        <v>0.30151134457776357</v>
      </c>
      <c r="Q44" s="178">
        <v>-9.5715374905349923E-18</v>
      </c>
      <c r="R44" s="178">
        <v>4.9233391380744275E-18</v>
      </c>
      <c r="S44" s="178">
        <v>9.112379716471987E-20</v>
      </c>
      <c r="T44" s="178">
        <v>8.789170390606183E-18</v>
      </c>
      <c r="U44" s="179">
        <v>1.3228508523113421E-2</v>
      </c>
    </row>
    <row r="45" spans="2:21" x14ac:dyDescent="0.5">
      <c r="B45" s="171" t="s">
        <v>377</v>
      </c>
      <c r="C45" s="178">
        <v>-9.0909090909090925E-2</v>
      </c>
      <c r="D45" s="178">
        <v>-9.0909090909090912E-2</v>
      </c>
      <c r="E45" s="182">
        <v>1</v>
      </c>
      <c r="F45" s="178">
        <v>-9.0909090909090884E-2</v>
      </c>
      <c r="G45" s="178">
        <v>-9.0909090909090912E-2</v>
      </c>
      <c r="H45" s="178">
        <v>-9.0909090909090953E-2</v>
      </c>
      <c r="I45" s="178">
        <v>-9.0909090909090939E-2</v>
      </c>
      <c r="J45" s="178">
        <v>-9.0909090909090939E-2</v>
      </c>
      <c r="K45" s="178">
        <v>-9.0909090909090925E-2</v>
      </c>
      <c r="L45" s="178">
        <v>-9.0909090909090925E-2</v>
      </c>
      <c r="M45" s="178">
        <v>-9.0909090909090912E-2</v>
      </c>
      <c r="N45" s="178">
        <v>-9.0909090909090898E-2</v>
      </c>
      <c r="O45" s="178">
        <v>-0.30151134457776352</v>
      </c>
      <c r="P45" s="178">
        <v>0.30151134457776352</v>
      </c>
      <c r="Q45" s="178">
        <v>-1.9234198778234702E-17</v>
      </c>
      <c r="R45" s="178">
        <v>-1.9234198778234702E-17</v>
      </c>
      <c r="S45" s="178">
        <v>9.7552595799641843E-18</v>
      </c>
      <c r="T45" s="178">
        <v>8.7868111984465805E-18</v>
      </c>
      <c r="U45" s="179">
        <v>0.39685525569340285</v>
      </c>
    </row>
    <row r="46" spans="2:21" x14ac:dyDescent="0.5">
      <c r="B46" s="171" t="s">
        <v>378</v>
      </c>
      <c r="C46" s="178">
        <v>-9.0909090909090925E-2</v>
      </c>
      <c r="D46" s="178">
        <v>-9.0909090909090912E-2</v>
      </c>
      <c r="E46" s="178">
        <v>-9.0909090909090884E-2</v>
      </c>
      <c r="F46" s="182">
        <v>1</v>
      </c>
      <c r="G46" s="178">
        <v>-9.0909090909090912E-2</v>
      </c>
      <c r="H46" s="178">
        <v>-9.0909090909090953E-2</v>
      </c>
      <c r="I46" s="178">
        <v>-9.0909090909090939E-2</v>
      </c>
      <c r="J46" s="178">
        <v>-9.0909090909090939E-2</v>
      </c>
      <c r="K46" s="178">
        <v>-9.0909090909090925E-2</v>
      </c>
      <c r="L46" s="178">
        <v>-9.0909090909090925E-2</v>
      </c>
      <c r="M46" s="178">
        <v>-9.0909090909090898E-2</v>
      </c>
      <c r="N46" s="178">
        <v>-9.0909090909090884E-2</v>
      </c>
      <c r="O46" s="178">
        <v>-0.30151134457776352</v>
      </c>
      <c r="P46" s="178">
        <v>0.30151134457776352</v>
      </c>
      <c r="Q46" s="178">
        <v>9.2303393244522053E-20</v>
      </c>
      <c r="R46" s="178">
        <v>-9.5709476924950905E-18</v>
      </c>
      <c r="S46" s="178">
        <v>1.9418510665703799E-17</v>
      </c>
      <c r="T46" s="178">
        <v>8.7868111984465805E-18</v>
      </c>
      <c r="U46" s="179">
        <v>5.9528288354010382E-2</v>
      </c>
    </row>
    <row r="47" spans="2:21" x14ac:dyDescent="0.5">
      <c r="B47" s="171" t="s">
        <v>379</v>
      </c>
      <c r="C47" s="178">
        <v>-9.0909090909090898E-2</v>
      </c>
      <c r="D47" s="178">
        <v>-9.0909090909090939E-2</v>
      </c>
      <c r="E47" s="178">
        <v>-9.0909090909090912E-2</v>
      </c>
      <c r="F47" s="178">
        <v>-9.0909090909090912E-2</v>
      </c>
      <c r="G47" s="182">
        <v>1</v>
      </c>
      <c r="H47" s="178">
        <v>-9.0909090909090939E-2</v>
      </c>
      <c r="I47" s="178">
        <v>-9.0909090909090912E-2</v>
      </c>
      <c r="J47" s="178">
        <v>-9.0909090909090925E-2</v>
      </c>
      <c r="K47" s="178">
        <v>-9.0909090909090925E-2</v>
      </c>
      <c r="L47" s="178">
        <v>-9.0909090909090912E-2</v>
      </c>
      <c r="M47" s="178">
        <v>-9.0909090909090912E-2</v>
      </c>
      <c r="N47" s="178">
        <v>-9.0909090909090912E-2</v>
      </c>
      <c r="O47" s="178">
        <v>0.30151134457776363</v>
      </c>
      <c r="P47" s="178">
        <v>-0.30151134457776363</v>
      </c>
      <c r="Q47" s="178">
        <v>-7.1554298200801381E-18</v>
      </c>
      <c r="R47" s="178">
        <v>7.3394468085292802E-18</v>
      </c>
      <c r="S47" s="178">
        <v>-2.3243940752502333E-18</v>
      </c>
      <c r="T47" s="178">
        <v>8.7879907945263826E-18</v>
      </c>
      <c r="U47" s="179">
        <v>-0.11905657670802082</v>
      </c>
    </row>
    <row r="48" spans="2:21" x14ac:dyDescent="0.5">
      <c r="B48" s="171" t="s">
        <v>380</v>
      </c>
      <c r="C48" s="178">
        <v>-9.0909090909090925E-2</v>
      </c>
      <c r="D48" s="178">
        <v>-9.0909090909090939E-2</v>
      </c>
      <c r="E48" s="178">
        <v>-9.0909090909090953E-2</v>
      </c>
      <c r="F48" s="178">
        <v>-9.0909090909090953E-2</v>
      </c>
      <c r="G48" s="178">
        <v>-9.0909090909090939E-2</v>
      </c>
      <c r="H48" s="182">
        <v>1</v>
      </c>
      <c r="I48" s="178">
        <v>-9.0909090909090912E-2</v>
      </c>
      <c r="J48" s="178">
        <v>-9.0909090909090925E-2</v>
      </c>
      <c r="K48" s="178">
        <v>-9.0909090909090925E-2</v>
      </c>
      <c r="L48" s="178">
        <v>-9.0909090909090912E-2</v>
      </c>
      <c r="M48" s="178">
        <v>-9.0909090909090939E-2</v>
      </c>
      <c r="N48" s="178">
        <v>-9.0909090909090953E-2</v>
      </c>
      <c r="O48" s="178">
        <v>0.30151134457776363</v>
      </c>
      <c r="P48" s="178">
        <v>-0.30151134457776363</v>
      </c>
      <c r="Q48" s="178">
        <v>2.5078212656594743E-18</v>
      </c>
      <c r="R48" s="178">
        <v>7.3394468085292802E-18</v>
      </c>
      <c r="S48" s="178">
        <v>-1.1987645160989847E-17</v>
      </c>
      <c r="T48" s="178">
        <v>8.7879907945263826E-18</v>
      </c>
      <c r="U48" s="179">
        <v>-0.15874210227736107</v>
      </c>
    </row>
    <row r="49" spans="2:21" x14ac:dyDescent="0.5">
      <c r="B49" s="171" t="s">
        <v>381</v>
      </c>
      <c r="C49" s="178">
        <v>-9.0909090909090898E-2</v>
      </c>
      <c r="D49" s="178">
        <v>-9.0909090909090939E-2</v>
      </c>
      <c r="E49" s="178">
        <v>-9.0909090909090939E-2</v>
      </c>
      <c r="F49" s="178">
        <v>-9.0909090909090939E-2</v>
      </c>
      <c r="G49" s="178">
        <v>-9.0909090909090912E-2</v>
      </c>
      <c r="H49" s="178">
        <v>-9.0909090909090912E-2</v>
      </c>
      <c r="I49" s="182">
        <v>1</v>
      </c>
      <c r="J49" s="178">
        <v>-9.0909090909090925E-2</v>
      </c>
      <c r="K49" s="178">
        <v>-9.0909090909090925E-2</v>
      </c>
      <c r="L49" s="178">
        <v>-9.0909090909090912E-2</v>
      </c>
      <c r="M49" s="178">
        <v>-9.0909090909090912E-2</v>
      </c>
      <c r="N49" s="178">
        <v>-9.0909090909090939E-2</v>
      </c>
      <c r="O49" s="178">
        <v>0.30151134457776363</v>
      </c>
      <c r="P49" s="178">
        <v>-0.30151134457776363</v>
      </c>
      <c r="Q49" s="178">
        <v>9.2008494224571501E-20</v>
      </c>
      <c r="R49" s="178">
        <v>9.2008494224571501E-20</v>
      </c>
      <c r="S49" s="178">
        <v>-4.7402068466851366E-18</v>
      </c>
      <c r="T49" s="178">
        <v>8.7879907945263826E-18</v>
      </c>
      <c r="U49" s="179">
        <v>0.25795591620071179</v>
      </c>
    </row>
    <row r="50" spans="2:21" x14ac:dyDescent="0.5">
      <c r="B50" s="171" t="s">
        <v>382</v>
      </c>
      <c r="C50" s="178">
        <v>-9.0909090909090925E-2</v>
      </c>
      <c r="D50" s="178">
        <v>-9.0909090909090925E-2</v>
      </c>
      <c r="E50" s="178">
        <v>-9.0909090909090939E-2</v>
      </c>
      <c r="F50" s="178">
        <v>-9.0909090909090939E-2</v>
      </c>
      <c r="G50" s="178">
        <v>-9.0909090909090925E-2</v>
      </c>
      <c r="H50" s="178">
        <v>-9.0909090909090925E-2</v>
      </c>
      <c r="I50" s="178">
        <v>-9.0909090909090925E-2</v>
      </c>
      <c r="J50" s="182">
        <v>1</v>
      </c>
      <c r="K50" s="178">
        <v>-9.0909090909090925E-2</v>
      </c>
      <c r="L50" s="178">
        <v>-9.0909090909090912E-2</v>
      </c>
      <c r="M50" s="178">
        <v>-9.0909090909090925E-2</v>
      </c>
      <c r="N50" s="178">
        <v>-9.0909090909090939E-2</v>
      </c>
      <c r="O50" s="178">
        <v>0.30151134457776357</v>
      </c>
      <c r="P50" s="178">
        <v>-0.30151134457776357</v>
      </c>
      <c r="Q50" s="178">
        <v>-3.5317106629277828E-18</v>
      </c>
      <c r="R50" s="178">
        <v>6.1315404228118289E-18</v>
      </c>
      <c r="S50" s="178">
        <v>6.1309506247719279E-18</v>
      </c>
      <c r="T50" s="178">
        <v>3.9563652516565744E-18</v>
      </c>
      <c r="U50" s="179">
        <v>2.6457017046226848E-2</v>
      </c>
    </row>
    <row r="51" spans="2:21" x14ac:dyDescent="0.5">
      <c r="B51" s="171" t="s">
        <v>383</v>
      </c>
      <c r="C51" s="178">
        <v>-9.0909090909090925E-2</v>
      </c>
      <c r="D51" s="178">
        <v>-9.0909090909090925E-2</v>
      </c>
      <c r="E51" s="178">
        <v>-9.0909090909090925E-2</v>
      </c>
      <c r="F51" s="178">
        <v>-9.0909090909090925E-2</v>
      </c>
      <c r="G51" s="178">
        <v>-9.0909090909090925E-2</v>
      </c>
      <c r="H51" s="178">
        <v>-9.0909090909090925E-2</v>
      </c>
      <c r="I51" s="178">
        <v>-9.0909090909090925E-2</v>
      </c>
      <c r="J51" s="178">
        <v>-9.0909090909090925E-2</v>
      </c>
      <c r="K51" s="182">
        <v>1</v>
      </c>
      <c r="L51" s="178">
        <v>-9.0909090909090912E-2</v>
      </c>
      <c r="M51" s="178">
        <v>-9.0909090909090925E-2</v>
      </c>
      <c r="N51" s="178">
        <v>-9.0909090909090925E-2</v>
      </c>
      <c r="O51" s="178">
        <v>0.30151134457776363</v>
      </c>
      <c r="P51" s="178">
        <v>-0.30151134457776363</v>
      </c>
      <c r="Q51" s="178">
        <v>-5.9475234343626861E-18</v>
      </c>
      <c r="R51" s="178">
        <v>-5.9475234343626861E-18</v>
      </c>
      <c r="S51" s="178">
        <v>1.8210014481946441E-17</v>
      </c>
      <c r="T51" s="178">
        <v>-8.7526029121323163E-19</v>
      </c>
      <c r="U51" s="179">
        <v>-0.17197061080047446</v>
      </c>
    </row>
    <row r="52" spans="2:21" x14ac:dyDescent="0.5">
      <c r="B52" s="171" t="s">
        <v>384</v>
      </c>
      <c r="C52" s="178">
        <v>-9.0909090909090912E-2</v>
      </c>
      <c r="D52" s="178">
        <v>-9.0909090909090912E-2</v>
      </c>
      <c r="E52" s="178">
        <v>-9.0909090909090925E-2</v>
      </c>
      <c r="F52" s="178">
        <v>-9.0909090909090925E-2</v>
      </c>
      <c r="G52" s="178">
        <v>-9.0909090909090912E-2</v>
      </c>
      <c r="H52" s="178">
        <v>-9.0909090909090912E-2</v>
      </c>
      <c r="I52" s="178">
        <v>-9.0909090909090912E-2</v>
      </c>
      <c r="J52" s="178">
        <v>-9.0909090909090912E-2</v>
      </c>
      <c r="K52" s="178">
        <v>-9.0909090909090912E-2</v>
      </c>
      <c r="L52" s="182">
        <v>1</v>
      </c>
      <c r="M52" s="178">
        <v>-9.0909090909090912E-2</v>
      </c>
      <c r="N52" s="178">
        <v>-9.0909090909090925E-2</v>
      </c>
      <c r="O52" s="178">
        <v>0.30151134457776363</v>
      </c>
      <c r="P52" s="178">
        <v>-0.30151134457776363</v>
      </c>
      <c r="Q52" s="178">
        <v>-8.8540481749953031E-18</v>
      </c>
      <c r="R52" s="178">
        <v>8.092029107443082E-19</v>
      </c>
      <c r="S52" s="178">
        <v>2.4972049009412548E-17</v>
      </c>
      <c r="T52" s="178">
        <v>-2.4629966146269912E-18</v>
      </c>
      <c r="U52" s="179">
        <v>-0.17197061080047446</v>
      </c>
    </row>
    <row r="53" spans="2:21" x14ac:dyDescent="0.5">
      <c r="B53" s="171" t="s">
        <v>385</v>
      </c>
      <c r="C53" s="178">
        <v>-9.0909090909090925E-2</v>
      </c>
      <c r="D53" s="178">
        <v>-9.0909090909090912E-2</v>
      </c>
      <c r="E53" s="178">
        <v>-9.0909090909090912E-2</v>
      </c>
      <c r="F53" s="178">
        <v>-9.0909090909090898E-2</v>
      </c>
      <c r="G53" s="178">
        <v>-9.0909090909090912E-2</v>
      </c>
      <c r="H53" s="178">
        <v>-9.0909090909090939E-2</v>
      </c>
      <c r="I53" s="178">
        <v>-9.0909090909090912E-2</v>
      </c>
      <c r="J53" s="178">
        <v>-9.0909090909090925E-2</v>
      </c>
      <c r="K53" s="178">
        <v>-9.0909090909090925E-2</v>
      </c>
      <c r="L53" s="178">
        <v>-9.0909090909090912E-2</v>
      </c>
      <c r="M53" s="182">
        <v>1</v>
      </c>
      <c r="N53" s="178">
        <v>-9.0909090909090898E-2</v>
      </c>
      <c r="O53" s="178">
        <v>-0.30151134457776352</v>
      </c>
      <c r="P53" s="178">
        <v>0.30151134457776352</v>
      </c>
      <c r="Q53" s="178">
        <v>9.2008494224571501E-20</v>
      </c>
      <c r="R53" s="178">
        <v>9.2008494224571501E-20</v>
      </c>
      <c r="S53" s="178">
        <v>-4.7402068466851366E-18</v>
      </c>
      <c r="T53" s="178">
        <v>8.7879907945263826E-18</v>
      </c>
      <c r="U53" s="179">
        <v>-0.1851991193235879</v>
      </c>
    </row>
    <row r="54" spans="2:21" x14ac:dyDescent="0.5">
      <c r="B54" s="171" t="s">
        <v>386</v>
      </c>
      <c r="C54" s="178">
        <v>-9.0909090909090925E-2</v>
      </c>
      <c r="D54" s="178">
        <v>-9.0909090909090912E-2</v>
      </c>
      <c r="E54" s="178">
        <v>-9.0909090909090898E-2</v>
      </c>
      <c r="F54" s="178">
        <v>-9.0909090909090884E-2</v>
      </c>
      <c r="G54" s="178">
        <v>-9.0909090909090912E-2</v>
      </c>
      <c r="H54" s="178">
        <v>-9.0909090909090953E-2</v>
      </c>
      <c r="I54" s="178">
        <v>-9.0909090909090939E-2</v>
      </c>
      <c r="J54" s="178">
        <v>-9.0909090909090939E-2</v>
      </c>
      <c r="K54" s="178">
        <v>-9.0909090909090925E-2</v>
      </c>
      <c r="L54" s="178">
        <v>-9.0909090909090925E-2</v>
      </c>
      <c r="M54" s="178">
        <v>-9.0909090909090898E-2</v>
      </c>
      <c r="N54" s="182">
        <v>1</v>
      </c>
      <c r="O54" s="178">
        <v>-0.30151134457776352</v>
      </c>
      <c r="P54" s="178">
        <v>0.30151134457776352</v>
      </c>
      <c r="Q54" s="178">
        <v>9.2008494224571501E-20</v>
      </c>
      <c r="R54" s="178">
        <v>-9.5712425915150406E-18</v>
      </c>
      <c r="S54" s="178">
        <v>-4.7402068466851366E-18</v>
      </c>
      <c r="T54" s="178">
        <v>8.7879907945263826E-18</v>
      </c>
      <c r="U54" s="179">
        <v>-0.17858486506203117</v>
      </c>
    </row>
    <row r="55" spans="2:21" x14ac:dyDescent="0.5">
      <c r="B55" s="171" t="s">
        <v>387</v>
      </c>
      <c r="C55" s="178">
        <v>-0.30151134457776352</v>
      </c>
      <c r="D55" s="178">
        <v>-0.30151134457776357</v>
      </c>
      <c r="E55" s="178">
        <v>-0.30151134457776352</v>
      </c>
      <c r="F55" s="178">
        <v>-0.30151134457776352</v>
      </c>
      <c r="G55" s="178">
        <v>0.30151134457776363</v>
      </c>
      <c r="H55" s="178">
        <v>0.30151134457776363</v>
      </c>
      <c r="I55" s="178">
        <v>0.30151134457776363</v>
      </c>
      <c r="J55" s="178">
        <v>0.30151134457776357</v>
      </c>
      <c r="K55" s="178">
        <v>0.30151134457776363</v>
      </c>
      <c r="L55" s="178">
        <v>0.30151134457776363</v>
      </c>
      <c r="M55" s="178">
        <v>-0.30151134457776352</v>
      </c>
      <c r="N55" s="178">
        <v>-0.30151134457776352</v>
      </c>
      <c r="O55" s="182">
        <v>1</v>
      </c>
      <c r="P55" s="178">
        <v>-1</v>
      </c>
      <c r="Q55" s="178">
        <v>-1.1652066787948364E-17</v>
      </c>
      <c r="R55" s="178">
        <v>9.7141852829801176E-18</v>
      </c>
      <c r="S55" s="178">
        <v>2.0398615410977986E-17</v>
      </c>
      <c r="T55" s="178">
        <v>-1.5797776952345438E-17</v>
      </c>
      <c r="U55" s="179">
        <v>-0.18646449705553908</v>
      </c>
    </row>
    <row r="56" spans="2:21" x14ac:dyDescent="0.5">
      <c r="B56" s="171" t="s">
        <v>388</v>
      </c>
      <c r="C56" s="178">
        <v>0.30151134457776352</v>
      </c>
      <c r="D56" s="178">
        <v>0.30151134457776357</v>
      </c>
      <c r="E56" s="178">
        <v>0.30151134457776352</v>
      </c>
      <c r="F56" s="178">
        <v>0.30151134457776352</v>
      </c>
      <c r="G56" s="178">
        <v>-0.30151134457776363</v>
      </c>
      <c r="H56" s="178">
        <v>-0.30151134457776363</v>
      </c>
      <c r="I56" s="178">
        <v>-0.30151134457776363</v>
      </c>
      <c r="J56" s="178">
        <v>-0.30151134457776357</v>
      </c>
      <c r="K56" s="178">
        <v>-0.30151134457776363</v>
      </c>
      <c r="L56" s="178">
        <v>-0.30151134457776363</v>
      </c>
      <c r="M56" s="178">
        <v>0.30151134457776352</v>
      </c>
      <c r="N56" s="178">
        <v>0.30151134457776352</v>
      </c>
      <c r="O56" s="178">
        <v>-1</v>
      </c>
      <c r="P56" s="182">
        <v>1</v>
      </c>
      <c r="Q56" s="178">
        <v>1.1657283158082867E-17</v>
      </c>
      <c r="R56" s="178">
        <v>-9.7089689128456128E-18</v>
      </c>
      <c r="S56" s="178">
        <v>-2.0393399040843483E-17</v>
      </c>
      <c r="T56" s="178">
        <v>1.5784736027009177E-17</v>
      </c>
      <c r="U56" s="179">
        <v>0.18646449705553908</v>
      </c>
    </row>
    <row r="57" spans="2:21" x14ac:dyDescent="0.5">
      <c r="B57" s="171" t="s">
        <v>389</v>
      </c>
      <c r="C57" s="178">
        <v>-9.5712425915150391E-18</v>
      </c>
      <c r="D57" s="178">
        <v>-9.5715374905349923E-18</v>
      </c>
      <c r="E57" s="178">
        <v>-1.9234198778234702E-17</v>
      </c>
      <c r="F57" s="178">
        <v>9.2303393244522053E-20</v>
      </c>
      <c r="G57" s="178">
        <v>-7.1554298200801381E-18</v>
      </c>
      <c r="H57" s="178">
        <v>2.5078212656594743E-18</v>
      </c>
      <c r="I57" s="178">
        <v>9.2008494224571501E-20</v>
      </c>
      <c r="J57" s="178">
        <v>-3.5317106629277828E-18</v>
      </c>
      <c r="K57" s="178">
        <v>-5.9475234343626861E-18</v>
      </c>
      <c r="L57" s="178">
        <v>-8.8540481749953031E-18</v>
      </c>
      <c r="M57" s="178">
        <v>9.2008494224571501E-20</v>
      </c>
      <c r="N57" s="178">
        <v>9.2008494224571501E-20</v>
      </c>
      <c r="O57" s="178">
        <v>-1.1652066787948364E-17</v>
      </c>
      <c r="P57" s="178">
        <v>1.1657283158082867E-17</v>
      </c>
      <c r="Q57" s="182">
        <v>1</v>
      </c>
      <c r="R57" s="178">
        <v>-0.33333333333333315</v>
      </c>
      <c r="S57" s="178">
        <v>-0.33333333333333331</v>
      </c>
      <c r="T57" s="178">
        <v>-0.33333333333333331</v>
      </c>
      <c r="U57" s="179">
        <v>0.14776221431083647</v>
      </c>
    </row>
    <row r="58" spans="2:21" x14ac:dyDescent="0.5">
      <c r="B58" s="171" t="s">
        <v>390</v>
      </c>
      <c r="C58" s="178">
        <v>4.9236340370943769E-18</v>
      </c>
      <c r="D58" s="178">
        <v>4.9233391380744275E-18</v>
      </c>
      <c r="E58" s="178">
        <v>-1.9234198778234702E-17</v>
      </c>
      <c r="F58" s="178">
        <v>-9.5709476924950905E-18</v>
      </c>
      <c r="G58" s="178">
        <v>7.3394468085292802E-18</v>
      </c>
      <c r="H58" s="178">
        <v>7.3394468085292802E-18</v>
      </c>
      <c r="I58" s="178">
        <v>9.2008494224571501E-20</v>
      </c>
      <c r="J58" s="178">
        <v>6.1315404228118289E-18</v>
      </c>
      <c r="K58" s="178">
        <v>-5.9475234343626861E-18</v>
      </c>
      <c r="L58" s="178">
        <v>8.092029107443082E-19</v>
      </c>
      <c r="M58" s="178">
        <v>9.2008494224571501E-20</v>
      </c>
      <c r="N58" s="178">
        <v>-9.5712425915150406E-18</v>
      </c>
      <c r="O58" s="178">
        <v>9.7141852829801176E-18</v>
      </c>
      <c r="P58" s="178">
        <v>-9.7089689128456128E-18</v>
      </c>
      <c r="Q58" s="178">
        <v>-0.33333333333333315</v>
      </c>
      <c r="R58" s="182">
        <v>1</v>
      </c>
      <c r="S58" s="178">
        <v>-0.33333333333333331</v>
      </c>
      <c r="T58" s="178">
        <v>-0.33333333333333331</v>
      </c>
      <c r="U58" s="179">
        <v>0.15198399186257469</v>
      </c>
    </row>
    <row r="59" spans="2:21" x14ac:dyDescent="0.5">
      <c r="B59" s="171" t="s">
        <v>391</v>
      </c>
      <c r="C59" s="178">
        <v>-4.7402068466851358E-18</v>
      </c>
      <c r="D59" s="178">
        <v>9.112379716471987E-20</v>
      </c>
      <c r="E59" s="178">
        <v>9.7552595799641843E-18</v>
      </c>
      <c r="F59" s="178">
        <v>1.9418510665703799E-17</v>
      </c>
      <c r="G59" s="178">
        <v>-2.3243940752502333E-18</v>
      </c>
      <c r="H59" s="178">
        <v>-1.1987645160989847E-17</v>
      </c>
      <c r="I59" s="178">
        <v>-4.7402068466851366E-18</v>
      </c>
      <c r="J59" s="178">
        <v>6.1309506247719279E-18</v>
      </c>
      <c r="K59" s="178">
        <v>1.8210014481946441E-17</v>
      </c>
      <c r="L59" s="178">
        <v>2.4972049009412548E-17</v>
      </c>
      <c r="M59" s="178">
        <v>-4.7402068466851366E-18</v>
      </c>
      <c r="N59" s="178">
        <v>-4.7402068466851366E-18</v>
      </c>
      <c r="O59" s="178">
        <v>2.0398615410977986E-17</v>
      </c>
      <c r="P59" s="178">
        <v>-2.0393399040843483E-17</v>
      </c>
      <c r="Q59" s="178">
        <v>-0.33333333333333331</v>
      </c>
      <c r="R59" s="178">
        <v>-0.33333333333333331</v>
      </c>
      <c r="S59" s="182">
        <v>1</v>
      </c>
      <c r="T59" s="178">
        <v>-0.33333333333333337</v>
      </c>
      <c r="U59" s="179">
        <v>-0.1308751041038837</v>
      </c>
    </row>
    <row r="60" spans="2:21" x14ac:dyDescent="0.5">
      <c r="B60" s="171" t="s">
        <v>392</v>
      </c>
      <c r="C60" s="178">
        <v>8.787990794526381E-18</v>
      </c>
      <c r="D60" s="178">
        <v>8.789170390606183E-18</v>
      </c>
      <c r="E60" s="178">
        <v>8.7868111984465805E-18</v>
      </c>
      <c r="F60" s="178">
        <v>8.7868111984465805E-18</v>
      </c>
      <c r="G60" s="178">
        <v>8.7879907945263826E-18</v>
      </c>
      <c r="H60" s="178">
        <v>8.7879907945263826E-18</v>
      </c>
      <c r="I60" s="178">
        <v>8.7879907945263826E-18</v>
      </c>
      <c r="J60" s="178">
        <v>3.9563652516565744E-18</v>
      </c>
      <c r="K60" s="178">
        <v>-8.7526029121323163E-19</v>
      </c>
      <c r="L60" s="178">
        <v>-2.4629966146269912E-18</v>
      </c>
      <c r="M60" s="178">
        <v>8.7879907945263826E-18</v>
      </c>
      <c r="N60" s="178">
        <v>8.7879907945263826E-18</v>
      </c>
      <c r="O60" s="178">
        <v>-1.5797776952345438E-17</v>
      </c>
      <c r="P60" s="178">
        <v>1.5784736027009177E-17</v>
      </c>
      <c r="Q60" s="178">
        <v>-0.33333333333333331</v>
      </c>
      <c r="R60" s="178">
        <v>-0.33333333333333331</v>
      </c>
      <c r="S60" s="178">
        <v>-0.33333333333333337</v>
      </c>
      <c r="T60" s="182">
        <v>1</v>
      </c>
      <c r="U60" s="179">
        <v>-0.16887110206952738</v>
      </c>
    </row>
    <row r="61" spans="2:21" ht="14.7" thickBot="1" x14ac:dyDescent="0.55000000000000004">
      <c r="B61" s="175" t="s">
        <v>361</v>
      </c>
      <c r="C61" s="180">
        <v>0.23149889915448499</v>
      </c>
      <c r="D61" s="180">
        <v>1.3228508523113421E-2</v>
      </c>
      <c r="E61" s="180">
        <v>0.39685525569340285</v>
      </c>
      <c r="F61" s="180">
        <v>5.9528288354010382E-2</v>
      </c>
      <c r="G61" s="180">
        <v>-0.11905657670802082</v>
      </c>
      <c r="H61" s="180">
        <v>-0.15874210227736107</v>
      </c>
      <c r="I61" s="180">
        <v>0.25795591620071179</v>
      </c>
      <c r="J61" s="180">
        <v>2.6457017046226848E-2</v>
      </c>
      <c r="K61" s="180">
        <v>-0.17197061080047446</v>
      </c>
      <c r="L61" s="180">
        <v>-0.17197061080047446</v>
      </c>
      <c r="M61" s="180">
        <v>-0.1851991193235879</v>
      </c>
      <c r="N61" s="180">
        <v>-0.17858486506203117</v>
      </c>
      <c r="O61" s="180">
        <v>-0.18646449705553908</v>
      </c>
      <c r="P61" s="180">
        <v>0.18646449705553908</v>
      </c>
      <c r="Q61" s="180">
        <v>0.14776221431083647</v>
      </c>
      <c r="R61" s="180">
        <v>0.15198399186257469</v>
      </c>
      <c r="S61" s="180">
        <v>-0.1308751041038837</v>
      </c>
      <c r="T61" s="180">
        <v>-0.16887110206952738</v>
      </c>
      <c r="U61" s="183">
        <v>1</v>
      </c>
    </row>
    <row r="64" spans="2:21" x14ac:dyDescent="0.5">
      <c r="B64" s="89" t="s">
        <v>393</v>
      </c>
    </row>
    <row r="66" spans="2:3" x14ac:dyDescent="0.5">
      <c r="B66" t="s">
        <v>252</v>
      </c>
    </row>
    <row r="67" spans="2:3" ht="14.7" thickBot="1" x14ac:dyDescent="0.55000000000000004"/>
    <row r="68" spans="2:3" x14ac:dyDescent="0.5">
      <c r="B68" s="184" t="s">
        <v>221</v>
      </c>
      <c r="C68" s="185">
        <v>48</v>
      </c>
    </row>
    <row r="69" spans="2:3" x14ac:dyDescent="0.5">
      <c r="B69" s="160" t="s">
        <v>253</v>
      </c>
      <c r="C69" s="186">
        <v>48</v>
      </c>
    </row>
    <row r="70" spans="2:3" x14ac:dyDescent="0.5">
      <c r="B70" s="160" t="s">
        <v>254</v>
      </c>
      <c r="C70" s="169">
        <v>296.78171353081007</v>
      </c>
    </row>
    <row r="71" spans="2:3" x14ac:dyDescent="0.5">
      <c r="B71" s="160" t="s">
        <v>255</v>
      </c>
      <c r="C71" s="169">
        <v>300.78171353081007</v>
      </c>
    </row>
    <row r="72" spans="2:3" x14ac:dyDescent="0.5">
      <c r="B72" s="160" t="s">
        <v>256</v>
      </c>
      <c r="C72" s="169">
        <v>301.04838019747672</v>
      </c>
    </row>
    <row r="73" spans="2:3" x14ac:dyDescent="0.5">
      <c r="B73" s="160" t="s">
        <v>257</v>
      </c>
      <c r="C73" s="169">
        <v>304.52411555262586</v>
      </c>
    </row>
    <row r="74" spans="2:3" x14ac:dyDescent="0.5">
      <c r="B74" s="160" t="s">
        <v>258</v>
      </c>
      <c r="C74" s="169">
        <v>306.52411555262586</v>
      </c>
    </row>
    <row r="75" spans="2:3" x14ac:dyDescent="0.5">
      <c r="B75" s="160" t="s">
        <v>259</v>
      </c>
      <c r="C75" s="186">
        <v>7</v>
      </c>
    </row>
    <row r="76" spans="2:3" x14ac:dyDescent="0.5">
      <c r="B76" s="160" t="s">
        <v>260</v>
      </c>
      <c r="C76" s="186">
        <v>2</v>
      </c>
    </row>
    <row r="77" spans="2:3" x14ac:dyDescent="0.5">
      <c r="B77" s="160" t="s">
        <v>261</v>
      </c>
      <c r="C77" s="186">
        <v>1</v>
      </c>
    </row>
    <row r="78" spans="2:3" x14ac:dyDescent="0.5">
      <c r="B78" s="160" t="s">
        <v>262</v>
      </c>
      <c r="C78" s="186">
        <v>0</v>
      </c>
    </row>
    <row r="79" spans="2:3" x14ac:dyDescent="0.5">
      <c r="B79" s="160" t="s">
        <v>263</v>
      </c>
      <c r="C79" s="186">
        <v>12</v>
      </c>
    </row>
    <row r="80" spans="2:3" ht="14.7" thickBot="1" x14ac:dyDescent="0.55000000000000004">
      <c r="B80" s="167" t="s">
        <v>264</v>
      </c>
      <c r="C80" s="187">
        <v>4</v>
      </c>
    </row>
    <row r="83" spans="2:6" x14ac:dyDescent="0.5">
      <c r="B83" t="s">
        <v>265</v>
      </c>
    </row>
    <row r="84" spans="2:6" ht="14.7" thickBot="1" x14ac:dyDescent="0.55000000000000004"/>
    <row r="85" spans="2:6" x14ac:dyDescent="0.5">
      <c r="B85" s="161"/>
      <c r="C85" s="162" t="s">
        <v>266</v>
      </c>
      <c r="D85" s="162" t="s">
        <v>267</v>
      </c>
      <c r="E85" s="162" t="s">
        <v>268</v>
      </c>
      <c r="F85" s="162" t="s">
        <v>269</v>
      </c>
    </row>
    <row r="86" spans="2:6" x14ac:dyDescent="0.5">
      <c r="B86" s="163" t="s">
        <v>270</v>
      </c>
      <c r="C86" s="168">
        <v>50.041666665909922</v>
      </c>
      <c r="D86" s="168">
        <v>12.920631716603538</v>
      </c>
      <c r="E86" s="168">
        <v>3.8730046458645164</v>
      </c>
      <c r="F86" s="168">
        <v>1.0750177763218963E-4</v>
      </c>
    </row>
    <row r="87" spans="2:6" ht="14.7" thickBot="1" x14ac:dyDescent="0.55000000000000004">
      <c r="B87" s="167" t="s">
        <v>271</v>
      </c>
      <c r="C87" s="170">
        <v>30.799999999821441</v>
      </c>
      <c r="D87" s="170">
        <v>19.636427036148458</v>
      </c>
      <c r="E87" s="170">
        <v>1.5685134542614143</v>
      </c>
      <c r="F87" s="170">
        <v>0.11676135255101561</v>
      </c>
    </row>
    <row r="90" spans="2:6" x14ac:dyDescent="0.5">
      <c r="B90" t="s">
        <v>273</v>
      </c>
    </row>
    <row r="91" spans="2:6" ht="14.7" thickBot="1" x14ac:dyDescent="0.55000000000000004"/>
    <row r="92" spans="2:6" x14ac:dyDescent="0.5">
      <c r="B92" s="162" t="s">
        <v>274</v>
      </c>
      <c r="C92" s="162" t="s">
        <v>275</v>
      </c>
      <c r="D92" s="162" t="s">
        <v>276</v>
      </c>
    </row>
    <row r="93" spans="2:6" ht="14.7" thickBot="1" x14ac:dyDescent="0.55000000000000004">
      <c r="B93" s="165">
        <v>1</v>
      </c>
      <c r="C93" s="166">
        <v>6.7671452465577886</v>
      </c>
      <c r="D93" s="166">
        <v>9.2851241510181776E-3</v>
      </c>
    </row>
    <row r="96" spans="2:6" x14ac:dyDescent="0.5">
      <c r="B96" t="s">
        <v>277</v>
      </c>
    </row>
    <row r="97" spans="2:8" ht="14.7" thickBot="1" x14ac:dyDescent="0.55000000000000004"/>
    <row r="98" spans="2:8" x14ac:dyDescent="0.5">
      <c r="B98" s="161" t="s">
        <v>278</v>
      </c>
      <c r="C98" s="162" t="s">
        <v>279</v>
      </c>
      <c r="D98" s="162" t="s">
        <v>280</v>
      </c>
      <c r="E98" s="162" t="s">
        <v>62</v>
      </c>
      <c r="F98" s="162" t="s">
        <v>281</v>
      </c>
    </row>
    <row r="99" spans="2:8" ht="14.7" thickBot="1" x14ac:dyDescent="0.55000000000000004">
      <c r="B99" s="164" t="s">
        <v>394</v>
      </c>
      <c r="C99" s="165">
        <v>7</v>
      </c>
      <c r="D99" s="165">
        <v>40</v>
      </c>
      <c r="E99" s="166">
        <v>7.8504605769412992</v>
      </c>
      <c r="F99" s="189" t="s">
        <v>272</v>
      </c>
    </row>
    <row r="102" spans="2:8" x14ac:dyDescent="0.5">
      <c r="B102" t="s">
        <v>283</v>
      </c>
    </row>
    <row r="103" spans="2:8" ht="14.7" thickBot="1" x14ac:dyDescent="0.55000000000000004"/>
    <row r="104" spans="2:8" x14ac:dyDescent="0.5">
      <c r="B104" s="161" t="s">
        <v>284</v>
      </c>
      <c r="C104" s="162" t="s">
        <v>285</v>
      </c>
      <c r="D104" s="162" t="s">
        <v>267</v>
      </c>
      <c r="E104" s="162" t="s">
        <v>286</v>
      </c>
      <c r="F104" s="162" t="s">
        <v>287</v>
      </c>
      <c r="G104" s="162" t="s">
        <v>288</v>
      </c>
      <c r="H104" s="162" t="s">
        <v>289</v>
      </c>
    </row>
    <row r="105" spans="2:8" x14ac:dyDescent="0.5">
      <c r="B105" s="163" t="s">
        <v>290</v>
      </c>
      <c r="C105" s="168">
        <v>19.166666666666671</v>
      </c>
      <c r="D105" s="168">
        <v>3.6706417846141326</v>
      </c>
      <c r="E105" s="168">
        <v>5.2216118573612107</v>
      </c>
      <c r="F105" s="188" t="s">
        <v>272</v>
      </c>
      <c r="G105" s="168">
        <v>11.786346711742834</v>
      </c>
      <c r="H105" s="168">
        <v>26.546986621590509</v>
      </c>
    </row>
    <row r="106" spans="2:8" x14ac:dyDescent="0.5">
      <c r="B106" s="160" t="s">
        <v>395</v>
      </c>
      <c r="C106" s="169">
        <v>0</v>
      </c>
      <c r="D106" s="169"/>
      <c r="E106" s="169"/>
      <c r="F106" s="169"/>
      <c r="G106" s="169"/>
      <c r="H106" s="169"/>
    </row>
    <row r="107" spans="2:8" x14ac:dyDescent="0.5">
      <c r="B107" s="160" t="s">
        <v>396</v>
      </c>
      <c r="C107" s="169">
        <v>-6.8333333333333357</v>
      </c>
      <c r="D107" s="169">
        <v>4.0841835849167341</v>
      </c>
      <c r="E107" s="169">
        <v>-1.6731210023392349</v>
      </c>
      <c r="F107" s="169">
        <v>0.10080956363890307</v>
      </c>
      <c r="G107" s="169">
        <v>-15.045134805675049</v>
      </c>
      <c r="H107" s="169">
        <v>1.3784681390083779</v>
      </c>
    </row>
    <row r="108" spans="2:8" x14ac:dyDescent="0.5">
      <c r="B108" s="160" t="s">
        <v>397</v>
      </c>
      <c r="C108" s="169">
        <v>-12.333333333333336</v>
      </c>
      <c r="D108" s="169">
        <v>4.0841835849167341</v>
      </c>
      <c r="E108" s="169">
        <v>-3.0197793700756916</v>
      </c>
      <c r="F108" s="169">
        <v>4.0445078817896284E-3</v>
      </c>
      <c r="G108" s="169">
        <v>-20.545134805675048</v>
      </c>
      <c r="H108" s="169">
        <v>-4.1215318609916221</v>
      </c>
    </row>
    <row r="109" spans="2:8" x14ac:dyDescent="0.5">
      <c r="B109" s="160" t="s">
        <v>398</v>
      </c>
      <c r="C109" s="169">
        <v>-12.333333333333336</v>
      </c>
      <c r="D109" s="169">
        <v>4.0841835849167341</v>
      </c>
      <c r="E109" s="169">
        <v>-3.0197793700756916</v>
      </c>
      <c r="F109" s="169">
        <v>4.0445078817896284E-3</v>
      </c>
      <c r="G109" s="169">
        <v>-20.545134805675048</v>
      </c>
      <c r="H109" s="169">
        <v>-4.1215318609916221</v>
      </c>
    </row>
    <row r="110" spans="2:8" x14ac:dyDescent="0.5">
      <c r="B110" s="160" t="s">
        <v>399</v>
      </c>
      <c r="C110" s="169">
        <v>11.999999999999996</v>
      </c>
      <c r="D110" s="169">
        <v>5.1910713944146876</v>
      </c>
      <c r="E110" s="169">
        <v>2.311661521918452</v>
      </c>
      <c r="F110" s="169">
        <v>2.5133440850215051E-2</v>
      </c>
      <c r="G110" s="169">
        <v>1.5626514250939145</v>
      </c>
      <c r="H110" s="169">
        <v>22.437348574906078</v>
      </c>
    </row>
    <row r="111" spans="2:8" x14ac:dyDescent="0.5">
      <c r="B111" s="160" t="s">
        <v>400</v>
      </c>
      <c r="C111" s="169">
        <v>-1.0000000000000071</v>
      </c>
      <c r="D111" s="169">
        <v>5.1910713944146876</v>
      </c>
      <c r="E111" s="169">
        <v>-0.1926384601598724</v>
      </c>
      <c r="F111" s="169">
        <v>0.84805487181723838</v>
      </c>
      <c r="G111" s="169">
        <v>-11.437348574906089</v>
      </c>
      <c r="H111" s="169">
        <v>9.4373485749060748</v>
      </c>
    </row>
    <row r="112" spans="2:8" x14ac:dyDescent="0.5">
      <c r="B112" s="160" t="s">
        <v>401</v>
      </c>
      <c r="C112" s="169">
        <v>-9.8333333333333375</v>
      </c>
      <c r="D112" s="169">
        <v>5.1910713944146876</v>
      </c>
      <c r="E112" s="169">
        <v>-1.8942781915720661</v>
      </c>
      <c r="F112" s="169">
        <v>6.4221816969353793E-2</v>
      </c>
      <c r="G112" s="169">
        <v>-20.270681908239418</v>
      </c>
      <c r="H112" s="169">
        <v>0.60401524157274444</v>
      </c>
    </row>
    <row r="113" spans="2:8" ht="14.7" thickBot="1" x14ac:dyDescent="0.55000000000000004">
      <c r="B113" s="167" t="s">
        <v>402</v>
      </c>
      <c r="C113" s="170">
        <v>-11.000000000000005</v>
      </c>
      <c r="D113" s="170">
        <v>5.1910713944146876</v>
      </c>
      <c r="E113" s="170">
        <v>-2.1190230617585826</v>
      </c>
      <c r="F113" s="170">
        <v>3.9288911531382892E-2</v>
      </c>
      <c r="G113" s="170">
        <v>-21.437348574906089</v>
      </c>
      <c r="H113" s="170">
        <v>-0.56265142509392341</v>
      </c>
    </row>
    <row r="116" spans="2:8" x14ac:dyDescent="0.5">
      <c r="B116" t="s">
        <v>403</v>
      </c>
    </row>
    <row r="117" spans="2:8" ht="14.7" thickBot="1" x14ac:dyDescent="0.55000000000000004"/>
    <row r="118" spans="2:8" x14ac:dyDescent="0.5">
      <c r="B118" s="161" t="s">
        <v>302</v>
      </c>
      <c r="C118" s="162" t="s">
        <v>303</v>
      </c>
      <c r="D118" s="162" t="s">
        <v>304</v>
      </c>
      <c r="E118" s="162" t="s">
        <v>286</v>
      </c>
      <c r="F118" s="162" t="s">
        <v>287</v>
      </c>
      <c r="G118" s="162" t="s">
        <v>305</v>
      </c>
    </row>
    <row r="119" spans="2:8" x14ac:dyDescent="0.5">
      <c r="B119" s="163" t="s">
        <v>404</v>
      </c>
      <c r="C119" s="188">
        <v>24.333333333333332</v>
      </c>
      <c r="D119" s="188">
        <v>4.0841835849167341</v>
      </c>
      <c r="E119" s="188">
        <v>5.9579430815006873</v>
      </c>
      <c r="F119" s="188" t="s">
        <v>272</v>
      </c>
      <c r="G119" s="192" t="s">
        <v>351</v>
      </c>
    </row>
    <row r="120" spans="2:8" x14ac:dyDescent="0.5">
      <c r="B120" s="160" t="s">
        <v>405</v>
      </c>
      <c r="C120" s="190">
        <v>24.333333333333332</v>
      </c>
      <c r="D120" s="190">
        <v>4.0841835849167341</v>
      </c>
      <c r="E120" s="190">
        <v>5.9579430815006873</v>
      </c>
      <c r="F120" s="190" t="s">
        <v>272</v>
      </c>
      <c r="G120" s="193" t="s">
        <v>351</v>
      </c>
    </row>
    <row r="121" spans="2:8" x14ac:dyDescent="0.5">
      <c r="B121" s="160" t="s">
        <v>406</v>
      </c>
      <c r="C121" s="190">
        <v>23</v>
      </c>
      <c r="D121" s="190">
        <v>4.0841835849167341</v>
      </c>
      <c r="E121" s="190">
        <v>5.6314804468979105</v>
      </c>
      <c r="F121" s="190" t="s">
        <v>272</v>
      </c>
      <c r="G121" s="193" t="s">
        <v>351</v>
      </c>
    </row>
    <row r="122" spans="2:8" x14ac:dyDescent="0.5">
      <c r="B122" s="160" t="s">
        <v>407</v>
      </c>
      <c r="C122" s="190">
        <v>21.833333333333336</v>
      </c>
      <c r="D122" s="190">
        <v>4.0841835849167341</v>
      </c>
      <c r="E122" s="190">
        <v>5.3458256416204808</v>
      </c>
      <c r="F122" s="190" t="s">
        <v>272</v>
      </c>
      <c r="G122" s="193" t="s">
        <v>351</v>
      </c>
    </row>
    <row r="123" spans="2:8" x14ac:dyDescent="0.5">
      <c r="B123" s="160" t="s">
        <v>408</v>
      </c>
      <c r="C123" s="190">
        <v>18.833333333333332</v>
      </c>
      <c r="D123" s="190">
        <v>4.0841835849167341</v>
      </c>
      <c r="E123" s="190">
        <v>4.6112847137642312</v>
      </c>
      <c r="F123" s="190" t="s">
        <v>272</v>
      </c>
      <c r="G123" s="193" t="s">
        <v>351</v>
      </c>
    </row>
    <row r="124" spans="2:8" x14ac:dyDescent="0.5">
      <c r="B124" s="160" t="s">
        <v>409</v>
      </c>
      <c r="C124" s="190">
        <v>13.000000000000004</v>
      </c>
      <c r="D124" s="190">
        <v>4.0841835849167341</v>
      </c>
      <c r="E124" s="190">
        <v>3.1830106873770809</v>
      </c>
      <c r="F124" s="190">
        <v>2.8194102726274988E-3</v>
      </c>
      <c r="G124" s="193" t="s">
        <v>351</v>
      </c>
    </row>
    <row r="125" spans="2:8" x14ac:dyDescent="0.5">
      <c r="B125" s="160" t="s">
        <v>410</v>
      </c>
      <c r="C125" s="190">
        <v>11.999999999999996</v>
      </c>
      <c r="D125" s="190">
        <v>4.0841835849167341</v>
      </c>
      <c r="E125" s="190">
        <v>2.9381637114249961</v>
      </c>
      <c r="F125" s="190">
        <v>5.4574496895463129E-3</v>
      </c>
      <c r="G125" s="199" t="s">
        <v>351</v>
      </c>
    </row>
    <row r="126" spans="2:8" x14ac:dyDescent="0.5">
      <c r="B126" s="160" t="s">
        <v>411</v>
      </c>
      <c r="C126" s="190">
        <v>12.333333333333336</v>
      </c>
      <c r="D126" s="190">
        <v>4.0841835849167341</v>
      </c>
      <c r="E126" s="190">
        <v>3.0197793700756916</v>
      </c>
      <c r="F126" s="190">
        <v>4.3914152467388595E-3</v>
      </c>
      <c r="G126" s="193" t="s">
        <v>351</v>
      </c>
    </row>
    <row r="127" spans="2:8" x14ac:dyDescent="0.5">
      <c r="B127" s="160" t="s">
        <v>412</v>
      </c>
      <c r="C127" s="190">
        <v>12.333333333333336</v>
      </c>
      <c r="D127" s="190">
        <v>4.0841835849167341</v>
      </c>
      <c r="E127" s="190">
        <v>3.0197793700756916</v>
      </c>
      <c r="F127" s="190">
        <v>4.3914152467388595E-3</v>
      </c>
      <c r="G127" s="193" t="s">
        <v>351</v>
      </c>
    </row>
    <row r="128" spans="2:8" x14ac:dyDescent="0.5">
      <c r="B128" s="160" t="s">
        <v>413</v>
      </c>
      <c r="C128" s="190">
        <v>11.000000000000005</v>
      </c>
      <c r="D128" s="190">
        <v>4.0841835849167341</v>
      </c>
      <c r="E128" s="190">
        <v>2.6933167354729148</v>
      </c>
      <c r="F128" s="190">
        <v>1.0286292560149493E-2</v>
      </c>
      <c r="G128" s="193" t="s">
        <v>351</v>
      </c>
    </row>
    <row r="129" spans="2:7" x14ac:dyDescent="0.5">
      <c r="B129" s="160" t="s">
        <v>414</v>
      </c>
      <c r="C129" s="190">
        <v>9.8333333333333375</v>
      </c>
      <c r="D129" s="190">
        <v>4.0841835849167341</v>
      </c>
      <c r="E129" s="190">
        <v>2.4076619301954847</v>
      </c>
      <c r="F129" s="190">
        <v>2.075861129038787E-2</v>
      </c>
      <c r="G129" s="193" t="s">
        <v>351</v>
      </c>
    </row>
    <row r="130" spans="2:7" x14ac:dyDescent="0.5">
      <c r="B130" s="160" t="s">
        <v>415</v>
      </c>
      <c r="C130" s="190">
        <v>6.8333333333333357</v>
      </c>
      <c r="D130" s="190">
        <v>4.0841835849167341</v>
      </c>
      <c r="E130" s="190">
        <v>1.6731210023392349</v>
      </c>
      <c r="F130" s="190">
        <v>0.10210795468354859</v>
      </c>
      <c r="G130" s="193" t="s">
        <v>352</v>
      </c>
    </row>
    <row r="131" spans="2:7" x14ac:dyDescent="0.5">
      <c r="B131" s="160" t="s">
        <v>416</v>
      </c>
      <c r="C131" s="190">
        <v>1.0000000000000071</v>
      </c>
      <c r="D131" s="190">
        <v>4.0841835849167341</v>
      </c>
      <c r="E131" s="190">
        <v>0.24484697595208479</v>
      </c>
      <c r="F131" s="190">
        <v>0.8078266785328414</v>
      </c>
      <c r="G131" s="193" t="s">
        <v>352</v>
      </c>
    </row>
    <row r="132" spans="2:7" x14ac:dyDescent="0.5">
      <c r="B132" s="160" t="s">
        <v>417</v>
      </c>
      <c r="C132" s="190">
        <v>11.333333333333329</v>
      </c>
      <c r="D132" s="190">
        <v>4.0841835849167341</v>
      </c>
      <c r="E132" s="190">
        <v>2.7749323941236068</v>
      </c>
      <c r="F132" s="190">
        <v>8.3533640902580791E-3</v>
      </c>
      <c r="G132" s="193" t="s">
        <v>351</v>
      </c>
    </row>
    <row r="133" spans="2:7" x14ac:dyDescent="0.5">
      <c r="B133" s="160" t="s">
        <v>418</v>
      </c>
      <c r="C133" s="190">
        <v>11.333333333333329</v>
      </c>
      <c r="D133" s="190">
        <v>4.0841835849167341</v>
      </c>
      <c r="E133" s="190">
        <v>2.7749323941236068</v>
      </c>
      <c r="F133" s="190">
        <v>8.3533640902580791E-3</v>
      </c>
      <c r="G133" s="193" t="s">
        <v>351</v>
      </c>
    </row>
    <row r="134" spans="2:7" x14ac:dyDescent="0.5">
      <c r="B134" s="160" t="s">
        <v>419</v>
      </c>
      <c r="C134" s="190">
        <v>9.9999999999999982</v>
      </c>
      <c r="D134" s="190">
        <v>4.0841835849167341</v>
      </c>
      <c r="E134" s="190">
        <v>2.4484697595208305</v>
      </c>
      <c r="F134" s="190">
        <v>1.8826495332051375E-2</v>
      </c>
      <c r="G134" s="193" t="s">
        <v>351</v>
      </c>
    </row>
    <row r="135" spans="2:7" x14ac:dyDescent="0.5">
      <c r="B135" s="160" t="s">
        <v>420</v>
      </c>
      <c r="C135" s="190">
        <v>8.8333333333333304</v>
      </c>
      <c r="D135" s="190">
        <v>4.0841835849167341</v>
      </c>
      <c r="E135" s="190">
        <v>2.1628149542433999</v>
      </c>
      <c r="F135" s="190">
        <v>3.6589358877646416E-2</v>
      </c>
      <c r="G135" s="193" t="s">
        <v>351</v>
      </c>
    </row>
    <row r="136" spans="2:7" x14ac:dyDescent="0.5">
      <c r="B136" s="160" t="s">
        <v>421</v>
      </c>
      <c r="C136" s="190">
        <v>5.8333333333333286</v>
      </c>
      <c r="D136" s="190">
        <v>4.0841835849167341</v>
      </c>
      <c r="E136" s="190">
        <v>1.4282740263871501</v>
      </c>
      <c r="F136" s="190">
        <v>0.16097513806892511</v>
      </c>
      <c r="G136" s="199" t="s">
        <v>352</v>
      </c>
    </row>
    <row r="137" spans="2:7" x14ac:dyDescent="0.5">
      <c r="B137" s="160" t="s">
        <v>422</v>
      </c>
      <c r="C137" s="190">
        <v>5.5</v>
      </c>
      <c r="D137" s="190">
        <v>4.0841835849167341</v>
      </c>
      <c r="E137" s="190">
        <v>1.346658367736457</v>
      </c>
      <c r="F137" s="190">
        <v>0.18567149482726708</v>
      </c>
      <c r="G137" s="193" t="s">
        <v>352</v>
      </c>
    </row>
    <row r="138" spans="2:7" x14ac:dyDescent="0.5">
      <c r="B138" s="160" t="s">
        <v>423</v>
      </c>
      <c r="C138" s="190">
        <v>5.5</v>
      </c>
      <c r="D138" s="190">
        <v>4.0841835849167341</v>
      </c>
      <c r="E138" s="190">
        <v>1.346658367736457</v>
      </c>
      <c r="F138" s="190">
        <v>0.18567149482726708</v>
      </c>
      <c r="G138" s="193" t="s">
        <v>352</v>
      </c>
    </row>
    <row r="139" spans="2:7" x14ac:dyDescent="0.5">
      <c r="B139" s="160" t="s">
        <v>424</v>
      </c>
      <c r="C139" s="190">
        <v>4.1666666666666696</v>
      </c>
      <c r="D139" s="190">
        <v>4.0841835849167341</v>
      </c>
      <c r="E139" s="190">
        <v>1.0201957331336802</v>
      </c>
      <c r="F139" s="190">
        <v>0.31376659813907198</v>
      </c>
      <c r="G139" s="193" t="s">
        <v>352</v>
      </c>
    </row>
    <row r="140" spans="2:7" x14ac:dyDescent="0.5">
      <c r="B140" s="160" t="s">
        <v>425</v>
      </c>
      <c r="C140" s="190">
        <v>3.0000000000000018</v>
      </c>
      <c r="D140" s="190">
        <v>4.0841835849167341</v>
      </c>
      <c r="E140" s="190">
        <v>0.73454092785624969</v>
      </c>
      <c r="F140" s="190">
        <v>0.46690365824729507</v>
      </c>
      <c r="G140" s="193" t="s">
        <v>352</v>
      </c>
    </row>
    <row r="141" spans="2:7" x14ac:dyDescent="0.5">
      <c r="B141" s="160" t="s">
        <v>426</v>
      </c>
      <c r="C141" s="190">
        <v>2.4999999999999982</v>
      </c>
      <c r="D141" s="190">
        <v>4.0841835849167341</v>
      </c>
      <c r="E141" s="190">
        <v>0.61211743988020728</v>
      </c>
      <c r="F141" s="190">
        <v>0.54392413225065339</v>
      </c>
      <c r="G141" s="199" t="s">
        <v>352</v>
      </c>
    </row>
    <row r="142" spans="2:7" x14ac:dyDescent="0.5">
      <c r="B142" s="160" t="s">
        <v>427</v>
      </c>
      <c r="C142" s="190">
        <v>2.4999999999999982</v>
      </c>
      <c r="D142" s="190">
        <v>4.0841835849167341</v>
      </c>
      <c r="E142" s="190">
        <v>0.61211743988020728</v>
      </c>
      <c r="F142" s="190">
        <v>0.54392413225065339</v>
      </c>
      <c r="G142" s="193" t="s">
        <v>352</v>
      </c>
    </row>
    <row r="143" spans="2:7" x14ac:dyDescent="0.5">
      <c r="B143" s="160" t="s">
        <v>428</v>
      </c>
      <c r="C143" s="190">
        <v>1.1666666666666679</v>
      </c>
      <c r="D143" s="190">
        <v>4.0841835849167341</v>
      </c>
      <c r="E143" s="190">
        <v>0.28565480527743053</v>
      </c>
      <c r="F143" s="190">
        <v>0.7766166083669348</v>
      </c>
      <c r="G143" s="193" t="s">
        <v>352</v>
      </c>
    </row>
    <row r="144" spans="2:7" x14ac:dyDescent="0.5">
      <c r="B144" s="160" t="s">
        <v>429</v>
      </c>
      <c r="C144" s="190">
        <v>1.3333333333333304</v>
      </c>
      <c r="D144" s="190">
        <v>4.0841835849167341</v>
      </c>
      <c r="E144" s="190">
        <v>0.32646263460277669</v>
      </c>
      <c r="F144" s="190">
        <v>0.74577641911113757</v>
      </c>
      <c r="G144" s="193" t="s">
        <v>352</v>
      </c>
    </row>
    <row r="145" spans="2:7" x14ac:dyDescent="0.5">
      <c r="B145" s="160" t="s">
        <v>430</v>
      </c>
      <c r="C145" s="190">
        <v>1.3333333333333304</v>
      </c>
      <c r="D145" s="190">
        <v>4.0841835849167341</v>
      </c>
      <c r="E145" s="190">
        <v>0.32646263460277669</v>
      </c>
      <c r="F145" s="190">
        <v>0.74577641911113757</v>
      </c>
      <c r="G145" s="199" t="s">
        <v>352</v>
      </c>
    </row>
    <row r="146" spans="2:7" ht="14.7" thickBot="1" x14ac:dyDescent="0.55000000000000004">
      <c r="B146" s="167" t="s">
        <v>431</v>
      </c>
      <c r="C146" s="191">
        <v>0</v>
      </c>
      <c r="D146" s="191">
        <v>4.0841835849167341</v>
      </c>
      <c r="E146" s="191">
        <v>0</v>
      </c>
      <c r="F146" s="191">
        <v>1</v>
      </c>
      <c r="G146" s="206" t="s">
        <v>352</v>
      </c>
    </row>
    <row r="147" spans="2:7" x14ac:dyDescent="0.5">
      <c r="B147" s="194" t="s">
        <v>353</v>
      </c>
      <c r="E147" s="195">
        <v>4.5206187930371575</v>
      </c>
    </row>
    <row r="149" spans="2:7" ht="14.7" thickBot="1" x14ac:dyDescent="0.55000000000000004"/>
    <row r="150" spans="2:7" x14ac:dyDescent="0.5">
      <c r="B150" s="161" t="s">
        <v>354</v>
      </c>
      <c r="C150" s="162" t="s">
        <v>355</v>
      </c>
      <c r="D150" s="315" t="s">
        <v>360</v>
      </c>
      <c r="E150" s="316"/>
      <c r="F150" s="316"/>
    </row>
    <row r="151" spans="2:7" x14ac:dyDescent="0.5">
      <c r="B151" s="163" t="s">
        <v>399</v>
      </c>
      <c r="C151" s="168">
        <v>31.166666666666668</v>
      </c>
      <c r="D151" s="196" t="s">
        <v>356</v>
      </c>
      <c r="E151" s="196"/>
      <c r="F151" s="196"/>
    </row>
    <row r="152" spans="2:7" x14ac:dyDescent="0.5">
      <c r="B152" s="160" t="s">
        <v>395</v>
      </c>
      <c r="C152" s="169">
        <v>19.166666666666671</v>
      </c>
      <c r="D152" s="197"/>
      <c r="E152" s="197" t="s">
        <v>357</v>
      </c>
      <c r="F152" s="197"/>
    </row>
    <row r="153" spans="2:7" x14ac:dyDescent="0.5">
      <c r="B153" s="160" t="s">
        <v>400</v>
      </c>
      <c r="C153" s="169">
        <v>18.166666666666664</v>
      </c>
      <c r="D153" s="197"/>
      <c r="E153" s="197" t="s">
        <v>357</v>
      </c>
      <c r="F153" s="197"/>
    </row>
    <row r="154" spans="2:7" x14ac:dyDescent="0.5">
      <c r="B154" s="160" t="s">
        <v>396</v>
      </c>
      <c r="C154" s="169">
        <v>12.333333333333336</v>
      </c>
      <c r="D154" s="197"/>
      <c r="E154" s="197" t="s">
        <v>357</v>
      </c>
      <c r="F154" s="197" t="s">
        <v>358</v>
      </c>
    </row>
    <row r="155" spans="2:7" x14ac:dyDescent="0.5">
      <c r="B155" s="160" t="s">
        <v>401</v>
      </c>
      <c r="C155" s="169">
        <v>9.3333333333333339</v>
      </c>
      <c r="D155" s="197"/>
      <c r="E155" s="197"/>
      <c r="F155" s="197" t="s">
        <v>358</v>
      </c>
    </row>
    <row r="156" spans="2:7" x14ac:dyDescent="0.5">
      <c r="B156" s="160" t="s">
        <v>402</v>
      </c>
      <c r="C156" s="169">
        <v>8.1666666666666661</v>
      </c>
      <c r="D156" s="197"/>
      <c r="E156" s="197"/>
      <c r="F156" s="197" t="s">
        <v>358</v>
      </c>
    </row>
    <row r="157" spans="2:7" x14ac:dyDescent="0.5">
      <c r="B157" s="160" t="s">
        <v>397</v>
      </c>
      <c r="C157" s="169">
        <v>6.8333333333333357</v>
      </c>
      <c r="D157" s="197"/>
      <c r="E157" s="197"/>
      <c r="F157" s="197" t="s">
        <v>358</v>
      </c>
    </row>
    <row r="158" spans="2:7" ht="14.7" thickBot="1" x14ac:dyDescent="0.55000000000000004">
      <c r="B158" s="167" t="s">
        <v>398</v>
      </c>
      <c r="C158" s="170">
        <v>6.8333333333333357</v>
      </c>
      <c r="D158" s="198"/>
      <c r="E158" s="198"/>
      <c r="F158" s="198" t="s">
        <v>358</v>
      </c>
    </row>
  </sheetData>
  <mergeCells count="1">
    <mergeCell ref="D150:F150"/>
  </mergeCells>
  <pageMargins left="0.7" right="0.7" top="0.75" bottom="0.75" header="0.3" footer="0.3"/>
  <ignoredErrors>
    <ignoredError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Behaviour</vt:lpstr>
      <vt:lpstr>Nonpar. test(2 samples)</vt:lpstr>
      <vt:lpstr>Tests for two proportions</vt:lpstr>
      <vt:lpstr>BehaviouRepeated measures ANOVA</vt:lpstr>
      <vt:lpstr>Gains (SD)</vt:lpstr>
      <vt:lpstr>repANOVA Tau</vt:lpstr>
      <vt:lpstr>RepANOVA Left-RightSlope</vt:lpstr>
      <vt:lpstr>RepANOVA phaseVOR</vt:lpstr>
      <vt:lpstr>RepANOV gainVOR</vt:lpstr>
      <vt:lpstr>RepANOVA  OVAR</vt:lpstr>
      <vt:lpstr>RepANOVA Slope</vt:lpstr>
      <vt:lpstr>RepANOVA 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2020-04-03T20:51:24Z</dcterms:modified>
</cp:coreProperties>
</file>