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eM\OneDrive\Desktop\Leti\revision\"/>
    </mc:Choice>
  </mc:AlternateContent>
  <xr:revisionPtr revIDLastSave="0" documentId="13_ncr:1_{D430643C-B5F3-43EC-B3BC-8DB2678F84BC}" xr6:coauthVersionLast="47" xr6:coauthVersionMax="47" xr10:uidLastSave="{00000000-0000-0000-0000-000000000000}"/>
  <bookViews>
    <workbookView xWindow="-96" yWindow="-96" windowWidth="23232" windowHeight="12552" xr2:uid="{164076CF-0365-4548-A179-79FA7438AB03}"/>
  </bookViews>
  <sheets>
    <sheet name="OxCap" sheetId="10" r:id="rId1"/>
    <sheet name="Averaging methods" sheetId="2" r:id="rId2"/>
    <sheet name="HHbR vs HHbB vs StO2" sheetId="9" r:id="rId3"/>
    <sheet name="Fold of incr. TA vs VL 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" l="1"/>
  <c r="M15" i="1"/>
  <c r="M17" i="1"/>
  <c r="M16" i="1"/>
  <c r="J7" i="1"/>
  <c r="K7" i="1"/>
  <c r="G7" i="1"/>
  <c r="O12" i="9"/>
  <c r="O9" i="9"/>
  <c r="Q36" i="9" l="1"/>
  <c r="O32" i="2"/>
  <c r="O28" i="2"/>
  <c r="T13" i="2"/>
  <c r="S12" i="2"/>
  <c r="R13" i="2"/>
  <c r="Q12" i="2"/>
  <c r="P13" i="2"/>
  <c r="O12" i="2"/>
  <c r="O29" i="1"/>
  <c r="N29" i="1"/>
  <c r="M29" i="1"/>
  <c r="J29" i="1"/>
  <c r="I29" i="1"/>
  <c r="H29" i="1"/>
  <c r="AI18" i="9"/>
  <c r="AH18" i="9"/>
  <c r="AE18" i="9"/>
  <c r="AD18" i="9"/>
  <c r="AC18" i="9"/>
  <c r="Y18" i="9"/>
  <c r="Z12" i="9"/>
  <c r="Y12" i="9"/>
  <c r="X12" i="9"/>
  <c r="AJ11" i="2"/>
  <c r="AI11" i="2"/>
  <c r="AH11" i="2"/>
  <c r="AE11" i="2"/>
  <c r="AD11" i="2"/>
  <c r="AC11" i="2"/>
  <c r="Z11" i="2"/>
  <c r="Y11" i="2"/>
  <c r="X11" i="2"/>
  <c r="W15" i="2"/>
  <c r="W12" i="2"/>
  <c r="P7" i="9"/>
  <c r="P8" i="9"/>
  <c r="R8" i="9"/>
  <c r="Q37" i="9"/>
  <c r="Q35" i="9"/>
  <c r="Q34" i="9"/>
  <c r="Q33" i="9"/>
  <c r="Q30" i="9"/>
  <c r="S29" i="9"/>
  <c r="Q29" i="9"/>
  <c r="O29" i="9"/>
  <c r="Q28" i="9"/>
  <c r="R13" i="9"/>
  <c r="Q12" i="9"/>
  <c r="R11" i="9"/>
  <c r="Q10" i="9"/>
  <c r="R9" i="9"/>
  <c r="Q9" i="9"/>
  <c r="Q8" i="9"/>
  <c r="R6" i="9"/>
  <c r="Q6" i="9"/>
  <c r="T5" i="9"/>
  <c r="S5" i="9"/>
  <c r="R5" i="9"/>
  <c r="Q5" i="9"/>
  <c r="P5" i="9"/>
  <c r="O5" i="9"/>
  <c r="J17" i="9"/>
  <c r="H17" i="9"/>
  <c r="I4" i="2"/>
  <c r="G4" i="2"/>
  <c r="H4" i="2"/>
  <c r="L38" i="9"/>
  <c r="L37" i="9"/>
  <c r="L36" i="9"/>
  <c r="K39" i="9"/>
  <c r="K38" i="9"/>
  <c r="K37" i="9"/>
  <c r="K36" i="9"/>
  <c r="J39" i="9"/>
  <c r="J38" i="9"/>
  <c r="J37" i="9"/>
  <c r="J36" i="9"/>
  <c r="I39" i="9"/>
  <c r="I38" i="9"/>
  <c r="I37" i="9"/>
  <c r="I36" i="9"/>
  <c r="H39" i="9"/>
  <c r="H38" i="9"/>
  <c r="H37" i="9"/>
  <c r="H36" i="9"/>
  <c r="G39" i="9"/>
  <c r="G38" i="9"/>
  <c r="G37" i="9"/>
  <c r="G36" i="9"/>
  <c r="J41" i="9"/>
  <c r="I41" i="9"/>
  <c r="C43" i="9"/>
  <c r="E41" i="9"/>
  <c r="D41" i="9"/>
  <c r="O28" i="9" s="1"/>
  <c r="C41" i="9"/>
  <c r="W9" i="2"/>
  <c r="D49" i="2"/>
  <c r="C48" i="2"/>
  <c r="C46" i="2"/>
  <c r="C41" i="2"/>
  <c r="P5" i="2" s="1"/>
  <c r="C43" i="2"/>
  <c r="C44" i="2"/>
  <c r="D44" i="2"/>
  <c r="E44" i="2"/>
  <c r="E43" i="2"/>
  <c r="D43" i="2"/>
  <c r="E40" i="2"/>
  <c r="D40" i="2"/>
  <c r="C40" i="2"/>
  <c r="E39" i="2"/>
  <c r="D39" i="2"/>
  <c r="S28" i="2" s="1"/>
  <c r="C39" i="2"/>
  <c r="Q28" i="2" s="1"/>
  <c r="O29" i="2" l="1"/>
  <c r="Q29" i="2"/>
  <c r="S29" i="2"/>
  <c r="Q5" i="2"/>
  <c r="O5" i="2"/>
  <c r="R5" i="2"/>
  <c r="S5" i="2"/>
  <c r="T5" i="2"/>
  <c r="H27" i="1" l="1"/>
  <c r="L28" i="1"/>
  <c r="L29" i="1"/>
  <c r="L30" i="1"/>
  <c r="L31" i="1"/>
  <c r="L32" i="1"/>
  <c r="L33" i="1"/>
  <c r="L34" i="1"/>
  <c r="L35" i="1"/>
  <c r="M27" i="1" s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27" i="1"/>
  <c r="M62" i="1" l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28" i="1"/>
  <c r="H62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28" i="1"/>
  <c r="I27" i="1" s="1"/>
  <c r="D46" i="1"/>
  <c r="D45" i="1"/>
  <c r="C46" i="1"/>
  <c r="C45" i="1"/>
  <c r="N27" i="1" l="1"/>
  <c r="O27" i="1" s="1"/>
  <c r="N61" i="1"/>
  <c r="O61" i="1" s="1"/>
  <c r="N53" i="1"/>
  <c r="O53" i="1" s="1"/>
  <c r="I57" i="1"/>
  <c r="J57" i="1" s="1"/>
  <c r="I49" i="1"/>
  <c r="J49" i="1" s="1"/>
  <c r="N58" i="1"/>
  <c r="O58" i="1" s="1"/>
  <c r="N42" i="1"/>
  <c r="N34" i="1"/>
  <c r="N57" i="1"/>
  <c r="O57" i="1" s="1"/>
  <c r="N60" i="1"/>
  <c r="O60" i="1" s="1"/>
  <c r="N41" i="1"/>
  <c r="O41" i="1" s="1"/>
  <c r="N56" i="1"/>
  <c r="O56" i="1" s="1"/>
  <c r="N55" i="1"/>
  <c r="O55" i="1" s="1"/>
  <c r="N47" i="1"/>
  <c r="O47" i="1" s="1"/>
  <c r="N59" i="1"/>
  <c r="O59" i="1" s="1"/>
  <c r="N28" i="1"/>
  <c r="O28" i="1" s="1"/>
  <c r="N54" i="1"/>
  <c r="O54" i="1" s="1"/>
  <c r="N46" i="1"/>
  <c r="O46" i="1" s="1"/>
  <c r="N49" i="1"/>
  <c r="O49" i="1" s="1"/>
  <c r="N50" i="1"/>
  <c r="O50" i="1" s="1"/>
  <c r="N62" i="1"/>
  <c r="O62" i="1" s="1"/>
  <c r="N35" i="1"/>
  <c r="O35" i="1" s="1"/>
  <c r="I58" i="1"/>
  <c r="J58" i="1" s="1"/>
  <c r="I50" i="1"/>
  <c r="J50" i="1" s="1"/>
  <c r="I42" i="1"/>
  <c r="J42" i="1" s="1"/>
  <c r="I34" i="1"/>
  <c r="J34" i="1" s="1"/>
  <c r="I48" i="1"/>
  <c r="J48" i="1" s="1"/>
  <c r="J27" i="1"/>
  <c r="I55" i="1"/>
  <c r="J55" i="1" s="1"/>
  <c r="I47" i="1"/>
  <c r="J47" i="1" s="1"/>
  <c r="I39" i="1"/>
  <c r="J39" i="1" s="1"/>
  <c r="I31" i="1"/>
  <c r="J31" i="1" s="1"/>
  <c r="I33" i="1"/>
  <c r="J33" i="1" s="1"/>
  <c r="I40" i="1"/>
  <c r="J40" i="1" s="1"/>
  <c r="I43" i="1"/>
  <c r="I54" i="1"/>
  <c r="J54" i="1" s="1"/>
  <c r="I46" i="1"/>
  <c r="J46" i="1" s="1"/>
  <c r="I38" i="1"/>
  <c r="J38" i="1" s="1"/>
  <c r="I30" i="1"/>
  <c r="J30" i="1" s="1"/>
  <c r="I56" i="1"/>
  <c r="J56" i="1" s="1"/>
  <c r="I53" i="1"/>
  <c r="J53" i="1" s="1"/>
  <c r="I45" i="1"/>
  <c r="J45" i="1" s="1"/>
  <c r="I37" i="1"/>
  <c r="J37" i="1" s="1"/>
  <c r="I41" i="1"/>
  <c r="J41" i="1" s="1"/>
  <c r="I32" i="1"/>
  <c r="J32" i="1" s="1"/>
  <c r="I60" i="1"/>
  <c r="J60" i="1" s="1"/>
  <c r="I52" i="1"/>
  <c r="J52" i="1" s="1"/>
  <c r="I44" i="1"/>
  <c r="J44" i="1" s="1"/>
  <c r="I36" i="1"/>
  <c r="J36" i="1" s="1"/>
  <c r="I62" i="1"/>
  <c r="J62" i="1" s="1"/>
  <c r="I35" i="1"/>
  <c r="J35" i="1" s="1"/>
  <c r="I51" i="1"/>
  <c r="J51" i="1" s="1"/>
  <c r="I28" i="1"/>
  <c r="J28" i="1" s="1"/>
  <c r="I59" i="1"/>
  <c r="J59" i="1" s="1"/>
  <c r="I61" i="1"/>
  <c r="J61" i="1" s="1"/>
  <c r="N33" i="1"/>
  <c r="O33" i="1" s="1"/>
  <c r="N48" i="1"/>
  <c r="O48" i="1" s="1"/>
  <c r="N40" i="1"/>
  <c r="O40" i="1" s="1"/>
  <c r="N32" i="1"/>
  <c r="O32" i="1" s="1"/>
  <c r="N39" i="1"/>
  <c r="O39" i="1" s="1"/>
  <c r="N31" i="1"/>
  <c r="O31" i="1" s="1"/>
  <c r="N38" i="1"/>
  <c r="O38" i="1" s="1"/>
  <c r="N30" i="1"/>
  <c r="O30" i="1" s="1"/>
  <c r="N45" i="1"/>
  <c r="O45" i="1" s="1"/>
  <c r="N37" i="1"/>
  <c r="O37" i="1" s="1"/>
  <c r="N52" i="1"/>
  <c r="O52" i="1" s="1"/>
  <c r="N44" i="1"/>
  <c r="O44" i="1" s="1"/>
  <c r="N36" i="1"/>
  <c r="O36" i="1" s="1"/>
  <c r="N51" i="1"/>
  <c r="O51" i="1" s="1"/>
  <c r="N43" i="1"/>
  <c r="O43" i="1" s="1"/>
  <c r="O42" i="1"/>
  <c r="O34" i="1"/>
  <c r="J43" i="1"/>
  <c r="W10" i="9" l="1"/>
  <c r="AB10" i="9"/>
  <c r="AG10" i="9"/>
  <c r="W11" i="9"/>
  <c r="AB11" i="9"/>
  <c r="AG11" i="9"/>
  <c r="W12" i="9"/>
  <c r="AB12" i="9"/>
  <c r="AG12" i="9"/>
  <c r="W13" i="9"/>
  <c r="AB13" i="9"/>
  <c r="AG13" i="9"/>
  <c r="W14" i="9"/>
  <c r="AB14" i="9"/>
  <c r="AG14" i="9"/>
  <c r="W15" i="9"/>
  <c r="AB15" i="9"/>
  <c r="AG15" i="9"/>
  <c r="W16" i="9"/>
  <c r="AB16" i="9"/>
  <c r="AG16" i="9"/>
  <c r="W17" i="9"/>
  <c r="AB17" i="9"/>
  <c r="AG17" i="9"/>
  <c r="W18" i="9"/>
  <c r="AB18" i="9"/>
  <c r="AG18" i="9"/>
  <c r="W19" i="9"/>
  <c r="AB19" i="9"/>
  <c r="AG19" i="9"/>
  <c r="W20" i="9"/>
  <c r="AB20" i="9"/>
  <c r="AG20" i="9"/>
  <c r="W21" i="9"/>
  <c r="AB21" i="9"/>
  <c r="AG21" i="9"/>
  <c r="W22" i="9"/>
  <c r="AB22" i="9"/>
  <c r="AG22" i="9"/>
  <c r="W23" i="9"/>
  <c r="AB23" i="9"/>
  <c r="AG23" i="9"/>
  <c r="W24" i="9"/>
  <c r="AB24" i="9"/>
  <c r="AG24" i="9"/>
  <c r="W25" i="9"/>
  <c r="AB25" i="9"/>
  <c r="AG25" i="9"/>
  <c r="W26" i="9"/>
  <c r="AB26" i="9"/>
  <c r="AG26" i="9"/>
  <c r="W27" i="9"/>
  <c r="AB27" i="9"/>
  <c r="AG27" i="9"/>
  <c r="W28" i="9"/>
  <c r="AB28" i="9"/>
  <c r="AG28" i="9"/>
  <c r="W29" i="9"/>
  <c r="AB29" i="9"/>
  <c r="AG29" i="9"/>
  <c r="W30" i="9"/>
  <c r="AB30" i="9"/>
  <c r="AG30" i="9"/>
  <c r="W31" i="9"/>
  <c r="AB31" i="9"/>
  <c r="AG31" i="9"/>
  <c r="W32" i="9"/>
  <c r="AB32" i="9"/>
  <c r="AG32" i="9"/>
  <c r="W33" i="9"/>
  <c r="AB33" i="9"/>
  <c r="AG33" i="9"/>
  <c r="W34" i="9"/>
  <c r="AB34" i="9"/>
  <c r="AG34" i="9"/>
  <c r="W35" i="9"/>
  <c r="AB35" i="9"/>
  <c r="AG35" i="9"/>
  <c r="W36" i="9"/>
  <c r="AB36" i="9"/>
  <c r="AG36" i="9"/>
  <c r="W37" i="9"/>
  <c r="AB37" i="9"/>
  <c r="AG37" i="9"/>
  <c r="W38" i="9"/>
  <c r="AB38" i="9"/>
  <c r="AG38" i="9"/>
  <c r="W39" i="9"/>
  <c r="AB39" i="9"/>
  <c r="AG39" i="9"/>
  <c r="W40" i="9"/>
  <c r="AB40" i="9"/>
  <c r="AG40" i="9"/>
  <c r="W41" i="9"/>
  <c r="AB41" i="9"/>
  <c r="AG41" i="9"/>
  <c r="W42" i="9"/>
  <c r="AB42" i="9"/>
  <c r="AG42" i="9"/>
  <c r="W43" i="9"/>
  <c r="AB43" i="9"/>
  <c r="AG43" i="9"/>
  <c r="W44" i="9"/>
  <c r="AB44" i="9"/>
  <c r="AG44" i="9"/>
  <c r="AH31" i="9" l="1"/>
  <c r="X29" i="9"/>
  <c r="AC26" i="9"/>
  <c r="AH42" i="9"/>
  <c r="AH44" i="9"/>
  <c r="X42" i="9"/>
  <c r="X39" i="9"/>
  <c r="AH25" i="9"/>
  <c r="AG9" i="9"/>
  <c r="AH9" i="9" s="1"/>
  <c r="E45" i="9"/>
  <c r="E46" i="9"/>
  <c r="X19" i="9"/>
  <c r="AH38" i="9"/>
  <c r="AH30" i="9"/>
  <c r="X28" i="9"/>
  <c r="AH22" i="9"/>
  <c r="AH14" i="9"/>
  <c r="AB9" i="9"/>
  <c r="AC9" i="9" s="1"/>
  <c r="D45" i="9"/>
  <c r="K4" i="9"/>
  <c r="K41" i="9" s="1"/>
  <c r="D46" i="9"/>
  <c r="AH32" i="9"/>
  <c r="X22" i="9"/>
  <c r="AH43" i="9"/>
  <c r="X41" i="9"/>
  <c r="AC38" i="9"/>
  <c r="AH35" i="9"/>
  <c r="X33" i="9"/>
  <c r="AH27" i="9"/>
  <c r="X25" i="9"/>
  <c r="AH19" i="9"/>
  <c r="X17" i="9"/>
  <c r="AC14" i="9"/>
  <c r="AH11" i="9"/>
  <c r="W9" i="9"/>
  <c r="X9" i="9" s="1"/>
  <c r="C45" i="9"/>
  <c r="I4" i="9"/>
  <c r="C46" i="9"/>
  <c r="C43" i="1"/>
  <c r="E81" i="9"/>
  <c r="E78" i="9"/>
  <c r="D80" i="9"/>
  <c r="D82" i="9"/>
  <c r="E76" i="9"/>
  <c r="D76" i="9"/>
  <c r="C74" i="9"/>
  <c r="D62" i="9"/>
  <c r="E61" i="9"/>
  <c r="E59" i="9"/>
  <c r="E58" i="9"/>
  <c r="E56" i="9"/>
  <c r="E53" i="9"/>
  <c r="D53" i="9"/>
  <c r="E51" i="9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B10" i="2"/>
  <c r="AB11" i="2"/>
  <c r="AB13" i="2"/>
  <c r="AB14" i="2"/>
  <c r="AB15" i="2"/>
  <c r="AB16" i="2"/>
  <c r="AB18" i="2"/>
  <c r="AB19" i="2"/>
  <c r="AB21" i="2"/>
  <c r="AB22" i="2"/>
  <c r="AB23" i="2"/>
  <c r="AB24" i="2"/>
  <c r="AB26" i="2"/>
  <c r="AB27" i="2"/>
  <c r="AB29" i="2"/>
  <c r="AB30" i="2"/>
  <c r="AB31" i="2"/>
  <c r="AB32" i="2"/>
  <c r="AB34" i="2"/>
  <c r="AB35" i="2"/>
  <c r="AB37" i="2"/>
  <c r="AB38" i="2"/>
  <c r="AB39" i="2"/>
  <c r="AB40" i="2"/>
  <c r="AB42" i="2"/>
  <c r="W11" i="2"/>
  <c r="W13" i="2"/>
  <c r="W14" i="2"/>
  <c r="W16" i="2"/>
  <c r="W19" i="2"/>
  <c r="W20" i="2"/>
  <c r="W21" i="2"/>
  <c r="W22" i="2"/>
  <c r="W24" i="2"/>
  <c r="W27" i="2"/>
  <c r="W28" i="2"/>
  <c r="W29" i="2"/>
  <c r="W30" i="2"/>
  <c r="W32" i="2"/>
  <c r="W35" i="2"/>
  <c r="W36" i="2"/>
  <c r="W37" i="2"/>
  <c r="W38" i="2"/>
  <c r="W40" i="2"/>
  <c r="AC16" i="9" l="1"/>
  <c r="AH41" i="9"/>
  <c r="AH13" i="9"/>
  <c r="X32" i="9"/>
  <c r="AC25" i="9"/>
  <c r="X18" i="9"/>
  <c r="AH21" i="9"/>
  <c r="X40" i="9"/>
  <c r="AC36" i="9"/>
  <c r="AH20" i="9"/>
  <c r="X30" i="9"/>
  <c r="X11" i="9"/>
  <c r="AC19" i="9"/>
  <c r="X15" i="9"/>
  <c r="AH28" i="9"/>
  <c r="AH40" i="9"/>
  <c r="AC43" i="9"/>
  <c r="X36" i="9"/>
  <c r="AH17" i="9"/>
  <c r="AC39" i="9"/>
  <c r="AH15" i="9"/>
  <c r="AH10" i="9"/>
  <c r="AC27" i="9"/>
  <c r="AC20" i="9"/>
  <c r="AC23" i="9"/>
  <c r="AC10" i="9"/>
  <c r="X16" i="9"/>
  <c r="AC22" i="9"/>
  <c r="AC33" i="9"/>
  <c r="X38" i="9"/>
  <c r="X23" i="9"/>
  <c r="AC44" i="9"/>
  <c r="X26" i="9"/>
  <c r="AC13" i="9"/>
  <c r="X27" i="9"/>
  <c r="X13" i="9"/>
  <c r="AC34" i="9"/>
  <c r="AC24" i="9"/>
  <c r="AC21" i="9"/>
  <c r="AC32" i="9"/>
  <c r="X37" i="9"/>
  <c r="X35" i="9"/>
  <c r="AC29" i="9"/>
  <c r="AC17" i="9"/>
  <c r="AC28" i="9"/>
  <c r="X10" i="9"/>
  <c r="AC31" i="9"/>
  <c r="X24" i="9"/>
  <c r="AC40" i="9"/>
  <c r="AH39" i="9"/>
  <c r="X43" i="9"/>
  <c r="AH29" i="9"/>
  <c r="AC30" i="9"/>
  <c r="X20" i="9"/>
  <c r="AC41" i="9"/>
  <c r="X31" i="9"/>
  <c r="AH12" i="9"/>
  <c r="X34" i="9"/>
  <c r="AH34" i="9"/>
  <c r="AC11" i="9"/>
  <c r="X21" i="9"/>
  <c r="AC42" i="9"/>
  <c r="X14" i="9"/>
  <c r="AH37" i="9"/>
  <c r="X44" i="9"/>
  <c r="AC12" i="9"/>
  <c r="AH33" i="9"/>
  <c r="AC15" i="9"/>
  <c r="AH36" i="9"/>
  <c r="AC37" i="9"/>
  <c r="AH16" i="9"/>
  <c r="AH23" i="9"/>
  <c r="AH26" i="9"/>
  <c r="AH24" i="9"/>
  <c r="AC35" i="9"/>
  <c r="D79" i="2"/>
  <c r="W42" i="2"/>
  <c r="D71" i="2"/>
  <c r="W34" i="2"/>
  <c r="D63" i="2"/>
  <c r="W26" i="2"/>
  <c r="D55" i="2"/>
  <c r="W18" i="2"/>
  <c r="D47" i="2"/>
  <c r="W10" i="2"/>
  <c r="X37" i="2" s="1"/>
  <c r="E73" i="2"/>
  <c r="AB36" i="2"/>
  <c r="E65" i="2"/>
  <c r="AB28" i="2"/>
  <c r="E57" i="2"/>
  <c r="AB20" i="2"/>
  <c r="E49" i="2"/>
  <c r="AB12" i="2"/>
  <c r="AC24" i="2" s="1"/>
  <c r="AH14" i="2"/>
  <c r="D78" i="2"/>
  <c r="W41" i="2"/>
  <c r="D70" i="2"/>
  <c r="W33" i="2"/>
  <c r="D62" i="2"/>
  <c r="W25" i="2"/>
  <c r="D54" i="2"/>
  <c r="W17" i="2"/>
  <c r="E46" i="2"/>
  <c r="AB9" i="2"/>
  <c r="AH29" i="2"/>
  <c r="AH16" i="2"/>
  <c r="AH28" i="2"/>
  <c r="AH20" i="2"/>
  <c r="AH12" i="2"/>
  <c r="C76" i="2"/>
  <c r="W39" i="2"/>
  <c r="C68" i="2"/>
  <c r="W31" i="2"/>
  <c r="C60" i="2"/>
  <c r="W23" i="2"/>
  <c r="C52" i="2"/>
  <c r="E78" i="2"/>
  <c r="AB41" i="2"/>
  <c r="E70" i="2"/>
  <c r="AB33" i="2"/>
  <c r="E62" i="2"/>
  <c r="AB25" i="2"/>
  <c r="E54" i="2"/>
  <c r="AB17" i="2"/>
  <c r="AG9" i="2"/>
  <c r="AH9" i="2" s="1"/>
  <c r="AH35" i="2"/>
  <c r="AH27" i="2"/>
  <c r="AH19" i="2"/>
  <c r="AH24" i="2"/>
  <c r="X38" i="2"/>
  <c r="AH42" i="2"/>
  <c r="AH34" i="2"/>
  <c r="AH26" i="2"/>
  <c r="AH18" i="2"/>
  <c r="AH10" i="2"/>
  <c r="AC23" i="2"/>
  <c r="AH41" i="2"/>
  <c r="AH33" i="2"/>
  <c r="AH25" i="2"/>
  <c r="AH17" i="2"/>
  <c r="D77" i="2"/>
  <c r="D69" i="2"/>
  <c r="D61" i="2"/>
  <c r="D53" i="2"/>
  <c r="H11" i="1"/>
  <c r="H7" i="1"/>
  <c r="D46" i="2"/>
  <c r="D68" i="9"/>
  <c r="E68" i="9"/>
  <c r="D54" i="9"/>
  <c r="D63" i="9"/>
  <c r="D66" i="9"/>
  <c r="D74" i="9"/>
  <c r="C66" i="9"/>
  <c r="C55" i="9"/>
  <c r="D55" i="9"/>
  <c r="C64" i="9"/>
  <c r="D64" i="9"/>
  <c r="C67" i="9"/>
  <c r="D67" i="9"/>
  <c r="D75" i="9"/>
  <c r="D49" i="9"/>
  <c r="D58" i="9"/>
  <c r="D70" i="9"/>
  <c r="C81" i="9"/>
  <c r="D81" i="9"/>
  <c r="E77" i="9"/>
  <c r="C56" i="9"/>
  <c r="D56" i="9"/>
  <c r="C50" i="9"/>
  <c r="D50" i="9"/>
  <c r="C59" i="9"/>
  <c r="D59" i="9"/>
  <c r="C71" i="9"/>
  <c r="D71" i="9"/>
  <c r="D60" i="9"/>
  <c r="C83" i="9"/>
  <c r="D83" i="9"/>
  <c r="C73" i="9"/>
  <c r="D73" i="9"/>
  <c r="C52" i="9"/>
  <c r="D52" i="9"/>
  <c r="D48" i="9"/>
  <c r="C48" i="9"/>
  <c r="O30" i="9" s="1"/>
  <c r="D57" i="9"/>
  <c r="D69" i="9"/>
  <c r="D77" i="9"/>
  <c r="C78" i="9"/>
  <c r="D78" i="9"/>
  <c r="D65" i="9"/>
  <c r="E48" i="9"/>
  <c r="S30" i="9" s="1"/>
  <c r="D42" i="9"/>
  <c r="D51" i="9"/>
  <c r="D61" i="9"/>
  <c r="D72" i="9"/>
  <c r="C79" i="9"/>
  <c r="D79" i="9"/>
  <c r="E57" i="9"/>
  <c r="E72" i="9"/>
  <c r="C75" i="9"/>
  <c r="L8" i="9"/>
  <c r="E62" i="9"/>
  <c r="E65" i="9"/>
  <c r="C68" i="9"/>
  <c r="E73" i="9"/>
  <c r="C76" i="9"/>
  <c r="E83" i="9"/>
  <c r="E79" i="9"/>
  <c r="E60" i="9"/>
  <c r="E50" i="9"/>
  <c r="C63" i="9"/>
  <c r="E71" i="9"/>
  <c r="C60" i="9"/>
  <c r="E82" i="9"/>
  <c r="E70" i="9"/>
  <c r="E54" i="9"/>
  <c r="C57" i="9"/>
  <c r="E63" i="9"/>
  <c r="C69" i="9"/>
  <c r="C77" i="9"/>
  <c r="K16" i="9"/>
  <c r="C51" i="9"/>
  <c r="C61" i="9"/>
  <c r="E69" i="9"/>
  <c r="C72" i="9"/>
  <c r="E49" i="9"/>
  <c r="C65" i="9"/>
  <c r="C49" i="9"/>
  <c r="E55" i="9"/>
  <c r="C58" i="9"/>
  <c r="E64" i="9"/>
  <c r="K23" i="9"/>
  <c r="C70" i="9"/>
  <c r="E75" i="9"/>
  <c r="E52" i="9"/>
  <c r="C82" i="9"/>
  <c r="H33" i="2"/>
  <c r="C67" i="2"/>
  <c r="G17" i="2"/>
  <c r="H9" i="2"/>
  <c r="E77" i="2"/>
  <c r="E69" i="2"/>
  <c r="E61" i="2"/>
  <c r="D73" i="2"/>
  <c r="D65" i="2"/>
  <c r="D57" i="2"/>
  <c r="E79" i="2"/>
  <c r="E71" i="2"/>
  <c r="E63" i="2"/>
  <c r="D74" i="2"/>
  <c r="D66" i="2"/>
  <c r="D58" i="2"/>
  <c r="D50" i="2"/>
  <c r="K32" i="2"/>
  <c r="K24" i="2"/>
  <c r="K16" i="2"/>
  <c r="E50" i="2"/>
  <c r="E72" i="2"/>
  <c r="E64" i="2"/>
  <c r="E56" i="2"/>
  <c r="E53" i="2"/>
  <c r="E48" i="2"/>
  <c r="E76" i="2"/>
  <c r="E68" i="2"/>
  <c r="E60" i="2"/>
  <c r="E52" i="2"/>
  <c r="E75" i="2"/>
  <c r="E67" i="2"/>
  <c r="E59" i="2"/>
  <c r="E51" i="2"/>
  <c r="D72" i="2"/>
  <c r="D64" i="2"/>
  <c r="D56" i="2"/>
  <c r="D48" i="2"/>
  <c r="C72" i="2"/>
  <c r="C64" i="2"/>
  <c r="C56" i="2"/>
  <c r="E55" i="2"/>
  <c r="E47" i="2"/>
  <c r="C74" i="2"/>
  <c r="C66" i="2"/>
  <c r="C58" i="2"/>
  <c r="C50" i="2"/>
  <c r="D76" i="2"/>
  <c r="D68" i="2"/>
  <c r="D60" i="2"/>
  <c r="D52" i="2"/>
  <c r="C73" i="2"/>
  <c r="C65" i="2"/>
  <c r="C57" i="2"/>
  <c r="C49" i="2"/>
  <c r="D75" i="2"/>
  <c r="D67" i="2"/>
  <c r="D59" i="2"/>
  <c r="D51" i="2"/>
  <c r="C71" i="2"/>
  <c r="C63" i="2"/>
  <c r="C55" i="2"/>
  <c r="C47" i="2"/>
  <c r="C78" i="2"/>
  <c r="C70" i="2"/>
  <c r="C62" i="2"/>
  <c r="C54" i="2"/>
  <c r="C79" i="2"/>
  <c r="C77" i="2"/>
  <c r="C69" i="2"/>
  <c r="C61" i="2"/>
  <c r="C53" i="2"/>
  <c r="E74" i="2"/>
  <c r="E66" i="2"/>
  <c r="E58" i="2"/>
  <c r="C75" i="2"/>
  <c r="C59" i="2"/>
  <c r="C51" i="2"/>
  <c r="J8" i="9"/>
  <c r="H16" i="9"/>
  <c r="E67" i="9"/>
  <c r="I8" i="9"/>
  <c r="G16" i="9"/>
  <c r="E74" i="9"/>
  <c r="E66" i="9"/>
  <c r="H8" i="9"/>
  <c r="G8" i="9"/>
  <c r="E80" i="9"/>
  <c r="C53" i="9"/>
  <c r="L16" i="9"/>
  <c r="C80" i="9"/>
  <c r="C62" i="9"/>
  <c r="C54" i="9"/>
  <c r="I28" i="9"/>
  <c r="J16" i="9"/>
  <c r="K8" i="9"/>
  <c r="I16" i="9"/>
  <c r="E42" i="9"/>
  <c r="J35" i="9"/>
  <c r="C42" i="9"/>
  <c r="L39" i="9"/>
  <c r="J27" i="9"/>
  <c r="I33" i="9"/>
  <c r="K33" i="9"/>
  <c r="G27" i="9"/>
  <c r="I26" i="9"/>
  <c r="I12" i="9"/>
  <c r="K34" i="9"/>
  <c r="L13" i="9"/>
  <c r="L5" i="9"/>
  <c r="K28" i="9"/>
  <c r="L33" i="9"/>
  <c r="K5" i="9"/>
  <c r="K18" i="9"/>
  <c r="H21" i="9"/>
  <c r="H27" i="9"/>
  <c r="H4" i="9"/>
  <c r="H41" i="9" s="1"/>
  <c r="P4" i="9" s="1"/>
  <c r="G4" i="9"/>
  <c r="G41" i="9" s="1"/>
  <c r="O4" i="9" s="1"/>
  <c r="L10" i="9"/>
  <c r="J18" i="9"/>
  <c r="I5" i="9"/>
  <c r="H7" i="9"/>
  <c r="I19" i="9"/>
  <c r="L24" i="9"/>
  <c r="K31" i="9"/>
  <c r="I11" i="9"/>
  <c r="I17" i="9"/>
  <c r="I22" i="9"/>
  <c r="L17" i="9"/>
  <c r="L29" i="9"/>
  <c r="I9" i="9"/>
  <c r="I14" i="9"/>
  <c r="H11" i="9"/>
  <c r="L14" i="9"/>
  <c r="K17" i="9"/>
  <c r="K20" i="9"/>
  <c r="I30" i="9"/>
  <c r="K13" i="9"/>
  <c r="I34" i="9"/>
  <c r="L6" i="9"/>
  <c r="H10" i="9"/>
  <c r="L21" i="9"/>
  <c r="K26" i="9"/>
  <c r="J28" i="9"/>
  <c r="L32" i="9"/>
  <c r="G26" i="9"/>
  <c r="H26" i="9"/>
  <c r="J34" i="9"/>
  <c r="L4" i="9"/>
  <c r="L41" i="9" s="1"/>
  <c r="K7" i="9"/>
  <c r="J11" i="9"/>
  <c r="J12" i="9"/>
  <c r="I18" i="9"/>
  <c r="J19" i="9"/>
  <c r="I25" i="9"/>
  <c r="I27" i="9"/>
  <c r="G28" i="9"/>
  <c r="J5" i="9"/>
  <c r="K11" i="9"/>
  <c r="J13" i="9"/>
  <c r="L15" i="9"/>
  <c r="J20" i="9"/>
  <c r="L25" i="9"/>
  <c r="H28" i="9"/>
  <c r="I35" i="9"/>
  <c r="G10" i="9"/>
  <c r="K15" i="9"/>
  <c r="L23" i="9"/>
  <c r="K32" i="9"/>
  <c r="J4" i="9"/>
  <c r="G6" i="9"/>
  <c r="L7" i="9"/>
  <c r="L12" i="9"/>
  <c r="L18" i="9"/>
  <c r="L19" i="9"/>
  <c r="G24" i="9"/>
  <c r="J25" i="9"/>
  <c r="J29" i="9"/>
  <c r="H31" i="9"/>
  <c r="L34" i="9"/>
  <c r="L35" i="9"/>
  <c r="G13" i="9"/>
  <c r="J14" i="9"/>
  <c r="G20" i="9"/>
  <c r="K25" i="9"/>
  <c r="J26" i="9"/>
  <c r="G21" i="9"/>
  <c r="G9" i="9"/>
  <c r="G12" i="9"/>
  <c r="H13" i="9"/>
  <c r="K14" i="9"/>
  <c r="G18" i="9"/>
  <c r="G19" i="9"/>
  <c r="H20" i="9"/>
  <c r="G22" i="9"/>
  <c r="G34" i="9"/>
  <c r="G35" i="9"/>
  <c r="K6" i="9"/>
  <c r="H12" i="9"/>
  <c r="I13" i="9"/>
  <c r="H18" i="9"/>
  <c r="H19" i="9"/>
  <c r="I20" i="9"/>
  <c r="K24" i="9"/>
  <c r="G29" i="9"/>
  <c r="L31" i="9"/>
  <c r="H34" i="9"/>
  <c r="H35" i="9"/>
  <c r="G30" i="9"/>
  <c r="J10" i="9"/>
  <c r="G11" i="9"/>
  <c r="G15" i="9"/>
  <c r="J21" i="9"/>
  <c r="H23" i="9"/>
  <c r="L26" i="9"/>
  <c r="L27" i="9"/>
  <c r="H29" i="9"/>
  <c r="G32" i="9"/>
  <c r="J33" i="9"/>
  <c r="G5" i="9"/>
  <c r="H6" i="9"/>
  <c r="I7" i="9"/>
  <c r="J9" i="9"/>
  <c r="K10" i="9"/>
  <c r="L11" i="9"/>
  <c r="G14" i="9"/>
  <c r="H15" i="9"/>
  <c r="G17" i="9"/>
  <c r="L20" i="9"/>
  <c r="K21" i="9"/>
  <c r="J22" i="9"/>
  <c r="I23" i="9"/>
  <c r="H24" i="9"/>
  <c r="G25" i="9"/>
  <c r="L28" i="9"/>
  <c r="K29" i="9"/>
  <c r="J30" i="9"/>
  <c r="I31" i="9"/>
  <c r="H32" i="9"/>
  <c r="G33" i="9"/>
  <c r="H5" i="9"/>
  <c r="I6" i="9"/>
  <c r="J7" i="9"/>
  <c r="K9" i="9"/>
  <c r="H14" i="9"/>
  <c r="I15" i="9"/>
  <c r="K22" i="9"/>
  <c r="J23" i="9"/>
  <c r="I24" i="9"/>
  <c r="H25" i="9"/>
  <c r="K30" i="9"/>
  <c r="J31" i="9"/>
  <c r="I32" i="9"/>
  <c r="H33" i="9"/>
  <c r="J6" i="9"/>
  <c r="L9" i="9"/>
  <c r="J15" i="9"/>
  <c r="L22" i="9"/>
  <c r="J24" i="9"/>
  <c r="L30" i="9"/>
  <c r="J32" i="9"/>
  <c r="G7" i="9"/>
  <c r="H9" i="9"/>
  <c r="I10" i="9"/>
  <c r="K12" i="9"/>
  <c r="K19" i="9"/>
  <c r="I21" i="9"/>
  <c r="H22" i="9"/>
  <c r="G23" i="9"/>
  <c r="K27" i="9"/>
  <c r="I29" i="9"/>
  <c r="H30" i="9"/>
  <c r="G31" i="9"/>
  <c r="K35" i="9"/>
  <c r="G34" i="2"/>
  <c r="G26" i="2"/>
  <c r="G18" i="2"/>
  <c r="G10" i="2"/>
  <c r="K36" i="2"/>
  <c r="K28" i="2"/>
  <c r="K20" i="2"/>
  <c r="K12" i="2"/>
  <c r="L35" i="2"/>
  <c r="J37" i="2"/>
  <c r="J29" i="2"/>
  <c r="J21" i="2"/>
  <c r="J13" i="2"/>
  <c r="J5" i="2"/>
  <c r="H35" i="2"/>
  <c r="J30" i="2"/>
  <c r="J22" i="2"/>
  <c r="J14" i="2"/>
  <c r="J6" i="2"/>
  <c r="H27" i="2"/>
  <c r="H19" i="2"/>
  <c r="H11" i="2"/>
  <c r="K8" i="2"/>
  <c r="J32" i="2"/>
  <c r="J24" i="2"/>
  <c r="J16" i="2"/>
  <c r="I8" i="2"/>
  <c r="H10" i="2"/>
  <c r="L27" i="2"/>
  <c r="L19" i="2"/>
  <c r="L11" i="2"/>
  <c r="J31" i="2"/>
  <c r="J23" i="2"/>
  <c r="J15" i="2"/>
  <c r="J7" i="2"/>
  <c r="G9" i="2"/>
  <c r="I10" i="2"/>
  <c r="K31" i="2"/>
  <c r="K23" i="2"/>
  <c r="K15" i="2"/>
  <c r="K7" i="2"/>
  <c r="I36" i="2"/>
  <c r="I28" i="2"/>
  <c r="I20" i="2"/>
  <c r="I12" i="2"/>
  <c r="K30" i="2"/>
  <c r="I11" i="2"/>
  <c r="H22" i="2"/>
  <c r="H14" i="2"/>
  <c r="H6" i="2"/>
  <c r="L32" i="2"/>
  <c r="L24" i="2"/>
  <c r="L16" i="2"/>
  <c r="L8" i="2"/>
  <c r="H34" i="2"/>
  <c r="I35" i="2"/>
  <c r="G37" i="2"/>
  <c r="G29" i="2"/>
  <c r="G21" i="2"/>
  <c r="G13" i="2"/>
  <c r="G5" i="2"/>
  <c r="I31" i="2"/>
  <c r="I23" i="2"/>
  <c r="I15" i="2"/>
  <c r="I7" i="2"/>
  <c r="I34" i="2"/>
  <c r="H26" i="2"/>
  <c r="I27" i="2"/>
  <c r="J33" i="2"/>
  <c r="J25" i="2"/>
  <c r="J17" i="2"/>
  <c r="J9" i="2"/>
  <c r="H25" i="2"/>
  <c r="I26" i="2"/>
  <c r="L34" i="2"/>
  <c r="K26" i="2"/>
  <c r="L18" i="2"/>
  <c r="K10" i="2"/>
  <c r="L36" i="2"/>
  <c r="L28" i="2"/>
  <c r="L20" i="2"/>
  <c r="L12" i="2"/>
  <c r="G33" i="2"/>
  <c r="H18" i="2"/>
  <c r="I19" i="2"/>
  <c r="L33" i="2"/>
  <c r="L25" i="2"/>
  <c r="L17" i="2"/>
  <c r="L9" i="2"/>
  <c r="G25" i="2"/>
  <c r="H17" i="2"/>
  <c r="I18" i="2"/>
  <c r="J20" i="2"/>
  <c r="G32" i="2"/>
  <c r="G16" i="2"/>
  <c r="J27" i="2"/>
  <c r="J11" i="2"/>
  <c r="K37" i="2"/>
  <c r="K21" i="2"/>
  <c r="K5" i="2"/>
  <c r="L23" i="2"/>
  <c r="L7" i="2"/>
  <c r="G31" i="2"/>
  <c r="G23" i="2"/>
  <c r="G15" i="2"/>
  <c r="G7" i="2"/>
  <c r="H32" i="2"/>
  <c r="H24" i="2"/>
  <c r="H16" i="2"/>
  <c r="H8" i="2"/>
  <c r="I33" i="2"/>
  <c r="I25" i="2"/>
  <c r="I17" i="2"/>
  <c r="I9" i="2"/>
  <c r="J34" i="2"/>
  <c r="J26" i="2"/>
  <c r="J18" i="2"/>
  <c r="J10" i="2"/>
  <c r="L4" i="2"/>
  <c r="L30" i="2"/>
  <c r="L22" i="2"/>
  <c r="L14" i="2"/>
  <c r="L6" i="2"/>
  <c r="J12" i="2"/>
  <c r="K22" i="2"/>
  <c r="K6" i="2"/>
  <c r="G24" i="2"/>
  <c r="G8" i="2"/>
  <c r="J35" i="2"/>
  <c r="J19" i="2"/>
  <c r="K29" i="2"/>
  <c r="K13" i="2"/>
  <c r="L31" i="2"/>
  <c r="L15" i="2"/>
  <c r="G30" i="2"/>
  <c r="G22" i="2"/>
  <c r="G14" i="2"/>
  <c r="G6" i="2"/>
  <c r="H31" i="2"/>
  <c r="H23" i="2"/>
  <c r="H15" i="2"/>
  <c r="H7" i="2"/>
  <c r="I32" i="2"/>
  <c r="I24" i="2"/>
  <c r="I16" i="2"/>
  <c r="K35" i="2"/>
  <c r="K27" i="2"/>
  <c r="K19" i="2"/>
  <c r="K11" i="2"/>
  <c r="L37" i="2"/>
  <c r="L29" i="2"/>
  <c r="L21" i="2"/>
  <c r="L13" i="2"/>
  <c r="L5" i="2"/>
  <c r="J36" i="2"/>
  <c r="H30" i="2"/>
  <c r="K34" i="2"/>
  <c r="G36" i="2"/>
  <c r="G28" i="2"/>
  <c r="G20" i="2"/>
  <c r="G12" i="2"/>
  <c r="H37" i="2"/>
  <c r="H29" i="2"/>
  <c r="H21" i="2"/>
  <c r="H13" i="2"/>
  <c r="H5" i="2"/>
  <c r="I30" i="2"/>
  <c r="I22" i="2"/>
  <c r="I14" i="2"/>
  <c r="I6" i="2"/>
  <c r="K33" i="2"/>
  <c r="K25" i="2"/>
  <c r="K17" i="2"/>
  <c r="K9" i="2"/>
  <c r="K4" i="2"/>
  <c r="J8" i="2"/>
  <c r="K18" i="2"/>
  <c r="G35" i="2"/>
  <c r="G27" i="2"/>
  <c r="G19" i="2"/>
  <c r="G11" i="2"/>
  <c r="H36" i="2"/>
  <c r="H28" i="2"/>
  <c r="H20" i="2"/>
  <c r="H12" i="2"/>
  <c r="I37" i="2"/>
  <c r="I29" i="2"/>
  <c r="I21" i="2"/>
  <c r="I13" i="2"/>
  <c r="I5" i="2"/>
  <c r="L26" i="2"/>
  <c r="L10" i="2"/>
  <c r="J28" i="2"/>
  <c r="K14" i="2"/>
  <c r="J4" i="2"/>
  <c r="AC42" i="2" l="1"/>
  <c r="AC26" i="2"/>
  <c r="H44" i="2"/>
  <c r="H40" i="2"/>
  <c r="P6" i="2" s="1"/>
  <c r="H39" i="2"/>
  <c r="P4" i="2" s="1"/>
  <c r="G40" i="2"/>
  <c r="O6" i="2" s="1"/>
  <c r="G39" i="2"/>
  <c r="O4" i="2" s="1"/>
  <c r="G44" i="2"/>
  <c r="G43" i="2"/>
  <c r="O30" i="2"/>
  <c r="Q30" i="2"/>
  <c r="S30" i="2"/>
  <c r="I39" i="2"/>
  <c r="O37" i="9"/>
  <c r="O36" i="9"/>
  <c r="O34" i="9"/>
  <c r="P13" i="9"/>
  <c r="P11" i="9"/>
  <c r="Y25" i="9"/>
  <c r="Z25" i="9" s="1"/>
  <c r="Y17" i="9"/>
  <c r="Z17" i="9" s="1"/>
  <c r="Y33" i="9"/>
  <c r="Z33" i="9" s="1"/>
  <c r="AI13" i="9"/>
  <c r="AJ13" i="9" s="1"/>
  <c r="AI16" i="9"/>
  <c r="AJ16" i="9" s="1"/>
  <c r="Y11" i="9"/>
  <c r="Z11" i="9" s="1"/>
  <c r="AD40" i="9"/>
  <c r="AE40" i="9" s="1"/>
  <c r="Y27" i="9"/>
  <c r="Z27" i="9" s="1"/>
  <c r="AD42" i="9"/>
  <c r="AE42" i="9" s="1"/>
  <c r="AD38" i="9"/>
  <c r="AE38" i="9" s="1"/>
  <c r="AI43" i="9"/>
  <c r="AJ43" i="9" s="1"/>
  <c r="Y16" i="9"/>
  <c r="Z16" i="9" s="1"/>
  <c r="AD20" i="9"/>
  <c r="AE20" i="9" s="1"/>
  <c r="AD37" i="9"/>
  <c r="AE37" i="9" s="1"/>
  <c r="AI11" i="9"/>
  <c r="AJ11" i="9" s="1"/>
  <c r="Y21" i="9"/>
  <c r="Z21" i="9" s="1"/>
  <c r="Y20" i="9"/>
  <c r="Z20" i="9" s="1"/>
  <c r="Y32" i="9"/>
  <c r="Z32" i="9" s="1"/>
  <c r="Y24" i="9"/>
  <c r="Z24" i="9" s="1"/>
  <c r="Y36" i="9"/>
  <c r="Z36" i="9" s="1"/>
  <c r="Y35" i="9"/>
  <c r="Z35" i="9" s="1"/>
  <c r="AD19" i="9"/>
  <c r="AE19" i="9" s="1"/>
  <c r="AD13" i="9"/>
  <c r="AE13" i="9" s="1"/>
  <c r="AD22" i="9"/>
  <c r="AE22" i="9" s="1"/>
  <c r="AD27" i="9"/>
  <c r="AE27" i="9" s="1"/>
  <c r="AD41" i="9"/>
  <c r="AE41" i="9" s="1"/>
  <c r="AD29" i="9"/>
  <c r="AE29" i="9" s="1"/>
  <c r="AD31" i="9"/>
  <c r="AE31" i="9" s="1"/>
  <c r="AI30" i="9"/>
  <c r="AJ30" i="9" s="1"/>
  <c r="AD15" i="9"/>
  <c r="AE15" i="9" s="1"/>
  <c r="AI10" i="9"/>
  <c r="AJ10" i="9" s="1"/>
  <c r="AI34" i="9"/>
  <c r="AJ34" i="9" s="1"/>
  <c r="AD30" i="9"/>
  <c r="AE30" i="9" s="1"/>
  <c r="AD25" i="9"/>
  <c r="AE25" i="9" s="1"/>
  <c r="Y10" i="9"/>
  <c r="Z10" i="9" s="1"/>
  <c r="AI20" i="9"/>
  <c r="AJ20" i="9" s="1"/>
  <c r="AI15" i="9"/>
  <c r="AJ15" i="9" s="1"/>
  <c r="Y19" i="9"/>
  <c r="Z19" i="9" s="1"/>
  <c r="AD44" i="9"/>
  <c r="AE44" i="9" s="1"/>
  <c r="AI19" i="9"/>
  <c r="AJ19" i="9" s="1"/>
  <c r="AD10" i="9"/>
  <c r="AE10" i="9" s="1"/>
  <c r="AD9" i="9"/>
  <c r="AE9" i="9" s="1"/>
  <c r="Y30" i="9"/>
  <c r="Z30" i="9" s="1"/>
  <c r="AD35" i="9"/>
  <c r="AE35" i="9" s="1"/>
  <c r="AI33" i="9"/>
  <c r="AJ33" i="9" s="1"/>
  <c r="AI17" i="9"/>
  <c r="AJ17" i="9" s="1"/>
  <c r="Y34" i="9"/>
  <c r="Z34" i="9" s="1"/>
  <c r="Y9" i="9"/>
  <c r="Z9" i="9" s="1"/>
  <c r="AI29" i="9"/>
  <c r="AJ29" i="9" s="1"/>
  <c r="AD28" i="9"/>
  <c r="AE28" i="9" s="1"/>
  <c r="AD32" i="9"/>
  <c r="AE32" i="9" s="1"/>
  <c r="AJ18" i="9"/>
  <c r="Y23" i="9"/>
  <c r="Z23" i="9" s="1"/>
  <c r="Y29" i="9"/>
  <c r="Z29" i="9" s="1"/>
  <c r="AI21" i="9"/>
  <c r="AJ21" i="9" s="1"/>
  <c r="AI27" i="9"/>
  <c r="AJ27" i="9" s="1"/>
  <c r="AD11" i="9"/>
  <c r="AE11" i="9" s="1"/>
  <c r="AI32" i="9"/>
  <c r="AJ32" i="9" s="1"/>
  <c r="AI40" i="9"/>
  <c r="AJ40" i="9" s="1"/>
  <c r="Y26" i="9"/>
  <c r="Z26" i="9" s="1"/>
  <c r="AI24" i="9"/>
  <c r="AJ24" i="9" s="1"/>
  <c r="AD12" i="9"/>
  <c r="AE12" i="9" s="1"/>
  <c r="AD36" i="9"/>
  <c r="AE36" i="9" s="1"/>
  <c r="AI12" i="9"/>
  <c r="AJ12" i="9" s="1"/>
  <c r="AI14" i="9"/>
  <c r="AJ14" i="9" s="1"/>
  <c r="Y43" i="9"/>
  <c r="Z43" i="9" s="1"/>
  <c r="AI38" i="9"/>
  <c r="AJ38" i="9" s="1"/>
  <c r="AD26" i="9"/>
  <c r="AE26" i="9" s="1"/>
  <c r="AD21" i="9"/>
  <c r="AE21" i="9" s="1"/>
  <c r="AD24" i="9"/>
  <c r="AE24" i="9" s="1"/>
  <c r="Y38" i="9"/>
  <c r="Z38" i="9" s="1"/>
  <c r="Y42" i="9"/>
  <c r="Z42" i="9" s="1"/>
  <c r="AI44" i="9"/>
  <c r="AJ44" i="9" s="1"/>
  <c r="AD43" i="9"/>
  <c r="AE43" i="9" s="1"/>
  <c r="AI36" i="9"/>
  <c r="AJ36" i="9" s="1"/>
  <c r="AD16" i="9"/>
  <c r="AE16" i="9" s="1"/>
  <c r="AD39" i="9"/>
  <c r="AE39" i="9" s="1"/>
  <c r="AI31" i="9"/>
  <c r="AJ31" i="9" s="1"/>
  <c r="AI26" i="9"/>
  <c r="AJ26" i="9" s="1"/>
  <c r="Y44" i="9"/>
  <c r="Z44" i="9" s="1"/>
  <c r="AI37" i="9"/>
  <c r="AJ37" i="9" s="1"/>
  <c r="Y31" i="9"/>
  <c r="Z31" i="9" s="1"/>
  <c r="Y40" i="9"/>
  <c r="Z40" i="9" s="1"/>
  <c r="AI39" i="9"/>
  <c r="AJ39" i="9" s="1"/>
  <c r="AD17" i="9"/>
  <c r="AE17" i="9" s="1"/>
  <c r="AI42" i="9"/>
  <c r="AJ42" i="9" s="1"/>
  <c r="AI28" i="9"/>
  <c r="AJ28" i="9" s="1"/>
  <c r="AD34" i="9"/>
  <c r="AE34" i="9" s="1"/>
  <c r="AD33" i="9"/>
  <c r="AE33" i="9" s="1"/>
  <c r="Y28" i="9"/>
  <c r="Z28" i="9" s="1"/>
  <c r="AD23" i="9"/>
  <c r="AE23" i="9" s="1"/>
  <c r="Z18" i="9"/>
  <c r="Y37" i="9"/>
  <c r="Z37" i="9" s="1"/>
  <c r="Y41" i="9"/>
  <c r="Z41" i="9" s="1"/>
  <c r="AI23" i="9"/>
  <c r="AJ23" i="9" s="1"/>
  <c r="AI22" i="9"/>
  <c r="AJ22" i="9" s="1"/>
  <c r="Y14" i="9"/>
  <c r="Z14" i="9" s="1"/>
  <c r="AI9" i="9"/>
  <c r="AJ9" i="9" s="1"/>
  <c r="Y39" i="9"/>
  <c r="Z39" i="9" s="1"/>
  <c r="Y22" i="9"/>
  <c r="Z22" i="9" s="1"/>
  <c r="AI35" i="9"/>
  <c r="AJ35" i="9" s="1"/>
  <c r="AI25" i="9"/>
  <c r="AJ25" i="9" s="1"/>
  <c r="Y13" i="9"/>
  <c r="Z13" i="9" s="1"/>
  <c r="Y15" i="9"/>
  <c r="Z15" i="9" s="1"/>
  <c r="AI41" i="9"/>
  <c r="AJ41" i="9" s="1"/>
  <c r="AD14" i="9"/>
  <c r="AE14" i="9" s="1"/>
  <c r="AC28" i="2"/>
  <c r="X26" i="2"/>
  <c r="AC22" i="2"/>
  <c r="X36" i="2"/>
  <c r="AH13" i="2"/>
  <c r="AH32" i="2"/>
  <c r="AH21" i="2"/>
  <c r="AH15" i="2"/>
  <c r="X33" i="2"/>
  <c r="AH31" i="2"/>
  <c r="AC27" i="2"/>
  <c r="X25" i="2"/>
  <c r="AC14" i="2"/>
  <c r="AC20" i="2"/>
  <c r="X18" i="2"/>
  <c r="AC15" i="2"/>
  <c r="AC29" i="2"/>
  <c r="AC16" i="2"/>
  <c r="AC25" i="2"/>
  <c r="X23" i="2"/>
  <c r="X12" i="2"/>
  <c r="AC34" i="2"/>
  <c r="AC38" i="2"/>
  <c r="AC35" i="2"/>
  <c r="AH23" i="2"/>
  <c r="AC31" i="2"/>
  <c r="X28" i="2"/>
  <c r="AC32" i="2"/>
  <c r="AC33" i="2"/>
  <c r="X31" i="2"/>
  <c r="X16" i="2"/>
  <c r="AH22" i="2"/>
  <c r="AH39" i="2"/>
  <c r="AC39" i="2"/>
  <c r="AC40" i="2"/>
  <c r="X9" i="2"/>
  <c r="X24" i="2"/>
  <c r="AC9" i="2"/>
  <c r="X41" i="2"/>
  <c r="AH30" i="2"/>
  <c r="AC36" i="2"/>
  <c r="X34" i="2"/>
  <c r="AC21" i="2"/>
  <c r="X13" i="2"/>
  <c r="X14" i="2"/>
  <c r="AC41" i="2"/>
  <c r="X39" i="2"/>
  <c r="AH36" i="2"/>
  <c r="X32" i="2"/>
  <c r="AH37" i="2"/>
  <c r="AH38" i="2"/>
  <c r="X27" i="2"/>
  <c r="X21" i="2"/>
  <c r="X22" i="2"/>
  <c r="AC10" i="2"/>
  <c r="X40" i="2"/>
  <c r="X17" i="2"/>
  <c r="AC13" i="2"/>
  <c r="AC12" i="2"/>
  <c r="X10" i="2"/>
  <c r="X42" i="2"/>
  <c r="AH40" i="2"/>
  <c r="X29" i="2"/>
  <c r="X30" i="2"/>
  <c r="AC30" i="2"/>
  <c r="AC17" i="2"/>
  <c r="X15" i="2"/>
  <c r="X35" i="2"/>
  <c r="AC18" i="2"/>
  <c r="X19" i="2"/>
  <c r="AC19" i="2"/>
  <c r="AC37" i="2"/>
  <c r="X20" i="2"/>
  <c r="L46" i="9"/>
  <c r="L45" i="9"/>
  <c r="J45" i="9"/>
  <c r="J46" i="9"/>
  <c r="H45" i="9"/>
  <c r="H46" i="9"/>
  <c r="G46" i="9"/>
  <c r="G45" i="9"/>
  <c r="I45" i="9"/>
  <c r="I46" i="9"/>
  <c r="K45" i="9"/>
  <c r="K46" i="9"/>
  <c r="H43" i="2"/>
  <c r="J44" i="2"/>
  <c r="J43" i="2"/>
  <c r="I44" i="2"/>
  <c r="I43" i="2"/>
  <c r="K43" i="2"/>
  <c r="K44" i="2"/>
  <c r="L43" i="2"/>
  <c r="L44" i="2"/>
  <c r="S28" i="9"/>
  <c r="J42" i="9"/>
  <c r="K42" i="9"/>
  <c r="S6" i="9" s="1"/>
  <c r="G42" i="9"/>
  <c r="O6" i="9" s="1"/>
  <c r="O7" i="9" s="1"/>
  <c r="S4" i="9"/>
  <c r="H42" i="9"/>
  <c r="P6" i="9" s="1"/>
  <c r="I42" i="9"/>
  <c r="R4" i="9"/>
  <c r="T4" i="9"/>
  <c r="Q4" i="9"/>
  <c r="L42" i="9"/>
  <c r="T6" i="9" s="1"/>
  <c r="Q4" i="2"/>
  <c r="J39" i="2"/>
  <c r="R4" i="2" s="1"/>
  <c r="K39" i="2"/>
  <c r="S4" i="2" s="1"/>
  <c r="L39" i="2"/>
  <c r="T4" i="2" s="1"/>
  <c r="J40" i="2"/>
  <c r="R6" i="2" s="1"/>
  <c r="I40" i="2"/>
  <c r="Q6" i="2" s="1"/>
  <c r="L40" i="2"/>
  <c r="T6" i="2" s="1"/>
  <c r="K40" i="2"/>
  <c r="S6" i="2" s="1"/>
  <c r="O10" i="2" l="1"/>
  <c r="O7" i="2"/>
  <c r="T7" i="2"/>
  <c r="T9" i="2" s="1"/>
  <c r="T11" i="2"/>
  <c r="P11" i="2"/>
  <c r="P7" i="2"/>
  <c r="S34" i="2"/>
  <c r="S31" i="2"/>
  <c r="S33" i="2" s="1"/>
  <c r="S36" i="2"/>
  <c r="S37" i="2"/>
  <c r="S35" i="2"/>
  <c r="R11" i="2"/>
  <c r="R7" i="2"/>
  <c r="R9" i="2" s="1"/>
  <c r="Q31" i="2"/>
  <c r="Q33" i="2" s="1"/>
  <c r="Q35" i="2"/>
  <c r="Q37" i="2"/>
  <c r="Q34" i="2"/>
  <c r="Q36" i="2"/>
  <c r="S10" i="2"/>
  <c r="S7" i="2"/>
  <c r="S9" i="2" s="1"/>
  <c r="Q10" i="2"/>
  <c r="Q7" i="2"/>
  <c r="O35" i="2"/>
  <c r="O37" i="2"/>
  <c r="O31" i="2"/>
  <c r="O36" i="2"/>
  <c r="O34" i="2"/>
  <c r="O8" i="9"/>
  <c r="O10" i="9"/>
  <c r="S34" i="9"/>
  <c r="S37" i="9"/>
  <c r="S36" i="9"/>
  <c r="S35" i="9"/>
  <c r="T13" i="9"/>
  <c r="T11" i="9"/>
  <c r="S10" i="9"/>
  <c r="S12" i="9"/>
  <c r="Y40" i="2"/>
  <c r="Z40" i="2" s="1"/>
  <c r="AI22" i="2"/>
  <c r="AJ22" i="2" s="1"/>
  <c r="Y37" i="2"/>
  <c r="Z37" i="2" s="1"/>
  <c r="AD17" i="2"/>
  <c r="AE17" i="2" s="1"/>
  <c r="AD34" i="2"/>
  <c r="AE34" i="2" s="1"/>
  <c r="AD15" i="2"/>
  <c r="AE15" i="2" s="1"/>
  <c r="AD26" i="2"/>
  <c r="AE26" i="2" s="1"/>
  <c r="Y20" i="2"/>
  <c r="Z20" i="2" s="1"/>
  <c r="AD30" i="2"/>
  <c r="AE30" i="2" s="1"/>
  <c r="AI40" i="2"/>
  <c r="AJ40" i="2" s="1"/>
  <c r="AD10" i="2"/>
  <c r="AE10" i="2" s="1"/>
  <c r="Y27" i="2"/>
  <c r="Z27" i="2" s="1"/>
  <c r="AI18" i="2"/>
  <c r="AJ18" i="2" s="1"/>
  <c r="AD36" i="2"/>
  <c r="AE36" i="2" s="1"/>
  <c r="AD40" i="2"/>
  <c r="AE40" i="2" s="1"/>
  <c r="AI21" i="2"/>
  <c r="AJ21" i="2" s="1"/>
  <c r="AD31" i="2"/>
  <c r="AE31" i="2" s="1"/>
  <c r="Y12" i="2"/>
  <c r="Z12" i="2" s="1"/>
  <c r="AI15" i="2"/>
  <c r="AJ15" i="2" s="1"/>
  <c r="AI32" i="2"/>
  <c r="AJ32" i="2" s="1"/>
  <c r="Y34" i="2"/>
  <c r="Z34" i="2" s="1"/>
  <c r="AD37" i="2"/>
  <c r="AE37" i="2" s="1"/>
  <c r="AI30" i="2"/>
  <c r="AJ30" i="2" s="1"/>
  <c r="Y18" i="2"/>
  <c r="Z18" i="2" s="1"/>
  <c r="Y13" i="2"/>
  <c r="Z13" i="2" s="1"/>
  <c r="AD19" i="2"/>
  <c r="AE19" i="2" s="1"/>
  <c r="AI34" i="2"/>
  <c r="AJ34" i="2" s="1"/>
  <c r="Y10" i="2"/>
  <c r="Z10" i="2" s="1"/>
  <c r="AI24" i="2"/>
  <c r="AJ24" i="2" s="1"/>
  <c r="AI37" i="2"/>
  <c r="AJ37" i="2" s="1"/>
  <c r="AI17" i="2"/>
  <c r="AJ17" i="2" s="1"/>
  <c r="Y41" i="2"/>
  <c r="Z41" i="2" s="1"/>
  <c r="AD39" i="2"/>
  <c r="AE39" i="2" s="1"/>
  <c r="AI20" i="2"/>
  <c r="AJ20" i="2" s="1"/>
  <c r="AI27" i="2"/>
  <c r="AJ27" i="2" s="1"/>
  <c r="AD25" i="2"/>
  <c r="AE25" i="2" s="1"/>
  <c r="AD20" i="2"/>
  <c r="AE20" i="2" s="1"/>
  <c r="Y38" i="2"/>
  <c r="Z38" i="2" s="1"/>
  <c r="Y14" i="2"/>
  <c r="Z14" i="2" s="1"/>
  <c r="Y28" i="2"/>
  <c r="Z28" i="2" s="1"/>
  <c r="Y42" i="2"/>
  <c r="Z42" i="2" s="1"/>
  <c r="Y16" i="2"/>
  <c r="Z16" i="2" s="1"/>
  <c r="AI14" i="2"/>
  <c r="AJ14" i="2" s="1"/>
  <c r="Y19" i="2"/>
  <c r="Z19" i="2" s="1"/>
  <c r="Y29" i="2"/>
  <c r="Z29" i="2" s="1"/>
  <c r="AD12" i="2"/>
  <c r="AE12" i="2" s="1"/>
  <c r="Y22" i="2"/>
  <c r="Z22" i="2" s="1"/>
  <c r="Y32" i="2"/>
  <c r="Z32" i="2" s="1"/>
  <c r="AD9" i="2"/>
  <c r="AE9" i="2" s="1"/>
  <c r="AI31" i="2"/>
  <c r="AJ31" i="2" s="1"/>
  <c r="Y31" i="2"/>
  <c r="Z31" i="2" s="1"/>
  <c r="AD22" i="2"/>
  <c r="AE22" i="2" s="1"/>
  <c r="AI19" i="2"/>
  <c r="AJ19" i="2" s="1"/>
  <c r="AD14" i="2"/>
  <c r="AE14" i="2" s="1"/>
  <c r="AI42" i="2"/>
  <c r="AJ42" i="2" s="1"/>
  <c r="AI38" i="2"/>
  <c r="AJ38" i="2" s="1"/>
  <c r="AI10" i="2"/>
  <c r="AJ10" i="2" s="1"/>
  <c r="AD18" i="2"/>
  <c r="AE18" i="2" s="1"/>
  <c r="AI33" i="2"/>
  <c r="AJ33" i="2" s="1"/>
  <c r="AD13" i="2"/>
  <c r="AE13" i="2" s="1"/>
  <c r="AI26" i="2"/>
  <c r="AJ26" i="2" s="1"/>
  <c r="AI36" i="2"/>
  <c r="AJ36" i="2" s="1"/>
  <c r="Y33" i="2"/>
  <c r="Z33" i="2" s="1"/>
  <c r="AI29" i="2"/>
  <c r="AJ29" i="2" s="1"/>
  <c r="AI12" i="2"/>
  <c r="AJ12" i="2" s="1"/>
  <c r="AD33" i="2"/>
  <c r="AE33" i="2" s="1"/>
  <c r="AI23" i="2"/>
  <c r="AJ23" i="2" s="1"/>
  <c r="Y25" i="2"/>
  <c r="Z25" i="2" s="1"/>
  <c r="AD24" i="2"/>
  <c r="AE24" i="2" s="1"/>
  <c r="Y26" i="2"/>
  <c r="Z26" i="2" s="1"/>
  <c r="Y9" i="2"/>
  <c r="Z9" i="2" s="1"/>
  <c r="Y30" i="2"/>
  <c r="Z30" i="2" s="1"/>
  <c r="AI9" i="2"/>
  <c r="AJ9" i="2" s="1"/>
  <c r="Y23" i="2"/>
  <c r="Z23" i="2" s="1"/>
  <c r="Y35" i="2"/>
  <c r="Z35" i="2" s="1"/>
  <c r="AD28" i="2"/>
  <c r="AE28" i="2" s="1"/>
  <c r="Y17" i="2"/>
  <c r="Z17" i="2" s="1"/>
  <c r="Y21" i="2"/>
  <c r="Z21" i="2" s="1"/>
  <c r="Y39" i="2"/>
  <c r="Z39" i="2" s="1"/>
  <c r="AD42" i="2"/>
  <c r="AE42" i="2" s="1"/>
  <c r="Y24" i="2"/>
  <c r="Z24" i="2" s="1"/>
  <c r="AD23" i="2"/>
  <c r="AE23" i="2" s="1"/>
  <c r="AI35" i="2"/>
  <c r="AJ35" i="2" s="1"/>
  <c r="AD35" i="2"/>
  <c r="AE35" i="2" s="1"/>
  <c r="AD16" i="2"/>
  <c r="AE16" i="2" s="1"/>
  <c r="AD27" i="2"/>
  <c r="AE27" i="2" s="1"/>
  <c r="AI41" i="2"/>
  <c r="AJ41" i="2" s="1"/>
  <c r="Y15" i="2"/>
  <c r="Z15" i="2" s="1"/>
  <c r="AI13" i="2"/>
  <c r="AJ13" i="2" s="1"/>
  <c r="AI25" i="2"/>
  <c r="AJ25" i="2" s="1"/>
  <c r="AD41" i="2"/>
  <c r="AE41" i="2" s="1"/>
  <c r="AD21" i="2"/>
  <c r="AE21" i="2" s="1"/>
  <c r="AI28" i="2"/>
  <c r="AJ28" i="2" s="1"/>
  <c r="AI39" i="2"/>
  <c r="AJ39" i="2" s="1"/>
  <c r="AD32" i="2"/>
  <c r="AE32" i="2" s="1"/>
  <c r="AD38" i="2"/>
  <c r="AE38" i="2" s="1"/>
  <c r="AD29" i="2"/>
  <c r="AE29" i="2" s="1"/>
  <c r="AI16" i="2"/>
  <c r="AJ16" i="2" s="1"/>
  <c r="Y36" i="2"/>
  <c r="Z36" i="2" s="1"/>
  <c r="O35" i="9"/>
  <c r="Q31" i="9"/>
  <c r="O31" i="9"/>
  <c r="S31" i="9"/>
  <c r="S33" i="9" s="1"/>
  <c r="R7" i="9"/>
  <c r="T7" i="9"/>
  <c r="T9" i="9" s="1"/>
  <c r="P8" i="2" l="1"/>
  <c r="P9" i="2"/>
  <c r="O33" i="2"/>
  <c r="Q9" i="2"/>
  <c r="Q8" i="2"/>
  <c r="O8" i="2"/>
  <c r="O9" i="2"/>
  <c r="O32" i="9"/>
  <c r="O33" i="9"/>
  <c r="P9" i="9"/>
  <c r="T8" i="9"/>
  <c r="T8" i="2"/>
  <c r="Q32" i="9"/>
  <c r="S32" i="9"/>
  <c r="S32" i="2"/>
  <c r="Q32" i="2"/>
  <c r="S7" i="9"/>
  <c r="S9" i="9" s="1"/>
  <c r="Q7" i="9"/>
  <c r="S8" i="9" l="1"/>
  <c r="S8" i="2"/>
  <c r="R8" i="2"/>
  <c r="C42" i="1"/>
  <c r="I7" i="1" s="1"/>
  <c r="C41" i="1"/>
  <c r="D42" i="1"/>
  <c r="I11" i="1" s="1"/>
  <c r="D41" i="1"/>
  <c r="G11" i="1" s="1"/>
  <c r="L7" i="1" l="1"/>
  <c r="M7" i="1"/>
  <c r="M11" i="1"/>
  <c r="N17" i="1" s="1"/>
  <c r="L11" i="1"/>
  <c r="N16" i="1" s="1"/>
  <c r="J11" i="1"/>
  <c r="K11" i="1" s="1"/>
</calcChain>
</file>

<file path=xl/sharedStrings.xml><?xml version="1.0" encoding="utf-8"?>
<sst xmlns="http://schemas.openxmlformats.org/spreadsheetml/2006/main" count="283" uniqueCount="100">
  <si>
    <t>AD</t>
  </si>
  <si>
    <t>AG</t>
  </si>
  <si>
    <t>AMG</t>
  </si>
  <si>
    <t>BY</t>
  </si>
  <si>
    <t>CB</t>
  </si>
  <si>
    <t>CM</t>
  </si>
  <si>
    <t>DS</t>
  </si>
  <si>
    <t>EMY</t>
  </si>
  <si>
    <t>JHa</t>
  </si>
  <si>
    <t>JT</t>
  </si>
  <si>
    <t>LMS</t>
  </si>
  <si>
    <t>MB</t>
  </si>
  <si>
    <t>MD</t>
  </si>
  <si>
    <t>NH</t>
  </si>
  <si>
    <t>NT</t>
  </si>
  <si>
    <t>RF</t>
  </si>
  <si>
    <t>RS</t>
  </si>
  <si>
    <t>SGA</t>
  </si>
  <si>
    <t>_063</t>
  </si>
  <si>
    <t>_058</t>
  </si>
  <si>
    <t>_057</t>
  </si>
  <si>
    <t>_056</t>
  </si>
  <si>
    <t>_054</t>
  </si>
  <si>
    <t>_045</t>
  </si>
  <si>
    <t>_038</t>
  </si>
  <si>
    <t>_037</t>
  </si>
  <si>
    <t>_036</t>
  </si>
  <si>
    <t>_029</t>
  </si>
  <si>
    <t>_019</t>
  </si>
  <si>
    <t>_016</t>
  </si>
  <si>
    <t>_015</t>
  </si>
  <si>
    <t>_013</t>
  </si>
  <si>
    <t>_009</t>
  </si>
  <si>
    <t>_066</t>
  </si>
  <si>
    <t>_065</t>
  </si>
  <si>
    <t>_064</t>
  </si>
  <si>
    <t>SD</t>
  </si>
  <si>
    <t>SE</t>
  </si>
  <si>
    <t>t</t>
  </si>
  <si>
    <t>df</t>
  </si>
  <si>
    <t>p</t>
  </si>
  <si>
    <t>95% CI - LL</t>
  </si>
  <si>
    <t>95% CI - UL</t>
  </si>
  <si>
    <t>VL</t>
  </si>
  <si>
    <t>TA</t>
  </si>
  <si>
    <t>Method 1 Overlap points</t>
  </si>
  <si>
    <t>Method 2 Average ponts</t>
  </si>
  <si>
    <t>ID</t>
  </si>
  <si>
    <t>n</t>
  </si>
  <si>
    <t>M</t>
  </si>
  <si>
    <t>Equivalence margin (%)</t>
  </si>
  <si>
    <r>
      <t>D</t>
    </r>
    <r>
      <rPr>
        <b/>
        <vertAlign val="subscript"/>
        <sz val="11"/>
        <rFont val="Calibri"/>
        <family val="2"/>
        <scheme val="minor"/>
      </rPr>
      <t>A</t>
    </r>
    <r>
      <rPr>
        <b/>
        <sz val="11"/>
        <rFont val="Calibri"/>
        <family val="2"/>
        <scheme val="minor"/>
      </rPr>
      <t>1vs2</t>
    </r>
  </si>
  <si>
    <r>
      <t>D</t>
    </r>
    <r>
      <rPr>
        <b/>
        <vertAlign val="subscript"/>
        <sz val="11"/>
        <rFont val="Calibri"/>
        <family val="2"/>
        <scheme val="minor"/>
      </rPr>
      <t>B</t>
    </r>
    <r>
      <rPr>
        <b/>
        <sz val="11"/>
        <rFont val="Calibri"/>
        <family val="2"/>
        <scheme val="minor"/>
      </rPr>
      <t>1vs2</t>
    </r>
  </si>
  <si>
    <r>
      <t>D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1vs3</t>
    </r>
  </si>
  <si>
    <r>
      <t>D</t>
    </r>
    <r>
      <rPr>
        <b/>
        <vertAlign val="subscript"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1vs3</t>
    </r>
  </si>
  <si>
    <r>
      <t>D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2vs3</t>
    </r>
  </si>
  <si>
    <r>
      <t>D</t>
    </r>
    <r>
      <rPr>
        <b/>
        <vertAlign val="subscript"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2vs3</t>
    </r>
  </si>
  <si>
    <t>p (unadjusted)</t>
  </si>
  <si>
    <t>95% CI - LL (unadjusted)</t>
  </si>
  <si>
    <t>95% CI - UL (unadjusted)</t>
  </si>
  <si>
    <t>95% CI - LL (Bonferroni adjusted)</t>
  </si>
  <si>
    <t>95% CI - UL (Bonferroni adjusted)</t>
  </si>
  <si>
    <t>p (Bonferroni adjusted)</t>
  </si>
  <si>
    <t>Planned comparisons</t>
  </si>
  <si>
    <t>α</t>
  </si>
  <si>
    <t>Equivalence (TOST)</t>
  </si>
  <si>
    <r>
      <t xml:space="preserve">Superiority (paired 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-test)</t>
    </r>
  </si>
  <si>
    <t>Activation threshold</t>
  </si>
  <si>
    <t>Prob. of superiority</t>
  </si>
  <si>
    <t>Method 1 vs 2</t>
  </si>
  <si>
    <t>Method 1 vs 3</t>
  </si>
  <si>
    <t>Method 2 vs 3</t>
  </si>
  <si>
    <t>ES (MD)</t>
  </si>
  <si>
    <r>
      <t>ES (D</t>
    </r>
    <r>
      <rPr>
        <vertAlign val="subscript"/>
        <sz val="11"/>
        <color theme="1"/>
        <rFont val="Calibri"/>
        <family val="2"/>
        <scheme val="minor"/>
      </rPr>
      <t xml:space="preserve">A, </t>
    </r>
    <r>
      <rPr>
        <sz val="11"/>
        <color theme="1"/>
        <rFont val="Calibri"/>
        <family val="2"/>
        <scheme val="minor"/>
      </rPr>
      <t>D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)</t>
    </r>
  </si>
  <si>
    <r>
      <t xml:space="preserve">Superiority (one-sample </t>
    </r>
    <r>
      <rPr>
        <i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-test)</t>
    </r>
  </si>
  <si>
    <r>
      <t>ES (D</t>
    </r>
    <r>
      <rPr>
        <vertAlign val="subscript"/>
        <sz val="11"/>
        <color theme="1"/>
        <rFont val="Calibri"/>
        <family val="2"/>
        <scheme val="minor"/>
      </rPr>
      <t xml:space="preserve">A, </t>
    </r>
    <r>
      <rPr>
        <sz val="11"/>
        <color theme="1"/>
        <rFont val="Calibri"/>
        <family val="2"/>
        <scheme val="minor"/>
      </rPr>
      <t>D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)</t>
    </r>
  </si>
  <si>
    <t>Data</t>
  </si>
  <si>
    <t>Rank</t>
  </si>
  <si>
    <t>Percentile</t>
  </si>
  <si>
    <r>
      <rPr>
        <i/>
        <sz val="11"/>
        <rFont val="Calibri"/>
        <family val="2"/>
        <scheme val="minor"/>
      </rPr>
      <t>Z</t>
    </r>
    <r>
      <rPr>
        <sz val="11"/>
        <rFont val="Calibri"/>
        <family val="2"/>
        <scheme val="minor"/>
      </rPr>
      <t>-Score</t>
    </r>
  </si>
  <si>
    <r>
      <rPr>
        <i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>-Score</t>
    </r>
  </si>
  <si>
    <t>Method 1</t>
  </si>
  <si>
    <t>Method 2</t>
  </si>
  <si>
    <t>Method 3</t>
  </si>
  <si>
    <t>Median</t>
  </si>
  <si>
    <t>IQR</t>
  </si>
  <si>
    <t>HHbR vs HHbB</t>
  </si>
  <si>
    <r>
      <t>HHbR vs StO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</t>
    </r>
  </si>
  <si>
    <r>
      <t>HHbB vs StO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</t>
    </r>
  </si>
  <si>
    <r>
      <t>VL HHbR (min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</si>
  <si>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Average K (min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</si>
  <si>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 xml:space="preserve"> VL HHbR  </t>
  </si>
  <si>
    <t xml:space="preserve"> VL HHbB</t>
  </si>
  <si>
    <r>
      <t>VL StO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</si>
  <si>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 VL HHbR</t>
  </si>
  <si>
    <t>VL StO2</t>
  </si>
  <si>
    <t xml:space="preserve">Method 3 Average    K </t>
  </si>
  <si>
    <t>Fold of Increase from rest (HHbR)</t>
  </si>
  <si>
    <t>Q-Q Plots of Outcomes</t>
  </si>
  <si>
    <r>
      <t xml:space="preserve">This spreadsheet was used to perform all the pairwise calculations reported in                                                 </t>
    </r>
    <r>
      <rPr>
        <b/>
        <sz val="11"/>
        <color theme="1"/>
        <rFont val="Calibri"/>
        <family val="2"/>
        <scheme val="minor"/>
      </rPr>
      <t>Rasica, L., Inglis, E. C.,Mazzolari, R., Iannetta, D., &amp; Murias, J. M. (2023). Methodological considerations on near-infrared spectroscopy derived muscle oxidative capacity. European Journal of Applied Physiology, xxx(x), xx–xx. https://xxx.</t>
    </r>
    <r>
      <rPr>
        <sz val="11"/>
        <color theme="1"/>
        <rFont val="Calibri"/>
        <family val="2"/>
        <scheme val="minor"/>
      </rPr>
      <t xml:space="preserve"> The green values are required input, the black values are output. You can cite this spreadsheet referring to the related paper.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</si>
</sst>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0.000"/>
    <numFmt numFmtId="166" formatCode="_-* #,##0.0000_-;\-* #,##0.0000_-;_-* &quot;-&quot;??_-;_-@_-"/>
    <numFmt numFmtId="167" formatCode="0.00000000"/>
    <numFmt numFmtId="168" formatCode="0.0%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2"/>
      <color theme="2" tint="-9.9978637043366805E-2"/>
      <name val="Calibri"/>
      <family val="2"/>
      <scheme val="minor"/>
    </font>
    <font>
      <sz val="12"/>
      <color rgb="FF92D05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/>
      <right/>
      <top style="medium">
        <color theme="2"/>
      </top>
      <bottom/>
      <diagonal/>
    </border>
    <border>
      <left/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/>
      <bottom/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/>
      <top/>
      <bottom style="medium">
        <color theme="2"/>
      </bottom>
      <diagonal/>
    </border>
    <border>
      <left/>
      <right/>
      <top/>
      <bottom style="medium">
        <color theme="2"/>
      </bottom>
      <diagonal/>
    </border>
    <border>
      <left/>
      <right style="medium">
        <color theme="2"/>
      </right>
      <top/>
      <bottom style="medium">
        <color theme="2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69">
    <xf numFmtId="0" fontId="0" fillId="0" borderId="0" xfId="0"/>
    <xf numFmtId="164" fontId="4" fillId="0" borderId="0" xfId="0" applyNumberFormat="1" applyFont="1"/>
    <xf numFmtId="0" fontId="4" fillId="0" borderId="0" xfId="0" applyFont="1" applyAlignment="1">
      <alignment horizontal="left"/>
    </xf>
    <xf numFmtId="164" fontId="0" fillId="0" borderId="0" xfId="0" applyNumberFormat="1"/>
    <xf numFmtId="0" fontId="0" fillId="0" borderId="3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" fontId="9" fillId="0" borderId="9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9" fillId="0" borderId="11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9" fillId="0" borderId="8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/>
    </xf>
    <xf numFmtId="9" fontId="4" fillId="0" borderId="0" xfId="2" applyFont="1" applyFill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166" fontId="0" fillId="2" borderId="28" xfId="1" applyNumberFormat="1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0" borderId="9" xfId="0" applyBorder="1"/>
    <xf numFmtId="0" fontId="1" fillId="2" borderId="27" xfId="0" applyFont="1" applyFill="1" applyBorder="1" applyAlignment="1">
      <alignment horizontal="center" vertical="center"/>
    </xf>
    <xf numFmtId="0" fontId="0" fillId="0" borderId="8" xfId="0" applyBorder="1"/>
    <xf numFmtId="1" fontId="12" fillId="0" borderId="35" xfId="1" applyNumberFormat="1" applyFont="1" applyBorder="1" applyAlignment="1">
      <alignment horizontal="center"/>
    </xf>
    <xf numFmtId="0" fontId="0" fillId="0" borderId="11" xfId="0" applyBorder="1"/>
    <xf numFmtId="166" fontId="0" fillId="2" borderId="31" xfId="1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 vertical="center"/>
    </xf>
    <xf numFmtId="2" fontId="12" fillId="0" borderId="35" xfId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9" fillId="2" borderId="8" xfId="0" applyNumberFormat="1" applyFont="1" applyFill="1" applyBorder="1" applyAlignment="1">
      <alignment horizontal="center"/>
    </xf>
    <xf numFmtId="1" fontId="9" fillId="2" borderId="9" xfId="0" applyNumberFormat="1" applyFont="1" applyFill="1" applyBorder="1" applyAlignment="1">
      <alignment horizontal="center"/>
    </xf>
    <xf numFmtId="1" fontId="9" fillId="2" borderId="10" xfId="0" applyNumberFormat="1" applyFont="1" applyFill="1" applyBorder="1" applyAlignment="1">
      <alignment horizontal="center"/>
    </xf>
    <xf numFmtId="2" fontId="17" fillId="0" borderId="0" xfId="0" applyNumberFormat="1" applyFont="1" applyAlignment="1">
      <alignment horizontal="center"/>
    </xf>
    <xf numFmtId="167" fontId="0" fillId="0" borderId="0" xfId="0" applyNumberFormat="1"/>
    <xf numFmtId="0" fontId="8" fillId="0" borderId="3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2" fillId="0" borderId="0" xfId="0" applyFont="1"/>
    <xf numFmtId="0" fontId="0" fillId="0" borderId="4" xfId="0" applyBorder="1"/>
    <xf numFmtId="0" fontId="2" fillId="0" borderId="11" xfId="0" applyFont="1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2" fontId="9" fillId="2" borderId="12" xfId="0" applyNumberFormat="1" applyFont="1" applyFill="1" applyBorder="1" applyAlignment="1">
      <alignment horizontal="center"/>
    </xf>
    <xf numFmtId="2" fontId="9" fillId="2" borderId="36" xfId="0" applyNumberFormat="1" applyFont="1" applyFill="1" applyBorder="1" applyAlignment="1">
      <alignment horizontal="center"/>
    </xf>
    <xf numFmtId="2" fontId="9" fillId="2" borderId="33" xfId="0" applyNumberFormat="1" applyFont="1" applyFill="1" applyBorder="1" applyAlignment="1">
      <alignment horizontal="center"/>
    </xf>
    <xf numFmtId="0" fontId="9" fillId="0" borderId="0" xfId="0" applyFont="1"/>
    <xf numFmtId="0" fontId="9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168" fontId="9" fillId="3" borderId="0" xfId="2" applyNumberFormat="1" applyFont="1" applyFill="1" applyBorder="1" applyAlignment="1">
      <alignment horizontal="center"/>
    </xf>
    <xf numFmtId="168" fontId="9" fillId="3" borderId="12" xfId="2" applyNumberFormat="1" applyFont="1" applyFill="1" applyBorder="1" applyAlignment="1">
      <alignment horizontal="center"/>
    </xf>
    <xf numFmtId="168" fontId="9" fillId="3" borderId="9" xfId="2" applyNumberFormat="1" applyFont="1" applyFill="1" applyBorder="1" applyAlignment="1">
      <alignment horizontal="center"/>
    </xf>
    <xf numFmtId="168" fontId="9" fillId="3" borderId="10" xfId="2" applyNumberFormat="1" applyFont="1" applyFill="1" applyBorder="1" applyAlignment="1">
      <alignment horizontal="center"/>
    </xf>
    <xf numFmtId="1" fontId="9" fillId="3" borderId="0" xfId="0" applyNumberFormat="1" applyFont="1" applyFill="1" applyAlignment="1">
      <alignment horizontal="center"/>
    </xf>
    <xf numFmtId="1" fontId="9" fillId="3" borderId="12" xfId="0" applyNumberFormat="1" applyFont="1" applyFill="1" applyBorder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12" xfId="0" applyNumberFormat="1" applyFont="1" applyFill="1" applyBorder="1" applyAlignment="1">
      <alignment horizontal="center"/>
    </xf>
    <xf numFmtId="165" fontId="9" fillId="3" borderId="0" xfId="0" applyNumberFormat="1" applyFont="1" applyFill="1" applyAlignment="1">
      <alignment horizontal="center"/>
    </xf>
    <xf numFmtId="165" fontId="9" fillId="3" borderId="12" xfId="0" applyNumberFormat="1" applyFont="1" applyFill="1" applyBorder="1" applyAlignment="1">
      <alignment horizontal="center"/>
    </xf>
    <xf numFmtId="2" fontId="9" fillId="3" borderId="10" xfId="0" applyNumberFormat="1" applyFont="1" applyFill="1" applyBorder="1" applyAlignment="1">
      <alignment horizontal="center"/>
    </xf>
    <xf numFmtId="2" fontId="9" fillId="3" borderId="0" xfId="0" applyNumberFormat="1" applyFont="1" applyFill="1" applyAlignment="1">
      <alignment horizontal="center" vertical="center"/>
    </xf>
    <xf numFmtId="2" fontId="9" fillId="3" borderId="12" xfId="0" applyNumberFormat="1" applyFont="1" applyFill="1" applyBorder="1" applyAlignment="1">
      <alignment horizontal="center" vertical="center"/>
    </xf>
    <xf numFmtId="166" fontId="6" fillId="2" borderId="28" xfId="1" applyNumberFormat="1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37" xfId="0" applyFont="1" applyFill="1" applyBorder="1" applyAlignment="1">
      <alignment horizontal="center"/>
    </xf>
    <xf numFmtId="0" fontId="9" fillId="4" borderId="38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164" fontId="20" fillId="2" borderId="12" xfId="0" applyNumberFormat="1" applyFont="1" applyFill="1" applyBorder="1" applyAlignment="1">
      <alignment horizontal="center"/>
    </xf>
    <xf numFmtId="164" fontId="9" fillId="0" borderId="12" xfId="0" applyNumberFormat="1" applyFont="1" applyBorder="1" applyAlignment="1">
      <alignment horizontal="center"/>
    </xf>
    <xf numFmtId="164" fontId="0" fillId="0" borderId="12" xfId="0" applyNumberFormat="1" applyBorder="1"/>
    <xf numFmtId="0" fontId="0" fillId="2" borderId="9" xfId="0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164" fontId="20" fillId="2" borderId="10" xfId="0" applyNumberFormat="1" applyFon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164" fontId="10" fillId="0" borderId="9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0" fillId="0" borderId="0" xfId="0" applyNumberFormat="1" applyAlignment="1">
      <alignment vertical="center"/>
    </xf>
    <xf numFmtId="164" fontId="0" fillId="2" borderId="11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10" fillId="0" borderId="12" xfId="0" applyNumberFormat="1" applyFont="1" applyBorder="1" applyAlignment="1">
      <alignment horizontal="center"/>
    </xf>
    <xf numFmtId="164" fontId="9" fillId="3" borderId="8" xfId="0" applyNumberFormat="1" applyFont="1" applyFill="1" applyBorder="1" applyAlignment="1">
      <alignment horizontal="center"/>
    </xf>
    <xf numFmtId="164" fontId="9" fillId="3" borderId="10" xfId="0" applyNumberFormat="1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/>
    </xf>
    <xf numFmtId="2" fontId="9" fillId="3" borderId="41" xfId="0" applyNumberFormat="1" applyFont="1" applyFill="1" applyBorder="1" applyAlignment="1">
      <alignment horizontal="center" vertical="center"/>
    </xf>
    <xf numFmtId="1" fontId="9" fillId="3" borderId="41" xfId="0" applyNumberFormat="1" applyFont="1" applyFill="1" applyBorder="1" applyAlignment="1">
      <alignment horizontal="center"/>
    </xf>
    <xf numFmtId="2" fontId="9" fillId="3" borderId="41" xfId="0" applyNumberFormat="1" applyFont="1" applyFill="1" applyBorder="1" applyAlignment="1">
      <alignment horizontal="center"/>
    </xf>
    <xf numFmtId="165" fontId="9" fillId="3" borderId="41" xfId="0" applyNumberFormat="1" applyFont="1" applyFill="1" applyBorder="1" applyAlignment="1">
      <alignment horizontal="center"/>
    </xf>
    <xf numFmtId="2" fontId="9" fillId="2" borderId="41" xfId="0" applyNumberFormat="1" applyFont="1" applyFill="1" applyBorder="1" applyAlignment="1">
      <alignment horizontal="center"/>
    </xf>
    <xf numFmtId="2" fontId="9" fillId="3" borderId="39" xfId="0" applyNumberFormat="1" applyFont="1" applyFill="1" applyBorder="1" applyAlignment="1">
      <alignment horizontal="center"/>
    </xf>
    <xf numFmtId="2" fontId="9" fillId="2" borderId="39" xfId="0" applyNumberFormat="1" applyFont="1" applyFill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164" fontId="18" fillId="0" borderId="12" xfId="0" applyNumberFormat="1" applyFont="1" applyBorder="1" applyAlignment="1">
      <alignment horizontal="center"/>
    </xf>
    <xf numFmtId="164" fontId="18" fillId="0" borderId="9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1" fillId="2" borderId="3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2" fontId="12" fillId="0" borderId="16" xfId="0" applyNumberFormat="1" applyFont="1" applyBorder="1" applyAlignment="1">
      <alignment horizontal="center"/>
    </xf>
    <xf numFmtId="2" fontId="12" fillId="0" borderId="42" xfId="0" applyNumberFormat="1" applyFont="1" applyBorder="1" applyAlignment="1">
      <alignment horizontal="center"/>
    </xf>
    <xf numFmtId="2" fontId="12" fillId="0" borderId="23" xfId="0" applyNumberFormat="1" applyFont="1" applyBorder="1" applyAlignment="1">
      <alignment horizontal="center"/>
    </xf>
    <xf numFmtId="2" fontId="12" fillId="0" borderId="41" xfId="0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9" xfId="0" applyNumberFormat="1" applyFont="1" applyBorder="1" applyAlignment="1">
      <alignment horizontal="center"/>
    </xf>
    <xf numFmtId="2" fontId="12" fillId="0" borderId="39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164" fontId="9" fillId="3" borderId="0" xfId="0" applyNumberFormat="1" applyFont="1" applyFill="1" applyAlignment="1">
      <alignment horizontal="center"/>
    </xf>
    <xf numFmtId="2" fontId="12" fillId="0" borderId="0" xfId="0" applyNumberFormat="1" applyFont="1" applyAlignment="1">
      <alignment horizontal="center"/>
    </xf>
    <xf numFmtId="0" fontId="19" fillId="0" borderId="0" xfId="0" applyFont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1" fontId="9" fillId="3" borderId="39" xfId="0" applyNumberFormat="1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/>
    </xf>
    <xf numFmtId="165" fontId="9" fillId="3" borderId="39" xfId="0" applyNumberFormat="1" applyFont="1" applyFill="1" applyBorder="1" applyAlignment="1">
      <alignment horizontal="center"/>
    </xf>
    <xf numFmtId="164" fontId="9" fillId="3" borderId="39" xfId="0" applyNumberFormat="1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164" fontId="9" fillId="3" borderId="29" xfId="0" applyNumberFormat="1" applyFont="1" applyFill="1" applyBorder="1" applyAlignment="1">
      <alignment horizontal="center"/>
    </xf>
    <xf numFmtId="2" fontId="17" fillId="0" borderId="43" xfId="0" applyNumberFormat="1" applyFont="1" applyBorder="1" applyAlignment="1">
      <alignment horizontal="center"/>
    </xf>
    <xf numFmtId="2" fontId="17" fillId="0" borderId="44" xfId="0" applyNumberFormat="1" applyFont="1" applyBorder="1" applyAlignment="1">
      <alignment horizontal="center"/>
    </xf>
    <xf numFmtId="2" fontId="17" fillId="0" borderId="45" xfId="0" applyNumberFormat="1" applyFont="1" applyBorder="1" applyAlignment="1">
      <alignment horizontal="center"/>
    </xf>
    <xf numFmtId="2" fontId="17" fillId="0" borderId="46" xfId="0" applyNumberFormat="1" applyFont="1" applyBorder="1" applyAlignment="1">
      <alignment horizontal="center"/>
    </xf>
    <xf numFmtId="2" fontId="17" fillId="0" borderId="47" xfId="0" applyNumberFormat="1" applyFont="1" applyBorder="1" applyAlignment="1">
      <alignment horizontal="center"/>
    </xf>
    <xf numFmtId="2" fontId="17" fillId="0" borderId="48" xfId="0" applyNumberFormat="1" applyFont="1" applyBorder="1" applyAlignment="1">
      <alignment horizontal="center"/>
    </xf>
    <xf numFmtId="2" fontId="17" fillId="0" borderId="49" xfId="0" applyNumberFormat="1" applyFont="1" applyBorder="1" applyAlignment="1">
      <alignment horizontal="center"/>
    </xf>
    <xf numFmtId="2" fontId="17" fillId="0" borderId="50" xfId="0" applyNumberFormat="1" applyFont="1" applyBorder="1" applyAlignment="1">
      <alignment horizontal="center"/>
    </xf>
    <xf numFmtId="164" fontId="9" fillId="3" borderId="4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2" fontId="9" fillId="3" borderId="33" xfId="0" applyNumberFormat="1" applyFont="1" applyFill="1" applyBorder="1" applyAlignment="1">
      <alignment horizontal="center"/>
    </xf>
    <xf numFmtId="2" fontId="9" fillId="3" borderId="9" xfId="0" applyNumberFormat="1" applyFont="1" applyFill="1" applyBorder="1" applyAlignment="1">
      <alignment horizontal="center"/>
    </xf>
    <xf numFmtId="2" fontId="9" fillId="3" borderId="15" xfId="0" applyNumberFormat="1" applyFont="1" applyFill="1" applyBorder="1" applyAlignment="1">
      <alignment horizontal="center"/>
    </xf>
    <xf numFmtId="2" fontId="9" fillId="3" borderId="10" xfId="0" applyNumberFormat="1" applyFont="1" applyFill="1" applyBorder="1" applyAlignment="1">
      <alignment horizontal="center"/>
    </xf>
    <xf numFmtId="2" fontId="9" fillId="3" borderId="36" xfId="0" applyNumberFormat="1" applyFont="1" applyFill="1" applyBorder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13" xfId="0" applyNumberFormat="1" applyFont="1" applyFill="1" applyBorder="1" applyAlignment="1">
      <alignment horizontal="center"/>
    </xf>
    <xf numFmtId="2" fontId="9" fillId="3" borderId="1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2" fontId="9" fillId="3" borderId="0" xfId="0" applyNumberFormat="1" applyFont="1" applyFill="1" applyAlignment="1">
      <alignment horizontal="center" vertical="center"/>
    </xf>
    <xf numFmtId="2" fontId="9" fillId="3" borderId="12" xfId="0" applyNumberFormat="1" applyFont="1" applyFill="1" applyBorder="1" applyAlignment="1">
      <alignment horizontal="center" vertical="center"/>
    </xf>
    <xf numFmtId="1" fontId="9" fillId="3" borderId="36" xfId="0" applyNumberFormat="1" applyFont="1" applyFill="1" applyBorder="1" applyAlignment="1">
      <alignment horizontal="center"/>
    </xf>
    <xf numFmtId="1" fontId="9" fillId="3" borderId="0" xfId="0" applyNumberFormat="1" applyFont="1" applyFill="1" applyAlignment="1">
      <alignment horizontal="center"/>
    </xf>
    <xf numFmtId="1" fontId="9" fillId="3" borderId="13" xfId="0" applyNumberFormat="1" applyFont="1" applyFill="1" applyBorder="1" applyAlignment="1">
      <alignment horizontal="center"/>
    </xf>
    <xf numFmtId="1" fontId="9" fillId="3" borderId="12" xfId="0" applyNumberFormat="1" applyFont="1" applyFill="1" applyBorder="1" applyAlignment="1">
      <alignment horizontal="center"/>
    </xf>
    <xf numFmtId="2" fontId="9" fillId="3" borderId="36" xfId="0" applyNumberFormat="1" applyFont="1" applyFill="1" applyBorder="1" applyAlignment="1">
      <alignment horizontal="center" vertical="center"/>
    </xf>
    <xf numFmtId="2" fontId="9" fillId="3" borderId="13" xfId="0" applyNumberFormat="1" applyFont="1" applyFill="1" applyBorder="1" applyAlignment="1">
      <alignment horizontal="center" vertical="center"/>
    </xf>
    <xf numFmtId="165" fontId="9" fillId="3" borderId="36" xfId="0" applyNumberFormat="1" applyFont="1" applyFill="1" applyBorder="1" applyAlignment="1">
      <alignment horizontal="center"/>
    </xf>
    <xf numFmtId="165" fontId="9" fillId="3" borderId="0" xfId="0" applyNumberFormat="1" applyFont="1" applyFill="1" applyAlignment="1">
      <alignment horizontal="center"/>
    </xf>
    <xf numFmtId="165" fontId="9" fillId="3" borderId="13" xfId="0" applyNumberFormat="1" applyFont="1" applyFill="1" applyBorder="1" applyAlignment="1">
      <alignment horizontal="center"/>
    </xf>
    <xf numFmtId="165" fontId="9" fillId="3" borderId="12" xfId="0" applyNumberFormat="1" applyFont="1" applyFill="1" applyBorder="1" applyAlignment="1">
      <alignment horizontal="center"/>
    </xf>
    <xf numFmtId="2" fontId="9" fillId="3" borderId="32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22" xfId="0" applyNumberFormat="1" applyFont="1" applyFill="1" applyBorder="1" applyAlignment="1">
      <alignment horizontal="center" vertical="center"/>
    </xf>
    <xf numFmtId="2" fontId="9" fillId="3" borderId="23" xfId="0" applyNumberFormat="1" applyFont="1" applyFill="1" applyBorder="1" applyAlignment="1">
      <alignment horizontal="center" vertical="center"/>
    </xf>
    <xf numFmtId="164" fontId="9" fillId="3" borderId="36" xfId="0" applyNumberFormat="1" applyFont="1" applyFill="1" applyBorder="1" applyAlignment="1">
      <alignment horizontal="center"/>
    </xf>
    <xf numFmtId="164" fontId="9" fillId="3" borderId="0" xfId="0" applyNumberFormat="1" applyFont="1" applyFill="1" applyAlignment="1">
      <alignment horizontal="center"/>
    </xf>
    <xf numFmtId="164" fontId="9" fillId="3" borderId="13" xfId="0" applyNumberFormat="1" applyFont="1" applyFill="1" applyBorder="1" applyAlignment="1">
      <alignment horizontal="center"/>
    </xf>
    <xf numFmtId="164" fontId="9" fillId="3" borderId="1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2" fontId="12" fillId="0" borderId="8" xfId="1" applyNumberFormat="1" applyFont="1" applyBorder="1" applyAlignment="1">
      <alignment horizontal="center"/>
    </xf>
    <xf numFmtId="2" fontId="12" fillId="0" borderId="9" xfId="1" applyNumberFormat="1" applyFont="1" applyBorder="1" applyAlignment="1">
      <alignment horizontal="center"/>
    </xf>
    <xf numFmtId="2" fontId="12" fillId="0" borderId="10" xfId="1" applyNumberFormat="1" applyFont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Method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'Averaging methods'!$Z$9:$Z$42</c:f>
              <c:numCache>
                <c:formatCode>0.0</c:formatCode>
                <c:ptCount val="34"/>
                <c:pt idx="0">
                  <c:v>2.1779230690821856</c:v>
                </c:pt>
                <c:pt idx="1">
                  <c:v>-0.77020808187547585</c:v>
                </c:pt>
                <c:pt idx="2">
                  <c:v>-0.98723099199017461</c:v>
                </c:pt>
                <c:pt idx="3">
                  <c:v>0.58458985705947353</c:v>
                </c:pt>
                <c:pt idx="4">
                  <c:v>1.7047809048894009</c:v>
                </c:pt>
                <c:pt idx="5">
                  <c:v>1.4499989087404508</c:v>
                </c:pt>
                <c:pt idx="6">
                  <c:v>0.77020808187547585</c:v>
                </c:pt>
                <c:pt idx="7">
                  <c:v>0.67448975019608193</c:v>
                </c:pt>
                <c:pt idx="8">
                  <c:v>-0.58458985705947353</c:v>
                </c:pt>
                <c:pt idx="9">
                  <c:v>1.1153373577337866</c:v>
                </c:pt>
                <c:pt idx="10">
                  <c:v>0.49918784205087674</c:v>
                </c:pt>
                <c:pt idx="11">
                  <c:v>1.2649692448841479</c:v>
                </c:pt>
                <c:pt idx="12">
                  <c:v>0.87356913461508812</c:v>
                </c:pt>
                <c:pt idx="13">
                  <c:v>3.6870532662080152E-2</c:v>
                </c:pt>
                <c:pt idx="14">
                  <c:v>0.11081291229915685</c:v>
                </c:pt>
                <c:pt idx="15">
                  <c:v>-0.67448975019608193</c:v>
                </c:pt>
                <c:pt idx="16">
                  <c:v>0.26096740040145278</c:v>
                </c:pt>
                <c:pt idx="17">
                  <c:v>-2.1779230690821838</c:v>
                </c:pt>
                <c:pt idx="18">
                  <c:v>-1.2649692448841479</c:v>
                </c:pt>
                <c:pt idx="19">
                  <c:v>-0.41728413938902159</c:v>
                </c:pt>
                <c:pt idx="20">
                  <c:v>-0.110812912299157</c:v>
                </c:pt>
                <c:pt idx="21">
                  <c:v>-3.6870532662080291E-2</c:v>
                </c:pt>
                <c:pt idx="22">
                  <c:v>-0.18536701728959676</c:v>
                </c:pt>
                <c:pt idx="23">
                  <c:v>0.98723099199017461</c:v>
                </c:pt>
                <c:pt idx="24">
                  <c:v>-1.1153373577337866</c:v>
                </c:pt>
                <c:pt idx="25">
                  <c:v>-1.7047809048894003</c:v>
                </c:pt>
                <c:pt idx="26">
                  <c:v>-0.49918784205087674</c:v>
                </c:pt>
                <c:pt idx="27">
                  <c:v>-0.260967400401453</c:v>
                </c:pt>
                <c:pt idx="28">
                  <c:v>0.41728413938902159</c:v>
                </c:pt>
                <c:pt idx="29">
                  <c:v>-0.87356913461508812</c:v>
                </c:pt>
                <c:pt idx="30">
                  <c:v>-0.33809165680420711</c:v>
                </c:pt>
                <c:pt idx="31">
                  <c:v>0.33809165680420711</c:v>
                </c:pt>
                <c:pt idx="32">
                  <c:v>-1.4499989087404501</c:v>
                </c:pt>
                <c:pt idx="33">
                  <c:v>0.18536701728959662</c:v>
                </c:pt>
              </c:numCache>
            </c:numRef>
          </c:xVal>
          <c:yVal>
            <c:numRef>
              <c:f>'Averaging methods'!$W$9:$W$42</c:f>
              <c:numCache>
                <c:formatCode>0.00</c:formatCode>
                <c:ptCount val="34"/>
                <c:pt idx="0">
                  <c:v>3.4822983168891466</c:v>
                </c:pt>
                <c:pt idx="1">
                  <c:v>1.8298261665141813</c:v>
                </c:pt>
                <c:pt idx="2">
                  <c:v>1.7835909631391202</c:v>
                </c:pt>
                <c:pt idx="3">
                  <c:v>2.5252525252525251</c:v>
                </c:pt>
                <c:pt idx="4">
                  <c:v>3.3222591362126246</c:v>
                </c:pt>
                <c:pt idx="5">
                  <c:v>3.2573289902280127</c:v>
                </c:pt>
                <c:pt idx="6">
                  <c:v>2.781641168289291</c:v>
                </c:pt>
                <c:pt idx="7">
                  <c:v>2.6869682042095837</c:v>
                </c:pt>
                <c:pt idx="8">
                  <c:v>1.9607843137254901</c:v>
                </c:pt>
                <c:pt idx="9">
                  <c:v>2.9880478087649407</c:v>
                </c:pt>
                <c:pt idx="10">
                  <c:v>2.4232633279483036</c:v>
                </c:pt>
                <c:pt idx="11">
                  <c:v>3.0943785456420838</c:v>
                </c:pt>
                <c:pt idx="12">
                  <c:v>2.7958993476234855</c:v>
                </c:pt>
                <c:pt idx="13">
                  <c:v>2.2744503411675514</c:v>
                </c:pt>
                <c:pt idx="14">
                  <c:v>2.2970903522205206</c:v>
                </c:pt>
                <c:pt idx="15">
                  <c:v>1.8987341772151896</c:v>
                </c:pt>
                <c:pt idx="16">
                  <c:v>2.3428348301444748</c:v>
                </c:pt>
                <c:pt idx="17">
                  <c:v>1.3160780872998463</c:v>
                </c:pt>
                <c:pt idx="18">
                  <c:v>1.6992353440951571</c:v>
                </c:pt>
                <c:pt idx="19">
                  <c:v>2.0332090816672315</c:v>
                </c:pt>
                <c:pt idx="20">
                  <c:v>2.1186440677966099</c:v>
                </c:pt>
                <c:pt idx="21">
                  <c:v>2.2438294689603593</c:v>
                </c:pt>
                <c:pt idx="22">
                  <c:v>2.0942408376963351</c:v>
                </c:pt>
                <c:pt idx="23">
                  <c:v>2.8846153846153846</c:v>
                </c:pt>
                <c:pt idx="24">
                  <c:v>1.7246335153779822</c:v>
                </c:pt>
                <c:pt idx="25">
                  <c:v>1.4641288433382138</c:v>
                </c:pt>
                <c:pt idx="26">
                  <c:v>1.9847833278200462</c:v>
                </c:pt>
                <c:pt idx="27">
                  <c:v>2.0913210177762287</c:v>
                </c:pt>
                <c:pt idx="28">
                  <c:v>2.3781212841854935</c:v>
                </c:pt>
                <c:pt idx="29">
                  <c:v>1.8072289156626506</c:v>
                </c:pt>
                <c:pt idx="30">
                  <c:v>2.083333333333333</c:v>
                </c:pt>
                <c:pt idx="31">
                  <c:v>2.3762376237623761</c:v>
                </c:pt>
                <c:pt idx="32">
                  <c:v>1.5251652262328417</c:v>
                </c:pt>
                <c:pt idx="33">
                  <c:v>2.2988505747126435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13-461F-8E4B-D959DD62E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997280"/>
        <c:axId val="578536224"/>
      </c:scatterChart>
      <c:valAx>
        <c:axId val="62899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536224"/>
        <c:crosses val="autoZero"/>
        <c:crossBetween val="midCat"/>
      </c:valAx>
      <c:valAx>
        <c:axId val="57853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Outcome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8997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Method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'Averaging methods'!$AE$9:$AE$42</c:f>
              <c:numCache>
                <c:formatCode>0.0</c:formatCode>
                <c:ptCount val="34"/>
                <c:pt idx="0">
                  <c:v>2.1779230690821856</c:v>
                </c:pt>
                <c:pt idx="1">
                  <c:v>-0.98723099199017461</c:v>
                </c:pt>
                <c:pt idx="2">
                  <c:v>-0.87356913461508812</c:v>
                </c:pt>
                <c:pt idx="3">
                  <c:v>0.58458985705947353</c:v>
                </c:pt>
                <c:pt idx="4">
                  <c:v>1.7047809048894009</c:v>
                </c:pt>
                <c:pt idx="5">
                  <c:v>1.4499989087404508</c:v>
                </c:pt>
                <c:pt idx="6">
                  <c:v>0.77020808187547585</c:v>
                </c:pt>
                <c:pt idx="7">
                  <c:v>0.67448975019608193</c:v>
                </c:pt>
                <c:pt idx="8">
                  <c:v>-0.58458985705947353</c:v>
                </c:pt>
                <c:pt idx="9">
                  <c:v>1.1153373577337866</c:v>
                </c:pt>
                <c:pt idx="10">
                  <c:v>0.33809165680420711</c:v>
                </c:pt>
                <c:pt idx="11">
                  <c:v>1.2649692448841479</c:v>
                </c:pt>
                <c:pt idx="12">
                  <c:v>0.87356913461508812</c:v>
                </c:pt>
                <c:pt idx="13">
                  <c:v>-3.6870532662080291E-2</c:v>
                </c:pt>
                <c:pt idx="14">
                  <c:v>0.14798710972583889</c:v>
                </c:pt>
                <c:pt idx="15">
                  <c:v>-0.67448975019608193</c:v>
                </c:pt>
                <c:pt idx="16">
                  <c:v>0.26096740040145278</c:v>
                </c:pt>
                <c:pt idx="17">
                  <c:v>-2.1779230690821838</c:v>
                </c:pt>
                <c:pt idx="18">
                  <c:v>-1.2649692448841479</c:v>
                </c:pt>
                <c:pt idx="19">
                  <c:v>-0.41728413938902159</c:v>
                </c:pt>
                <c:pt idx="20">
                  <c:v>-0.18536701728959676</c:v>
                </c:pt>
                <c:pt idx="21">
                  <c:v>3.6870532662080152E-2</c:v>
                </c:pt>
                <c:pt idx="22">
                  <c:v>-0.260967400401453</c:v>
                </c:pt>
                <c:pt idx="23">
                  <c:v>0.98723099199017461</c:v>
                </c:pt>
                <c:pt idx="24">
                  <c:v>-1.1153373577337866</c:v>
                </c:pt>
                <c:pt idx="25">
                  <c:v>-1.7047809048894003</c:v>
                </c:pt>
                <c:pt idx="26">
                  <c:v>-0.49918784205087674</c:v>
                </c:pt>
                <c:pt idx="27">
                  <c:v>-0.33809165680420711</c:v>
                </c:pt>
                <c:pt idx="28">
                  <c:v>0.49918784205087674</c:v>
                </c:pt>
                <c:pt idx="29">
                  <c:v>-0.77020808187547585</c:v>
                </c:pt>
                <c:pt idx="30">
                  <c:v>-0.110812912299157</c:v>
                </c:pt>
                <c:pt idx="31">
                  <c:v>0.41728413938902159</c:v>
                </c:pt>
                <c:pt idx="32">
                  <c:v>-1.4499989087404501</c:v>
                </c:pt>
                <c:pt idx="33">
                  <c:v>0.14798710972583889</c:v>
                </c:pt>
              </c:numCache>
            </c:numRef>
          </c:xVal>
          <c:yVal>
            <c:numRef>
              <c:f>'Averaging methods'!$AB$9:$AB$42</c:f>
              <c:numCache>
                <c:formatCode>0.00</c:formatCode>
                <c:ptCount val="34"/>
                <c:pt idx="0">
                  <c:v>3.4822983168891466</c:v>
                </c:pt>
                <c:pt idx="1">
                  <c:v>1.8050541516245486</c:v>
                </c:pt>
                <c:pt idx="2">
                  <c:v>1.8348623853211008</c:v>
                </c:pt>
                <c:pt idx="3">
                  <c:v>2.5241901556583928</c:v>
                </c:pt>
                <c:pt idx="4">
                  <c:v>3.3094318808604526</c:v>
                </c:pt>
                <c:pt idx="5">
                  <c:v>3.2573289902280127</c:v>
                </c:pt>
                <c:pt idx="6">
                  <c:v>2.6845637583892619</c:v>
                </c:pt>
                <c:pt idx="7">
                  <c:v>2.6809651474530831</c:v>
                </c:pt>
                <c:pt idx="8">
                  <c:v>1.9607843137254901</c:v>
                </c:pt>
                <c:pt idx="9">
                  <c:v>2.9850746268656714</c:v>
                </c:pt>
                <c:pt idx="10">
                  <c:v>2.4232633279483036</c:v>
                </c:pt>
                <c:pt idx="11">
                  <c:v>3.0943785456420838</c:v>
                </c:pt>
                <c:pt idx="12">
                  <c:v>2.7998133457769478</c:v>
                </c:pt>
                <c:pt idx="13">
                  <c:v>2.1929824561403506</c:v>
                </c:pt>
                <c:pt idx="14">
                  <c:v>2.2988505747126435</c:v>
                </c:pt>
                <c:pt idx="15">
                  <c:v>1.8714909544603868</c:v>
                </c:pt>
                <c:pt idx="16">
                  <c:v>2.3557126030624262</c:v>
                </c:pt>
                <c:pt idx="17">
                  <c:v>1.3149243918474687</c:v>
                </c:pt>
                <c:pt idx="18">
                  <c:v>1.6992353440951571</c:v>
                </c:pt>
                <c:pt idx="19">
                  <c:v>2.0338983050847457</c:v>
                </c:pt>
                <c:pt idx="20">
                  <c:v>2.1164021164021163</c:v>
                </c:pt>
                <c:pt idx="21">
                  <c:v>2.2438294689603593</c:v>
                </c:pt>
                <c:pt idx="22">
                  <c:v>2.0935101186322398</c:v>
                </c:pt>
                <c:pt idx="23">
                  <c:v>2.8222013170272815</c:v>
                </c:pt>
                <c:pt idx="24">
                  <c:v>1.7251293847038529</c:v>
                </c:pt>
                <c:pt idx="25">
                  <c:v>1.386001386001386</c:v>
                </c:pt>
                <c:pt idx="26">
                  <c:v>2.0161290322580645</c:v>
                </c:pt>
                <c:pt idx="27">
                  <c:v>2.0913210177762287</c:v>
                </c:pt>
                <c:pt idx="28">
                  <c:v>2.470152326060107</c:v>
                </c:pt>
                <c:pt idx="29">
                  <c:v>1.8650917003419334</c:v>
                </c:pt>
                <c:pt idx="30">
                  <c:v>2.1660649819494586</c:v>
                </c:pt>
                <c:pt idx="31">
                  <c:v>2.4311183144246353</c:v>
                </c:pt>
                <c:pt idx="32">
                  <c:v>1.5228426395939088</c:v>
                </c:pt>
                <c:pt idx="33">
                  <c:v>2.2988505747126435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E3-4D9A-A1FF-CE9B8283B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494864"/>
        <c:axId val="713499784"/>
      </c:scatterChart>
      <c:valAx>
        <c:axId val="713494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499784"/>
        <c:crosses val="autoZero"/>
        <c:crossBetween val="midCat"/>
      </c:valAx>
      <c:valAx>
        <c:axId val="713499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Outcome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494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Method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'Averaging methods'!$AJ$9:$AJ$42</c:f>
              <c:numCache>
                <c:formatCode>0.0</c:formatCode>
                <c:ptCount val="34"/>
                <c:pt idx="0">
                  <c:v>2.1779230690821856</c:v>
                </c:pt>
                <c:pt idx="1">
                  <c:v>-0.77020808187547585</c:v>
                </c:pt>
                <c:pt idx="2">
                  <c:v>-0.87356913461508812</c:v>
                </c:pt>
                <c:pt idx="3">
                  <c:v>0.49918784205087674</c:v>
                </c:pt>
                <c:pt idx="4">
                  <c:v>1.7047809048894009</c:v>
                </c:pt>
                <c:pt idx="5">
                  <c:v>1.4499989087404508</c:v>
                </c:pt>
                <c:pt idx="6">
                  <c:v>0.67448975019608193</c:v>
                </c:pt>
                <c:pt idx="7">
                  <c:v>0.77020808187547585</c:v>
                </c:pt>
                <c:pt idx="8">
                  <c:v>-0.49918784205087674</c:v>
                </c:pt>
                <c:pt idx="9">
                  <c:v>1.1153373577337866</c:v>
                </c:pt>
                <c:pt idx="10">
                  <c:v>0.41728413938902159</c:v>
                </c:pt>
                <c:pt idx="11">
                  <c:v>1.2649692448841479</c:v>
                </c:pt>
                <c:pt idx="12">
                  <c:v>0.87356913461508812</c:v>
                </c:pt>
                <c:pt idx="13">
                  <c:v>0.58458985705947353</c:v>
                </c:pt>
                <c:pt idx="14">
                  <c:v>0.11081291229915685</c:v>
                </c:pt>
                <c:pt idx="15">
                  <c:v>-0.67448975019608193</c:v>
                </c:pt>
                <c:pt idx="16">
                  <c:v>0.26096740040145278</c:v>
                </c:pt>
                <c:pt idx="17">
                  <c:v>-2.1779230690821838</c:v>
                </c:pt>
                <c:pt idx="18">
                  <c:v>-0.98723099199017461</c:v>
                </c:pt>
                <c:pt idx="19">
                  <c:v>-0.33809165680420711</c:v>
                </c:pt>
                <c:pt idx="20">
                  <c:v>-0.110812912299157</c:v>
                </c:pt>
                <c:pt idx="21">
                  <c:v>-3.6870532662080291E-2</c:v>
                </c:pt>
                <c:pt idx="22">
                  <c:v>-0.260967400401453</c:v>
                </c:pt>
                <c:pt idx="23">
                  <c:v>0.98723099199017461</c:v>
                </c:pt>
                <c:pt idx="24">
                  <c:v>-1.2649692448841479</c:v>
                </c:pt>
                <c:pt idx="25">
                  <c:v>-1.7047809048894003</c:v>
                </c:pt>
                <c:pt idx="26">
                  <c:v>-0.58458985705947353</c:v>
                </c:pt>
                <c:pt idx="27">
                  <c:v>-0.18536701728959676</c:v>
                </c:pt>
                <c:pt idx="28">
                  <c:v>0.18536701728959662</c:v>
                </c:pt>
                <c:pt idx="29">
                  <c:v>-1.1153373577337866</c:v>
                </c:pt>
                <c:pt idx="30">
                  <c:v>-0.41728413938902159</c:v>
                </c:pt>
                <c:pt idx="31">
                  <c:v>0.33809165680420711</c:v>
                </c:pt>
                <c:pt idx="32">
                  <c:v>-1.4499989087404501</c:v>
                </c:pt>
                <c:pt idx="33">
                  <c:v>3.6870532662080152E-2</c:v>
                </c:pt>
              </c:numCache>
            </c:numRef>
          </c:xVal>
          <c:yVal>
            <c:numRef>
              <c:f>'Averaging methods'!$AG$9:$AG$42</c:f>
              <c:numCache>
                <c:formatCode>0.00</c:formatCode>
                <c:ptCount val="34"/>
                <c:pt idx="0">
                  <c:v>3.5005834305717616</c:v>
                </c:pt>
                <c:pt idx="1">
                  <c:v>1.8264840182648403</c:v>
                </c:pt>
                <c:pt idx="2">
                  <c:v>1.7830609212481427</c:v>
                </c:pt>
                <c:pt idx="3">
                  <c:v>2.4891101431238334</c:v>
                </c:pt>
                <c:pt idx="4">
                  <c:v>3.3755274261603381</c:v>
                </c:pt>
                <c:pt idx="5">
                  <c:v>3.2266738370529713</c:v>
                </c:pt>
                <c:pt idx="6">
                  <c:v>2.6601640434493459</c:v>
                </c:pt>
                <c:pt idx="7">
                  <c:v>2.6942074539739562</c:v>
                </c:pt>
                <c:pt idx="8">
                  <c:v>1.957905041605482</c:v>
                </c:pt>
                <c:pt idx="9">
                  <c:v>2.9917726252804786</c:v>
                </c:pt>
                <c:pt idx="10">
                  <c:v>2.4217961654894049</c:v>
                </c:pt>
                <c:pt idx="11">
                  <c:v>3.1047865459249677</c:v>
                </c:pt>
                <c:pt idx="12">
                  <c:v>2.7063599458728009</c:v>
                </c:pt>
                <c:pt idx="13">
                  <c:v>2.6212319790301439</c:v>
                </c:pt>
                <c:pt idx="14">
                  <c:v>2.2874571101791847</c:v>
                </c:pt>
                <c:pt idx="15">
                  <c:v>1.9277108433734937</c:v>
                </c:pt>
                <c:pt idx="16">
                  <c:v>2.3663971603234075</c:v>
                </c:pt>
                <c:pt idx="17">
                  <c:v>1.282188267977348</c:v>
                </c:pt>
                <c:pt idx="18">
                  <c:v>1.6958733747880161</c:v>
                </c:pt>
                <c:pt idx="19">
                  <c:v>2.0484807101399798</c:v>
                </c:pt>
                <c:pt idx="20">
                  <c:v>2.099370188943317</c:v>
                </c:pt>
                <c:pt idx="21">
                  <c:v>2.2421524663677133</c:v>
                </c:pt>
                <c:pt idx="22">
                  <c:v>2.0625644551392233</c:v>
                </c:pt>
                <c:pt idx="23">
                  <c:v>2.956393200295639</c:v>
                </c:pt>
                <c:pt idx="24">
                  <c:v>1.6103059581320449</c:v>
                </c:pt>
                <c:pt idx="25">
                  <c:v>1.5120967741935485</c:v>
                </c:pt>
                <c:pt idx="26">
                  <c:v>1.9292604501607717</c:v>
                </c:pt>
                <c:pt idx="27">
                  <c:v>2.0847810979847115</c:v>
                </c:pt>
                <c:pt idx="28">
                  <c:v>2.3645320197044337</c:v>
                </c:pt>
                <c:pt idx="29">
                  <c:v>1.6790261648244018</c:v>
                </c:pt>
                <c:pt idx="30">
                  <c:v>2.0134228187919461</c:v>
                </c:pt>
                <c:pt idx="31">
                  <c:v>2.3871096081161722</c:v>
                </c:pt>
                <c:pt idx="32">
                  <c:v>1.5255530129672006</c:v>
                </c:pt>
                <c:pt idx="33">
                  <c:v>2.2705771050141914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AA-4216-B2F2-9A0681C43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494864"/>
        <c:axId val="713499784"/>
      </c:scatterChart>
      <c:valAx>
        <c:axId val="713494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499784"/>
        <c:crosses val="autoZero"/>
        <c:crossBetween val="midCat"/>
      </c:valAx>
      <c:valAx>
        <c:axId val="713499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Outcome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494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VL HHbR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'HHbR vs HHbB vs StO2'!$Z$9:$Z$44</c:f>
              <c:numCache>
                <c:formatCode>0.0</c:formatCode>
                <c:ptCount val="36"/>
                <c:pt idx="0">
                  <c:v>1.7316643961222455</c:v>
                </c:pt>
                <c:pt idx="1">
                  <c:v>-0.81221780149991241</c:v>
                </c:pt>
                <c:pt idx="2">
                  <c:v>-0.91324992668360727</c:v>
                </c:pt>
                <c:pt idx="3">
                  <c:v>0.39283081364972938</c:v>
                </c:pt>
                <c:pt idx="4">
                  <c:v>2.2004105812100336</c:v>
                </c:pt>
                <c:pt idx="5">
                  <c:v>1.4799413890351927</c:v>
                </c:pt>
                <c:pt idx="6">
                  <c:v>1.2975429286165541</c:v>
                </c:pt>
                <c:pt idx="7">
                  <c:v>0.54852228269809822</c:v>
                </c:pt>
                <c:pt idx="8">
                  <c:v>0.63140189423976112</c:v>
                </c:pt>
                <c:pt idx="9">
                  <c:v>-0.54852228269809788</c:v>
                </c:pt>
                <c:pt idx="10">
                  <c:v>1.024592392540099</c:v>
                </c:pt>
                <c:pt idx="11">
                  <c:v>0.3186393639643752</c:v>
                </c:pt>
                <c:pt idx="12">
                  <c:v>0.81221780149991241</c:v>
                </c:pt>
                <c:pt idx="13">
                  <c:v>1.1503493803760083</c:v>
                </c:pt>
                <c:pt idx="14">
                  <c:v>0.71886805282271604</c:v>
                </c:pt>
                <c:pt idx="15">
                  <c:v>0.46925288381280222</c:v>
                </c:pt>
                <c:pt idx="16">
                  <c:v>3.482131726034756E-2</c:v>
                </c:pt>
                <c:pt idx="17">
                  <c:v>-0.71886805282271549</c:v>
                </c:pt>
                <c:pt idx="18">
                  <c:v>0.17495994016573252</c:v>
                </c:pt>
                <c:pt idx="19">
                  <c:v>-2.2004105812100327</c:v>
                </c:pt>
                <c:pt idx="20">
                  <c:v>-1.024592392540099</c:v>
                </c:pt>
                <c:pt idx="21">
                  <c:v>-0.39283081364972938</c:v>
                </c:pt>
                <c:pt idx="22">
                  <c:v>-0.17495994016573252</c:v>
                </c:pt>
                <c:pt idx="23">
                  <c:v>-0.10463345561407539</c:v>
                </c:pt>
                <c:pt idx="24">
                  <c:v>-0.3186393639643752</c:v>
                </c:pt>
                <c:pt idx="25">
                  <c:v>0.91324992668360727</c:v>
                </c:pt>
                <c:pt idx="26">
                  <c:v>-1.2975429286165541</c:v>
                </c:pt>
                <c:pt idx="27">
                  <c:v>-1.7316643961222451</c:v>
                </c:pt>
                <c:pt idx="28">
                  <c:v>-0.6314018942397609</c:v>
                </c:pt>
                <c:pt idx="29">
                  <c:v>-0.24616364666135951</c:v>
                </c:pt>
                <c:pt idx="30">
                  <c:v>0.10463345561407525</c:v>
                </c:pt>
                <c:pt idx="31">
                  <c:v>-1.1503493803760083</c:v>
                </c:pt>
                <c:pt idx="32">
                  <c:v>-0.46925288381280222</c:v>
                </c:pt>
                <c:pt idx="33">
                  <c:v>0.24616364666135951</c:v>
                </c:pt>
                <c:pt idx="34">
                  <c:v>-1.4799413890351922</c:v>
                </c:pt>
                <c:pt idx="35">
                  <c:v>-3.4821317260347699E-2</c:v>
                </c:pt>
              </c:numCache>
            </c:numRef>
          </c:xVal>
          <c:yVal>
            <c:numRef>
              <c:f>'HHbR vs HHbB vs StO2'!$W$9:$W$44</c:f>
              <c:numCache>
                <c:formatCode>0.00</c:formatCode>
                <c:ptCount val="36"/>
                <c:pt idx="0">
                  <c:v>3.5005834305717616</c:v>
                </c:pt>
                <c:pt idx="1">
                  <c:v>1.8264840182648403</c:v>
                </c:pt>
                <c:pt idx="2">
                  <c:v>1.7830609212481427</c:v>
                </c:pt>
                <c:pt idx="3">
                  <c:v>2.4891101431238334</c:v>
                </c:pt>
                <c:pt idx="4">
                  <c:v>3.8192234245703371</c:v>
                </c:pt>
                <c:pt idx="5">
                  <c:v>3.3755274261603381</c:v>
                </c:pt>
                <c:pt idx="6">
                  <c:v>3.2266738370529713</c:v>
                </c:pt>
                <c:pt idx="7">
                  <c:v>2.6601640434493459</c:v>
                </c:pt>
                <c:pt idx="8">
                  <c:v>2.6942074539739562</c:v>
                </c:pt>
                <c:pt idx="9">
                  <c:v>1.957905041605482</c:v>
                </c:pt>
                <c:pt idx="10">
                  <c:v>2.9917726252804786</c:v>
                </c:pt>
                <c:pt idx="11">
                  <c:v>2.4217961654894049</c:v>
                </c:pt>
                <c:pt idx="12">
                  <c:v>2.9462312791554135</c:v>
                </c:pt>
                <c:pt idx="13">
                  <c:v>3.1047865459249677</c:v>
                </c:pt>
                <c:pt idx="14">
                  <c:v>2.7063599458728009</c:v>
                </c:pt>
                <c:pt idx="15">
                  <c:v>2.6212319790301439</c:v>
                </c:pt>
                <c:pt idx="16">
                  <c:v>2.2874571101791847</c:v>
                </c:pt>
                <c:pt idx="17">
                  <c:v>1.9277108433734937</c:v>
                </c:pt>
                <c:pt idx="18">
                  <c:v>2.3663971603234075</c:v>
                </c:pt>
                <c:pt idx="19">
                  <c:v>1.282188267977348</c:v>
                </c:pt>
                <c:pt idx="20">
                  <c:v>1.6958733747880161</c:v>
                </c:pt>
                <c:pt idx="21">
                  <c:v>2.0484807101399798</c:v>
                </c:pt>
                <c:pt idx="22">
                  <c:v>2.099370188943317</c:v>
                </c:pt>
                <c:pt idx="23">
                  <c:v>2.2421524663677133</c:v>
                </c:pt>
                <c:pt idx="24">
                  <c:v>2.0625644551392233</c:v>
                </c:pt>
                <c:pt idx="25">
                  <c:v>2.956393200295639</c:v>
                </c:pt>
                <c:pt idx="26">
                  <c:v>1.6103059581320449</c:v>
                </c:pt>
                <c:pt idx="27">
                  <c:v>1.5120967741935485</c:v>
                </c:pt>
                <c:pt idx="28">
                  <c:v>1.9292604501607717</c:v>
                </c:pt>
                <c:pt idx="29">
                  <c:v>2.0847810979847115</c:v>
                </c:pt>
                <c:pt idx="30">
                  <c:v>2.3645320197044337</c:v>
                </c:pt>
                <c:pt idx="31">
                  <c:v>1.6790261648244018</c:v>
                </c:pt>
                <c:pt idx="32">
                  <c:v>2.0134228187919461</c:v>
                </c:pt>
                <c:pt idx="33">
                  <c:v>2.3871096081161722</c:v>
                </c:pt>
                <c:pt idx="34">
                  <c:v>1.5255530129672006</c:v>
                </c:pt>
                <c:pt idx="35">
                  <c:v>2.2705771050141914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91-43E3-8A01-23C0438F2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997280"/>
        <c:axId val="578536224"/>
      </c:scatterChart>
      <c:valAx>
        <c:axId val="62899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536224"/>
        <c:crosses val="autoZero"/>
        <c:crossBetween val="midCat"/>
      </c:valAx>
      <c:valAx>
        <c:axId val="57853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Outcome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8997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VL HHbB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'HHbR vs HHbB vs StO2'!$AE$9:$AE$44</c:f>
              <c:numCache>
                <c:formatCode>0.0</c:formatCode>
                <c:ptCount val="36"/>
                <c:pt idx="0">
                  <c:v>1.7316643961222455</c:v>
                </c:pt>
                <c:pt idx="1">
                  <c:v>-0.91324992668360727</c:v>
                </c:pt>
                <c:pt idx="2">
                  <c:v>-0.81221780149991241</c:v>
                </c:pt>
                <c:pt idx="3">
                  <c:v>0.46925288381280222</c:v>
                </c:pt>
                <c:pt idx="4">
                  <c:v>2.2004105812100336</c:v>
                </c:pt>
                <c:pt idx="5">
                  <c:v>1.024592392540099</c:v>
                </c:pt>
                <c:pt idx="6">
                  <c:v>1.4799413890351927</c:v>
                </c:pt>
                <c:pt idx="7">
                  <c:v>0.71886805282271604</c:v>
                </c:pt>
                <c:pt idx="8">
                  <c:v>0.39283081364972938</c:v>
                </c:pt>
                <c:pt idx="9">
                  <c:v>-0.71886805282271549</c:v>
                </c:pt>
                <c:pt idx="10">
                  <c:v>1.1503493803760083</c:v>
                </c:pt>
                <c:pt idx="11">
                  <c:v>0.10463345561407525</c:v>
                </c:pt>
                <c:pt idx="12">
                  <c:v>0.81221780149991241</c:v>
                </c:pt>
                <c:pt idx="13">
                  <c:v>1.2975429286165541</c:v>
                </c:pt>
                <c:pt idx="14">
                  <c:v>0.63140189423976112</c:v>
                </c:pt>
                <c:pt idx="15">
                  <c:v>0.54852228269809822</c:v>
                </c:pt>
                <c:pt idx="16">
                  <c:v>0.3186393639643752</c:v>
                </c:pt>
                <c:pt idx="17">
                  <c:v>-0.39283081364972938</c:v>
                </c:pt>
                <c:pt idx="18">
                  <c:v>3.482131726034756E-2</c:v>
                </c:pt>
                <c:pt idx="19">
                  <c:v>-2.2004105812100327</c:v>
                </c:pt>
                <c:pt idx="20">
                  <c:v>-1.1503493803760083</c:v>
                </c:pt>
                <c:pt idx="21">
                  <c:v>-0.17495994016573252</c:v>
                </c:pt>
                <c:pt idx="22">
                  <c:v>-0.3186393639643752</c:v>
                </c:pt>
                <c:pt idx="23">
                  <c:v>-0.10463345561407539</c:v>
                </c:pt>
                <c:pt idx="24">
                  <c:v>-0.46925288381280222</c:v>
                </c:pt>
                <c:pt idx="25">
                  <c:v>0.91324992668360727</c:v>
                </c:pt>
                <c:pt idx="26">
                  <c:v>-1.2975429286165541</c:v>
                </c:pt>
                <c:pt idx="27">
                  <c:v>-1.4799413890351922</c:v>
                </c:pt>
                <c:pt idx="28">
                  <c:v>-0.54852228269809788</c:v>
                </c:pt>
                <c:pt idx="29">
                  <c:v>-0.24616364666135951</c:v>
                </c:pt>
                <c:pt idx="30">
                  <c:v>0.17495994016573252</c:v>
                </c:pt>
                <c:pt idx="31">
                  <c:v>-1.024592392540099</c:v>
                </c:pt>
                <c:pt idx="32">
                  <c:v>-0.6314018942397609</c:v>
                </c:pt>
                <c:pt idx="33">
                  <c:v>0.24616364666135951</c:v>
                </c:pt>
                <c:pt idx="34">
                  <c:v>-1.7316643961222451</c:v>
                </c:pt>
                <c:pt idx="35">
                  <c:v>-3.4821317260347699E-2</c:v>
                </c:pt>
              </c:numCache>
            </c:numRef>
          </c:xVal>
          <c:yVal>
            <c:numRef>
              <c:f>'HHbR vs HHbB vs StO2'!$AB$9:$AB$44</c:f>
              <c:numCache>
                <c:formatCode>0.00</c:formatCode>
                <c:ptCount val="36"/>
                <c:pt idx="0">
                  <c:v>3.3850493653032436</c:v>
                </c:pt>
                <c:pt idx="1">
                  <c:v>1.8267620642411326</c:v>
                </c:pt>
                <c:pt idx="2">
                  <c:v>1.8501387604070305</c:v>
                </c:pt>
                <c:pt idx="3">
                  <c:v>2.6333113890717579</c:v>
                </c:pt>
                <c:pt idx="4">
                  <c:v>3.5693039857227831</c:v>
                </c:pt>
                <c:pt idx="5">
                  <c:v>2.9636947394418378</c:v>
                </c:pt>
                <c:pt idx="6">
                  <c:v>3.2679738562091503</c:v>
                </c:pt>
                <c:pt idx="7">
                  <c:v>2.8992510268180722</c:v>
                </c:pt>
                <c:pt idx="8">
                  <c:v>2.6138096275321283</c:v>
                </c:pt>
                <c:pt idx="9">
                  <c:v>1.9493177387914229</c:v>
                </c:pt>
                <c:pt idx="10">
                  <c:v>3.037974683544304</c:v>
                </c:pt>
                <c:pt idx="11">
                  <c:v>2.356637863315004</c:v>
                </c:pt>
                <c:pt idx="12">
                  <c:v>2.9289724188430561</c:v>
                </c:pt>
                <c:pt idx="13">
                  <c:v>3.1225604996096803</c:v>
                </c:pt>
                <c:pt idx="14">
                  <c:v>2.7497708524289641</c:v>
                </c:pt>
                <c:pt idx="15">
                  <c:v>2.6513477684489617</c:v>
                </c:pt>
                <c:pt idx="16">
                  <c:v>2.4096385542168677</c:v>
                </c:pt>
                <c:pt idx="17">
                  <c:v>2.0554984583761562</c:v>
                </c:pt>
                <c:pt idx="18">
                  <c:v>2.3506366307541624</c:v>
                </c:pt>
                <c:pt idx="19">
                  <c:v>1.2782275244993608</c:v>
                </c:pt>
                <c:pt idx="20">
                  <c:v>1.6364380199099959</c:v>
                </c:pt>
                <c:pt idx="21">
                  <c:v>2.0964360587002098</c:v>
                </c:pt>
                <c:pt idx="22">
                  <c:v>2.0668274199104375</c:v>
                </c:pt>
                <c:pt idx="23">
                  <c:v>2.21606648199446</c:v>
                </c:pt>
                <c:pt idx="24">
                  <c:v>2.0335536349771224</c:v>
                </c:pt>
                <c:pt idx="25">
                  <c:v>2.9542097488921715</c:v>
                </c:pt>
                <c:pt idx="26">
                  <c:v>1.5487867836861124</c:v>
                </c:pt>
                <c:pt idx="27">
                  <c:v>1.5290519877675843</c:v>
                </c:pt>
                <c:pt idx="28">
                  <c:v>1.9851116625310172</c:v>
                </c:pt>
                <c:pt idx="29">
                  <c:v>2.0678959159055661</c:v>
                </c:pt>
                <c:pt idx="30">
                  <c:v>2.358490566037736</c:v>
                </c:pt>
                <c:pt idx="31">
                  <c:v>1.7817371937639201</c:v>
                </c:pt>
                <c:pt idx="32">
                  <c:v>1.9601437438745508</c:v>
                </c:pt>
                <c:pt idx="33">
                  <c:v>2.3976023976023977</c:v>
                </c:pt>
                <c:pt idx="34">
                  <c:v>1.4785608674223756</c:v>
                </c:pt>
                <c:pt idx="35">
                  <c:v>2.2383883603805259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BB-40D4-BF95-DC86B36D8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494864"/>
        <c:axId val="713499784"/>
      </c:scatterChart>
      <c:valAx>
        <c:axId val="713494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499784"/>
        <c:crosses val="autoZero"/>
        <c:crossBetween val="midCat"/>
      </c:valAx>
      <c:valAx>
        <c:axId val="713499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Outcome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494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VL StO2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'HHbR vs HHbB vs StO2'!$AJ$9:$AJ$44</c:f>
              <c:numCache>
                <c:formatCode>0.0</c:formatCode>
                <c:ptCount val="36"/>
                <c:pt idx="0">
                  <c:v>0.71886805282271604</c:v>
                </c:pt>
                <c:pt idx="1">
                  <c:v>-1.4799413890351922</c:v>
                </c:pt>
                <c:pt idx="2">
                  <c:v>-0.46925288381280222</c:v>
                </c:pt>
                <c:pt idx="3">
                  <c:v>0.63140189423976112</c:v>
                </c:pt>
                <c:pt idx="4">
                  <c:v>2.2004105812100336</c:v>
                </c:pt>
                <c:pt idx="5">
                  <c:v>1.024592392540099</c:v>
                </c:pt>
                <c:pt idx="6">
                  <c:v>1.7316643961222455</c:v>
                </c:pt>
                <c:pt idx="7">
                  <c:v>1.1503493803760083</c:v>
                </c:pt>
                <c:pt idx="8">
                  <c:v>-0.10463345561407539</c:v>
                </c:pt>
                <c:pt idx="9">
                  <c:v>-0.81221780149991241</c:v>
                </c:pt>
                <c:pt idx="10">
                  <c:v>0.91324992668360727</c:v>
                </c:pt>
                <c:pt idx="11">
                  <c:v>-0.3186393639643752</c:v>
                </c:pt>
                <c:pt idx="12">
                  <c:v>0.54852228269809822</c:v>
                </c:pt>
                <c:pt idx="13">
                  <c:v>1.2975429286165541</c:v>
                </c:pt>
                <c:pt idx="14">
                  <c:v>0.24616364666135951</c:v>
                </c:pt>
                <c:pt idx="15">
                  <c:v>-3.4821317260347699E-2</c:v>
                </c:pt>
                <c:pt idx="16">
                  <c:v>0.10463345561407525</c:v>
                </c:pt>
                <c:pt idx="17">
                  <c:v>3.482131726034756E-2</c:v>
                </c:pt>
                <c:pt idx="18">
                  <c:v>-0.54852228269809788</c:v>
                </c:pt>
                <c:pt idx="19">
                  <c:v>-1.2975429286165541</c:v>
                </c:pt>
                <c:pt idx="20">
                  <c:v>-1.024592392540099</c:v>
                </c:pt>
                <c:pt idx="21">
                  <c:v>0.17495994016573252</c:v>
                </c:pt>
                <c:pt idx="22">
                  <c:v>-0.6314018942397609</c:v>
                </c:pt>
                <c:pt idx="23">
                  <c:v>-0.39283081364972938</c:v>
                </c:pt>
                <c:pt idx="24">
                  <c:v>-0.24616364666135951</c:v>
                </c:pt>
                <c:pt idx="25">
                  <c:v>-0.17495994016573252</c:v>
                </c:pt>
                <c:pt idx="26">
                  <c:v>0.81221780149991241</c:v>
                </c:pt>
                <c:pt idx="27">
                  <c:v>0.3186393639643752</c:v>
                </c:pt>
                <c:pt idx="28">
                  <c:v>-0.71886805282271549</c:v>
                </c:pt>
                <c:pt idx="29">
                  <c:v>0.39283081364972938</c:v>
                </c:pt>
                <c:pt idx="30">
                  <c:v>-1.1503493803760083</c:v>
                </c:pt>
                <c:pt idx="31">
                  <c:v>-0.91324992668360727</c:v>
                </c:pt>
                <c:pt idx="32">
                  <c:v>-2.2004105812100327</c:v>
                </c:pt>
                <c:pt idx="33">
                  <c:v>0.46925288381280222</c:v>
                </c:pt>
                <c:pt idx="34">
                  <c:v>-1.7316643961222451</c:v>
                </c:pt>
                <c:pt idx="35">
                  <c:v>1.4799413890351927</c:v>
                </c:pt>
              </c:numCache>
            </c:numRef>
          </c:xVal>
          <c:yVal>
            <c:numRef>
              <c:f>'HHbR vs HHbB vs StO2'!$AG$9:$AG$44</c:f>
              <c:numCache>
                <c:formatCode>0.00</c:formatCode>
                <c:ptCount val="36"/>
                <c:pt idx="0">
                  <c:v>3.2635300516725598</c:v>
                </c:pt>
                <c:pt idx="1">
                  <c:v>1.9348597226701068</c:v>
                </c:pt>
                <c:pt idx="2">
                  <c:v>2.2654332641117612</c:v>
                </c:pt>
                <c:pt idx="3">
                  <c:v>3.1662269129287597</c:v>
                </c:pt>
                <c:pt idx="4">
                  <c:v>5.5442616891517282</c:v>
                </c:pt>
                <c:pt idx="5">
                  <c:v>3.4944670937682001</c:v>
                </c:pt>
                <c:pt idx="6">
                  <c:v>5.4498387756028883</c:v>
                </c:pt>
                <c:pt idx="7">
                  <c:v>3.7535189239912423</c:v>
                </c:pt>
                <c:pt idx="8">
                  <c:v>2.606995437757984</c:v>
                </c:pt>
                <c:pt idx="9">
                  <c:v>2.0905923344947732</c:v>
                </c:pt>
                <c:pt idx="10">
                  <c:v>3.3140016570008282</c:v>
                </c:pt>
                <c:pt idx="11">
                  <c:v>2.3668639053254434</c:v>
                </c:pt>
                <c:pt idx="12">
                  <c:v>3.162055335968379</c:v>
                </c:pt>
                <c:pt idx="13">
                  <c:v>4.1724617524339367</c:v>
                </c:pt>
                <c:pt idx="14">
                  <c:v>2.7441115938714837</c:v>
                </c:pt>
                <c:pt idx="15">
                  <c:v>2.6115342763873777</c:v>
                </c:pt>
                <c:pt idx="16">
                  <c:v>2.625246116823452</c:v>
                </c:pt>
                <c:pt idx="17">
                  <c:v>2.6212319790301439</c:v>
                </c:pt>
                <c:pt idx="18">
                  <c:v>2.1802325581395348</c:v>
                </c:pt>
                <c:pt idx="19">
                  <c:v>1.9408054342552159</c:v>
                </c:pt>
                <c:pt idx="20">
                  <c:v>1.9930244145490781</c:v>
                </c:pt>
                <c:pt idx="21">
                  <c:v>2.7303754266211602</c:v>
                </c:pt>
                <c:pt idx="22">
                  <c:v>2.1149101163200563</c:v>
                </c:pt>
                <c:pt idx="23">
                  <c:v>2.3006134969325154</c:v>
                </c:pt>
                <c:pt idx="24">
                  <c:v>2.4464831804281344</c:v>
                </c:pt>
                <c:pt idx="25">
                  <c:v>2.4509803921568625</c:v>
                </c:pt>
                <c:pt idx="26">
                  <c:v>3.2768978700163847</c:v>
                </c:pt>
                <c:pt idx="27">
                  <c:v>2.8908696699590464</c:v>
                </c:pt>
                <c:pt idx="28">
                  <c:v>2.0979020979020979</c:v>
                </c:pt>
                <c:pt idx="29">
                  <c:v>2.9048656499636891</c:v>
                </c:pt>
                <c:pt idx="30">
                  <c:v>1.9766101136550815</c:v>
                </c:pt>
                <c:pt idx="31">
                  <c:v>2.0851433536055604</c:v>
                </c:pt>
                <c:pt idx="32">
                  <c:v>1.7157563625965113</c:v>
                </c:pt>
                <c:pt idx="33">
                  <c:v>2.9347028613352899</c:v>
                </c:pt>
                <c:pt idx="34">
                  <c:v>1.7452006980802794</c:v>
                </c:pt>
                <c:pt idx="35">
                  <c:v>4.3494019572308806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8ED-4D48-950D-A87531A59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494864"/>
        <c:axId val="713499784"/>
      </c:scatterChart>
      <c:valAx>
        <c:axId val="713494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499784"/>
        <c:crosses val="autoZero"/>
        <c:crossBetween val="midCat"/>
      </c:valAx>
      <c:valAx>
        <c:axId val="713499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Outcome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494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'Fold of incr. TA vs VL '!$J$27:$J$62</c:f>
              <c:numCache>
                <c:formatCode>0.0</c:formatCode>
                <c:ptCount val="36"/>
                <c:pt idx="0">
                  <c:v>0.81221780149991241</c:v>
                </c:pt>
                <c:pt idx="1">
                  <c:v>0.24616364666135951</c:v>
                </c:pt>
                <c:pt idx="2">
                  <c:v>-1.2975429286165541</c:v>
                </c:pt>
                <c:pt idx="3">
                  <c:v>-0.10463345561407539</c:v>
                </c:pt>
                <c:pt idx="4">
                  <c:v>-0.54852228269809788</c:v>
                </c:pt>
                <c:pt idx="5">
                  <c:v>1.7316643961222455</c:v>
                </c:pt>
                <c:pt idx="6">
                  <c:v>-0.35549041783953095</c:v>
                </c:pt>
                <c:pt idx="7">
                  <c:v>-0.46925288381280222</c:v>
                </c:pt>
                <c:pt idx="8">
                  <c:v>0.10463345561407525</c:v>
                </c:pt>
                <c:pt idx="9">
                  <c:v>2.2004105812100336</c:v>
                </c:pt>
                <c:pt idx="10">
                  <c:v>0.63140189423976112</c:v>
                </c:pt>
                <c:pt idx="11">
                  <c:v>1.4799413890351927</c:v>
                </c:pt>
                <c:pt idx="12">
                  <c:v>1.1503493803760083</c:v>
                </c:pt>
                <c:pt idx="13">
                  <c:v>0.3186393639643752</c:v>
                </c:pt>
                <c:pt idx="14">
                  <c:v>0.46925288381280222</c:v>
                </c:pt>
                <c:pt idx="15">
                  <c:v>0.91324992668360727</c:v>
                </c:pt>
                <c:pt idx="16">
                  <c:v>-1.7316643961222451</c:v>
                </c:pt>
                <c:pt idx="17">
                  <c:v>-2.2004105812100327</c:v>
                </c:pt>
                <c:pt idx="18">
                  <c:v>1.2975429286165541</c:v>
                </c:pt>
                <c:pt idx="19">
                  <c:v>0.17495994016573252</c:v>
                </c:pt>
                <c:pt idx="20">
                  <c:v>0.54852228269809822</c:v>
                </c:pt>
                <c:pt idx="21">
                  <c:v>1.024592392540099</c:v>
                </c:pt>
                <c:pt idx="22">
                  <c:v>-0.17495994016573252</c:v>
                </c:pt>
                <c:pt idx="23">
                  <c:v>-3.4821317260347699E-2</c:v>
                </c:pt>
                <c:pt idx="24">
                  <c:v>0.39283081364972938</c:v>
                </c:pt>
                <c:pt idx="25">
                  <c:v>-0.91324992668360727</c:v>
                </c:pt>
                <c:pt idx="26">
                  <c:v>-1.4799413890351922</c:v>
                </c:pt>
                <c:pt idx="27">
                  <c:v>-1.1503493803760083</c:v>
                </c:pt>
                <c:pt idx="28">
                  <c:v>0.71886805282271604</c:v>
                </c:pt>
                <c:pt idx="29">
                  <c:v>-0.71886805282271549</c:v>
                </c:pt>
                <c:pt idx="30">
                  <c:v>-1.024592392540099</c:v>
                </c:pt>
                <c:pt idx="31">
                  <c:v>-0.24616364666135951</c:v>
                </c:pt>
                <c:pt idx="32">
                  <c:v>-0.81221780149991241</c:v>
                </c:pt>
                <c:pt idx="33">
                  <c:v>-0.6314018942397609</c:v>
                </c:pt>
                <c:pt idx="34">
                  <c:v>-0.35549041783953095</c:v>
                </c:pt>
                <c:pt idx="35">
                  <c:v>3.482131726034756E-2</c:v>
                </c:pt>
              </c:numCache>
            </c:numRef>
          </c:xVal>
          <c:yVal>
            <c:numRef>
              <c:f>'Fold of incr. TA vs VL '!$G$27:$G$62</c:f>
              <c:numCache>
                <c:formatCode>0.0</c:formatCode>
                <c:ptCount val="36"/>
                <c:pt idx="0">
                  <c:v>25.35</c:v>
                </c:pt>
                <c:pt idx="1">
                  <c:v>12.45</c:v>
                </c:pt>
                <c:pt idx="2">
                  <c:v>2.0499999999999998</c:v>
                </c:pt>
                <c:pt idx="3">
                  <c:v>9.8999999999999986</c:v>
                </c:pt>
                <c:pt idx="4">
                  <c:v>6.65</c:v>
                </c:pt>
                <c:pt idx="5">
                  <c:v>48.05</c:v>
                </c:pt>
                <c:pt idx="6">
                  <c:v>8.15</c:v>
                </c:pt>
                <c:pt idx="7">
                  <c:v>7.6999999999999993</c:v>
                </c:pt>
                <c:pt idx="8">
                  <c:v>11.3</c:v>
                </c:pt>
                <c:pt idx="9">
                  <c:v>54.1</c:v>
                </c:pt>
                <c:pt idx="10">
                  <c:v>19.399999999999999</c:v>
                </c:pt>
                <c:pt idx="11">
                  <c:v>46.75</c:v>
                </c:pt>
                <c:pt idx="12">
                  <c:v>31.2</c:v>
                </c:pt>
                <c:pt idx="13">
                  <c:v>15.2</c:v>
                </c:pt>
                <c:pt idx="14">
                  <c:v>17.8</c:v>
                </c:pt>
                <c:pt idx="15">
                  <c:v>27.6</c:v>
                </c:pt>
                <c:pt idx="16">
                  <c:v>1.05</c:v>
                </c:pt>
                <c:pt idx="17">
                  <c:v>0.6</c:v>
                </c:pt>
                <c:pt idx="18">
                  <c:v>31.349999999999998</c:v>
                </c:pt>
                <c:pt idx="19">
                  <c:v>12.299999999999999</c:v>
                </c:pt>
                <c:pt idx="20">
                  <c:v>18.850000000000001</c:v>
                </c:pt>
                <c:pt idx="21">
                  <c:v>28.9</c:v>
                </c:pt>
                <c:pt idx="22">
                  <c:v>8.6499999999999986</c:v>
                </c:pt>
                <c:pt idx="23">
                  <c:v>10</c:v>
                </c:pt>
                <c:pt idx="24">
                  <c:v>16.55</c:v>
                </c:pt>
                <c:pt idx="25">
                  <c:v>4</c:v>
                </c:pt>
                <c:pt idx="26">
                  <c:v>1.5</c:v>
                </c:pt>
                <c:pt idx="27">
                  <c:v>2.4000000000000004</c:v>
                </c:pt>
                <c:pt idx="28">
                  <c:v>23.950000000000003</c:v>
                </c:pt>
                <c:pt idx="29">
                  <c:v>5.4</c:v>
                </c:pt>
                <c:pt idx="30">
                  <c:v>3.5</c:v>
                </c:pt>
                <c:pt idx="31">
                  <c:v>8.4</c:v>
                </c:pt>
                <c:pt idx="32">
                  <c:v>5.05</c:v>
                </c:pt>
                <c:pt idx="33">
                  <c:v>6.15</c:v>
                </c:pt>
                <c:pt idx="34">
                  <c:v>8.15</c:v>
                </c:pt>
                <c:pt idx="35">
                  <c:v>10.899999999999999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BDF-4112-9FC0-A9B3DEBD7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997280"/>
        <c:axId val="578536224"/>
      </c:scatterChart>
      <c:valAx>
        <c:axId val="62899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536224"/>
        <c:crosses val="autoZero"/>
        <c:crossBetween val="midCat"/>
      </c:valAx>
      <c:valAx>
        <c:axId val="57853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Outcome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8997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'Fold of incr. TA vs VL '!$O$27:$O$62</c:f>
              <c:numCache>
                <c:formatCode>0.0</c:formatCode>
                <c:ptCount val="36"/>
                <c:pt idx="0">
                  <c:v>0.17495994016573252</c:v>
                </c:pt>
                <c:pt idx="1">
                  <c:v>1.4799413890351927</c:v>
                </c:pt>
                <c:pt idx="2">
                  <c:v>-0.91324992668360727</c:v>
                </c:pt>
                <c:pt idx="3">
                  <c:v>2.2004105812100336</c:v>
                </c:pt>
                <c:pt idx="4">
                  <c:v>-0.6314018942397609</c:v>
                </c:pt>
                <c:pt idx="5">
                  <c:v>0.91324992668360727</c:v>
                </c:pt>
                <c:pt idx="6">
                  <c:v>-0.81221780149991241</c:v>
                </c:pt>
                <c:pt idx="7">
                  <c:v>-0.71886805282271549</c:v>
                </c:pt>
                <c:pt idx="8">
                  <c:v>1.024592392540099</c:v>
                </c:pt>
                <c:pt idx="9">
                  <c:v>0.81221780149991241</c:v>
                </c:pt>
                <c:pt idx="10">
                  <c:v>-0.17495994016573252</c:v>
                </c:pt>
                <c:pt idx="11">
                  <c:v>0.3186393639643752</c:v>
                </c:pt>
                <c:pt idx="12">
                  <c:v>-0.54852228269809788</c:v>
                </c:pt>
                <c:pt idx="13">
                  <c:v>-0.24616364666135951</c:v>
                </c:pt>
                <c:pt idx="14">
                  <c:v>-1.024592392540099</c:v>
                </c:pt>
                <c:pt idx="15">
                  <c:v>-2.2004105812100327</c:v>
                </c:pt>
                <c:pt idx="16">
                  <c:v>-1.7316643961222451</c:v>
                </c:pt>
                <c:pt idx="17">
                  <c:v>1.7316643961222455</c:v>
                </c:pt>
                <c:pt idx="18">
                  <c:v>0.39283081364972938</c:v>
                </c:pt>
                <c:pt idx="19">
                  <c:v>-0.10463345561407539</c:v>
                </c:pt>
                <c:pt idx="20">
                  <c:v>-3.4821317260347699E-2</c:v>
                </c:pt>
                <c:pt idx="21">
                  <c:v>1.2975429286165541</c:v>
                </c:pt>
                <c:pt idx="22">
                  <c:v>-0.39283081364972938</c:v>
                </c:pt>
                <c:pt idx="23">
                  <c:v>-1.4799413890351922</c:v>
                </c:pt>
                <c:pt idx="24">
                  <c:v>0.54852228269809822</c:v>
                </c:pt>
                <c:pt idx="25">
                  <c:v>0.46925288381280222</c:v>
                </c:pt>
                <c:pt idx="26">
                  <c:v>0.10463345561407525</c:v>
                </c:pt>
                <c:pt idx="27">
                  <c:v>1.1503493803760083</c:v>
                </c:pt>
                <c:pt idx="28">
                  <c:v>0.71886805282271604</c:v>
                </c:pt>
                <c:pt idx="29">
                  <c:v>-1.2975429286165541</c:v>
                </c:pt>
                <c:pt idx="30">
                  <c:v>-1.1503493803760083</c:v>
                </c:pt>
                <c:pt idx="31">
                  <c:v>3.482131726034756E-2</c:v>
                </c:pt>
                <c:pt idx="32">
                  <c:v>-0.46925288381280222</c:v>
                </c:pt>
                <c:pt idx="33">
                  <c:v>0.24616364666135951</c:v>
                </c:pt>
                <c:pt idx="34">
                  <c:v>0.63140189423976112</c:v>
                </c:pt>
                <c:pt idx="35">
                  <c:v>-0.3186393639643752</c:v>
                </c:pt>
              </c:numCache>
            </c:numRef>
          </c:xVal>
          <c:yVal>
            <c:numRef>
              <c:f>'Fold of incr. TA vs VL '!$L$27:$L$62</c:f>
              <c:numCache>
                <c:formatCode>0.0</c:formatCode>
                <c:ptCount val="36"/>
                <c:pt idx="0">
                  <c:v>15.5</c:v>
                </c:pt>
                <c:pt idx="1">
                  <c:v>35.200000000000003</c:v>
                </c:pt>
                <c:pt idx="2">
                  <c:v>5.9499999999999993</c:v>
                </c:pt>
                <c:pt idx="3">
                  <c:v>53.3</c:v>
                </c:pt>
                <c:pt idx="4">
                  <c:v>7.45</c:v>
                </c:pt>
                <c:pt idx="5">
                  <c:v>29.549999999999997</c:v>
                </c:pt>
                <c:pt idx="6">
                  <c:v>6.05</c:v>
                </c:pt>
                <c:pt idx="7">
                  <c:v>7.25</c:v>
                </c:pt>
                <c:pt idx="8">
                  <c:v>31.05</c:v>
                </c:pt>
                <c:pt idx="9">
                  <c:v>28.1</c:v>
                </c:pt>
                <c:pt idx="10">
                  <c:v>11.5</c:v>
                </c:pt>
                <c:pt idx="11">
                  <c:v>18.350000000000001</c:v>
                </c:pt>
                <c:pt idx="12">
                  <c:v>7.5</c:v>
                </c:pt>
                <c:pt idx="13">
                  <c:v>10.65</c:v>
                </c:pt>
                <c:pt idx="14">
                  <c:v>5</c:v>
                </c:pt>
                <c:pt idx="15">
                  <c:v>3.05</c:v>
                </c:pt>
                <c:pt idx="16">
                  <c:v>3.8000000000000003</c:v>
                </c:pt>
                <c:pt idx="17">
                  <c:v>35.4</c:v>
                </c:pt>
                <c:pt idx="18">
                  <c:v>20.25</c:v>
                </c:pt>
                <c:pt idx="19">
                  <c:v>12.05</c:v>
                </c:pt>
                <c:pt idx="20">
                  <c:v>12.2</c:v>
                </c:pt>
                <c:pt idx="21">
                  <c:v>34.5</c:v>
                </c:pt>
                <c:pt idx="22">
                  <c:v>9.3000000000000007</c:v>
                </c:pt>
                <c:pt idx="23">
                  <c:v>3.9000000000000004</c:v>
                </c:pt>
                <c:pt idx="24">
                  <c:v>22.4</c:v>
                </c:pt>
                <c:pt idx="25">
                  <c:v>20.299999999999997</c:v>
                </c:pt>
                <c:pt idx="26">
                  <c:v>14.2</c:v>
                </c:pt>
                <c:pt idx="27">
                  <c:v>34.299999999999997</c:v>
                </c:pt>
                <c:pt idx="28">
                  <c:v>26.1</c:v>
                </c:pt>
                <c:pt idx="29">
                  <c:v>4.1500000000000004</c:v>
                </c:pt>
                <c:pt idx="30">
                  <c:v>4.4000000000000004</c:v>
                </c:pt>
                <c:pt idx="31">
                  <c:v>12.5</c:v>
                </c:pt>
                <c:pt idx="32">
                  <c:v>8.1999999999999993</c:v>
                </c:pt>
                <c:pt idx="33">
                  <c:v>16.899999999999999</c:v>
                </c:pt>
                <c:pt idx="34">
                  <c:v>25.1</c:v>
                </c:pt>
                <c:pt idx="35">
                  <c:v>9.9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25-4224-A694-6F9BF8293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997280"/>
        <c:axId val="578536224"/>
      </c:scatterChart>
      <c:valAx>
        <c:axId val="62899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536224"/>
        <c:crosses val="autoZero"/>
        <c:crossBetween val="midCat"/>
      </c:valAx>
      <c:valAx>
        <c:axId val="57853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Outcome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8997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240030</xdr:colOff>
      <xdr:row>44</xdr:row>
      <xdr:rowOff>198120</xdr:rowOff>
    </xdr:from>
    <xdr:to>
      <xdr:col>26</xdr:col>
      <xdr:colOff>144780</xdr:colOff>
      <xdr:row>61</xdr:row>
      <xdr:rowOff>7620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461FC4B-0A69-475A-A574-F7D65D838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331470</xdr:colOff>
      <xdr:row>45</xdr:row>
      <xdr:rowOff>0</xdr:rowOff>
    </xdr:from>
    <xdr:to>
      <xdr:col>31</xdr:col>
      <xdr:colOff>251460</xdr:colOff>
      <xdr:row>61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FBDABB8-0F6E-4735-BB23-7C92723A3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411480</xdr:colOff>
      <xdr:row>45</xdr:row>
      <xdr:rowOff>0</xdr:rowOff>
    </xdr:from>
    <xdr:to>
      <xdr:col>36</xdr:col>
      <xdr:colOff>316230</xdr:colOff>
      <xdr:row>61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B72EF0A-6FAD-40FF-BC75-43C277758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251460</xdr:colOff>
      <xdr:row>45</xdr:row>
      <xdr:rowOff>0</xdr:rowOff>
    </xdr:from>
    <xdr:to>
      <xdr:col>26</xdr:col>
      <xdr:colOff>152400</xdr:colOff>
      <xdr:row>61</xdr:row>
      <xdr:rowOff>7620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FE10481-20DD-430B-9C78-919F79DE3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342900</xdr:colOff>
      <xdr:row>45</xdr:row>
      <xdr:rowOff>3810</xdr:rowOff>
    </xdr:from>
    <xdr:to>
      <xdr:col>31</xdr:col>
      <xdr:colOff>266700</xdr:colOff>
      <xdr:row>61</xdr:row>
      <xdr:rowOff>3810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ADC8699-AA0E-4BCE-9183-80FF0DC89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491490</xdr:colOff>
      <xdr:row>44</xdr:row>
      <xdr:rowOff>194310</xdr:rowOff>
    </xdr:from>
    <xdr:to>
      <xdr:col>36</xdr:col>
      <xdr:colOff>403860</xdr:colOff>
      <xdr:row>60</xdr:row>
      <xdr:rowOff>194310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7593779-836A-4E2C-B1FD-90F1F982D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495300</xdr:colOff>
      <xdr:row>24</xdr:row>
      <xdr:rowOff>76200</xdr:rowOff>
    </xdr:from>
    <xdr:to>
      <xdr:col>21</xdr:col>
      <xdr:colOff>179070</xdr:colOff>
      <xdr:row>41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7F5D369-7757-44A7-98C8-4645FCE5A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502920</xdr:colOff>
      <xdr:row>43</xdr:row>
      <xdr:rowOff>11430</xdr:rowOff>
    </xdr:from>
    <xdr:to>
      <xdr:col>21</xdr:col>
      <xdr:colOff>186690</xdr:colOff>
      <xdr:row>60</xdr:row>
      <xdr:rowOff>83820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8287268-520F-429A-9E4C-9729D09C2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F9EE-EC14-483B-A1CE-761B26BE455E}">
  <dimension ref="B2:J17"/>
  <sheetViews>
    <sheetView tabSelected="1" workbookViewId="0">
      <selection activeCell="H27" sqref="H27"/>
    </sheetView>
  </sheetViews>
  <sheetFormatPr defaultRowHeight="14.4" x14ac:dyDescent="0.55000000000000004"/>
  <sheetData>
    <row r="2" spans="2:10" ht="14.7" thickBot="1" x14ac:dyDescent="0.6"/>
    <row r="3" spans="2:10" ht="14.4" customHeight="1" x14ac:dyDescent="0.55000000000000004">
      <c r="B3" s="260" t="s">
        <v>99</v>
      </c>
      <c r="C3" s="261"/>
      <c r="D3" s="261"/>
      <c r="E3" s="261"/>
      <c r="F3" s="261"/>
      <c r="G3" s="261"/>
      <c r="H3" s="261"/>
      <c r="I3" s="261"/>
      <c r="J3" s="262"/>
    </row>
    <row r="4" spans="2:10" x14ac:dyDescent="0.55000000000000004">
      <c r="B4" s="263"/>
      <c r="C4" s="264"/>
      <c r="D4" s="264"/>
      <c r="E4" s="264"/>
      <c r="F4" s="264"/>
      <c r="G4" s="264"/>
      <c r="H4" s="264"/>
      <c r="I4" s="264"/>
      <c r="J4" s="265"/>
    </row>
    <row r="5" spans="2:10" x14ac:dyDescent="0.55000000000000004">
      <c r="B5" s="263"/>
      <c r="C5" s="264"/>
      <c r="D5" s="264"/>
      <c r="E5" s="264"/>
      <c r="F5" s="264"/>
      <c r="G5" s="264"/>
      <c r="H5" s="264"/>
      <c r="I5" s="264"/>
      <c r="J5" s="265"/>
    </row>
    <row r="6" spans="2:10" x14ac:dyDescent="0.55000000000000004">
      <c r="B6" s="263"/>
      <c r="C6" s="264"/>
      <c r="D6" s="264"/>
      <c r="E6" s="264"/>
      <c r="F6" s="264"/>
      <c r="G6" s="264"/>
      <c r="H6" s="264"/>
      <c r="I6" s="264"/>
      <c r="J6" s="265"/>
    </row>
    <row r="7" spans="2:10" x14ac:dyDescent="0.55000000000000004">
      <c r="B7" s="263"/>
      <c r="C7" s="264"/>
      <c r="D7" s="264"/>
      <c r="E7" s="264"/>
      <c r="F7" s="264"/>
      <c r="G7" s="264"/>
      <c r="H7" s="264"/>
      <c r="I7" s="264"/>
      <c r="J7" s="265"/>
    </row>
    <row r="8" spans="2:10" ht="14.7" thickBot="1" x14ac:dyDescent="0.6">
      <c r="B8" s="266"/>
      <c r="C8" s="267"/>
      <c r="D8" s="267"/>
      <c r="E8" s="267"/>
      <c r="F8" s="267"/>
      <c r="G8" s="267"/>
      <c r="H8" s="267"/>
      <c r="I8" s="267"/>
      <c r="J8" s="268"/>
    </row>
    <row r="11" spans="2:10" x14ac:dyDescent="0.55000000000000004">
      <c r="B11" s="259"/>
      <c r="C11" s="259"/>
      <c r="D11" s="259"/>
      <c r="E11" s="259"/>
      <c r="F11" s="259"/>
      <c r="G11" s="259"/>
      <c r="H11" s="259"/>
      <c r="I11" s="259"/>
      <c r="J11" s="259"/>
    </row>
    <row r="12" spans="2:10" x14ac:dyDescent="0.55000000000000004">
      <c r="B12" s="259"/>
      <c r="C12" s="259"/>
      <c r="D12" s="259"/>
      <c r="E12" s="259"/>
      <c r="F12" s="259"/>
      <c r="G12" s="259"/>
      <c r="H12" s="259"/>
      <c r="I12" s="259"/>
      <c r="J12" s="259"/>
    </row>
    <row r="13" spans="2:10" x14ac:dyDescent="0.55000000000000004">
      <c r="B13" s="259"/>
      <c r="C13" s="259"/>
      <c r="D13" s="259"/>
      <c r="E13" s="259"/>
      <c r="F13" s="259"/>
      <c r="G13" s="259"/>
      <c r="H13" s="259"/>
      <c r="I13" s="259"/>
      <c r="J13" s="259"/>
    </row>
    <row r="14" spans="2:10" x14ac:dyDescent="0.55000000000000004">
      <c r="B14" s="259"/>
      <c r="C14" s="259"/>
      <c r="D14" s="259"/>
      <c r="E14" s="259"/>
      <c r="F14" s="259"/>
      <c r="G14" s="259"/>
      <c r="H14" s="259"/>
      <c r="I14" s="259"/>
      <c r="J14" s="259"/>
    </row>
    <row r="15" spans="2:10" x14ac:dyDescent="0.55000000000000004">
      <c r="B15" s="259"/>
      <c r="C15" s="259"/>
      <c r="D15" s="259"/>
      <c r="E15" s="259"/>
      <c r="F15" s="259"/>
      <c r="G15" s="259"/>
      <c r="H15" s="259"/>
      <c r="I15" s="259"/>
      <c r="J15" s="259"/>
    </row>
    <row r="16" spans="2:10" x14ac:dyDescent="0.55000000000000004">
      <c r="B16" s="259"/>
      <c r="C16" s="259"/>
      <c r="D16" s="259"/>
      <c r="E16" s="259"/>
      <c r="F16" s="259"/>
      <c r="G16" s="259"/>
      <c r="H16" s="259"/>
      <c r="I16" s="259"/>
      <c r="J16" s="259"/>
    </row>
    <row r="17" spans="2:10" x14ac:dyDescent="0.55000000000000004">
      <c r="B17" s="259"/>
      <c r="C17" s="259"/>
      <c r="D17" s="259"/>
      <c r="E17" s="259"/>
      <c r="F17" s="259"/>
      <c r="G17" s="259"/>
      <c r="H17" s="259"/>
      <c r="I17" s="259"/>
      <c r="J17" s="259"/>
    </row>
  </sheetData>
  <mergeCells count="1">
    <mergeCell ref="B3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F4E6D-15E5-4711-9619-3B7DFE23DE9E}">
  <dimension ref="B1:AK81"/>
  <sheetViews>
    <sheetView workbookViewId="0">
      <selection activeCell="O28" sqref="O28:T28"/>
    </sheetView>
  </sheetViews>
  <sheetFormatPr defaultRowHeight="14.4" x14ac:dyDescent="0.55000000000000004"/>
  <cols>
    <col min="14" max="14" width="27.3671875" customWidth="1"/>
    <col min="15" max="15" width="8.83984375" customWidth="1"/>
  </cols>
  <sheetData>
    <row r="1" spans="2:37" ht="14.7" thickBot="1" x14ac:dyDescent="0.6"/>
    <row r="2" spans="2:37" ht="16.8" thickBot="1" x14ac:dyDescent="0.6">
      <c r="B2" s="151"/>
      <c r="C2" s="203" t="s">
        <v>89</v>
      </c>
      <c r="D2" s="203"/>
      <c r="E2" s="204"/>
      <c r="F2" s="9"/>
      <c r="G2" s="8"/>
      <c r="H2" s="8"/>
      <c r="I2" s="6"/>
      <c r="J2" s="6"/>
      <c r="K2" s="6"/>
      <c r="L2" s="6"/>
      <c r="N2" s="205" t="s">
        <v>65</v>
      </c>
      <c r="O2" s="203"/>
      <c r="P2" s="203"/>
      <c r="Q2" s="203"/>
      <c r="R2" s="203"/>
      <c r="S2" s="203"/>
      <c r="T2" s="204"/>
      <c r="V2" s="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6"/>
    </row>
    <row r="3" spans="2:37" ht="43.2" x14ac:dyDescent="0.55000000000000004">
      <c r="B3" s="150" t="s">
        <v>47</v>
      </c>
      <c r="C3" s="40" t="s">
        <v>45</v>
      </c>
      <c r="D3" s="134" t="s">
        <v>46</v>
      </c>
      <c r="E3" s="41" t="s">
        <v>96</v>
      </c>
      <c r="F3" s="10"/>
      <c r="G3" s="36" t="s">
        <v>51</v>
      </c>
      <c r="H3" s="37" t="s">
        <v>52</v>
      </c>
      <c r="I3" s="38" t="s">
        <v>53</v>
      </c>
      <c r="J3" s="38" t="s">
        <v>54</v>
      </c>
      <c r="K3" s="38" t="s">
        <v>55</v>
      </c>
      <c r="L3" s="39" t="s">
        <v>56</v>
      </c>
      <c r="N3" s="54"/>
      <c r="O3" s="60" t="s">
        <v>51</v>
      </c>
      <c r="P3" s="135" t="s">
        <v>52</v>
      </c>
      <c r="Q3" s="134" t="s">
        <v>53</v>
      </c>
      <c r="R3" s="134" t="s">
        <v>54</v>
      </c>
      <c r="S3" s="134" t="s">
        <v>55</v>
      </c>
      <c r="T3" s="41" t="s">
        <v>56</v>
      </c>
      <c r="V3" s="112"/>
      <c r="AB3" s="186" t="s">
        <v>98</v>
      </c>
      <c r="AC3" s="187"/>
      <c r="AD3" s="187"/>
      <c r="AE3" s="188"/>
      <c r="AF3" s="113"/>
      <c r="AG3" s="113"/>
      <c r="AH3" s="113"/>
      <c r="AI3" s="113"/>
      <c r="AJ3" s="113"/>
      <c r="AK3" s="77"/>
    </row>
    <row r="4" spans="2:37" ht="15.6" customHeight="1" x14ac:dyDescent="0.75">
      <c r="B4" s="66" t="s">
        <v>0</v>
      </c>
      <c r="C4" s="152">
        <v>3.4822983168891466</v>
      </c>
      <c r="D4" s="153">
        <v>3.4822983168891466</v>
      </c>
      <c r="E4" s="154">
        <v>3.5005834305717616</v>
      </c>
      <c r="F4" s="7"/>
      <c r="G4" s="25">
        <f>C4-(1-$N$17/100)*D4</f>
        <v>0.17411491584445749</v>
      </c>
      <c r="H4" s="26">
        <f>C4-D4/(1-$N$17/100)</f>
        <v>-0.18327885878363936</v>
      </c>
      <c r="I4" s="26">
        <f>C4-(1-$N$17/100)*E4</f>
        <v>0.15674405784597312</v>
      </c>
      <c r="J4" s="26">
        <f t="shared" ref="J4:J37" si="0">C4-E4/(1-$N$17/100)</f>
        <v>-0.20252634687060267</v>
      </c>
      <c r="K4" s="26">
        <f t="shared" ref="K4:K37" si="1">D4-(1-$N$17/100)*E4</f>
        <v>0.15674405784597312</v>
      </c>
      <c r="L4" s="27">
        <f t="shared" ref="L4:L37" si="2">D4-E4/(1-$N$17/100)</f>
        <v>-0.20252634687060267</v>
      </c>
      <c r="N4" s="98" t="s">
        <v>75</v>
      </c>
      <c r="O4" s="96">
        <f>G39</f>
        <v>0.11480717331237844</v>
      </c>
      <c r="P4" s="136">
        <f>H39</f>
        <v>-0.12021234450732503</v>
      </c>
      <c r="Q4" s="136">
        <f t="shared" ref="Q4:T4" si="3">I39</f>
        <v>0.11907746774345031</v>
      </c>
      <c r="R4" s="136">
        <f t="shared" si="3"/>
        <v>-0.11548071632885205</v>
      </c>
      <c r="S4" s="136">
        <f t="shared" si="3"/>
        <v>0.1187669825996454</v>
      </c>
      <c r="T4" s="97">
        <f t="shared" si="3"/>
        <v>-0.11579120147265702</v>
      </c>
      <c r="V4" s="112"/>
      <c r="AB4" s="189"/>
      <c r="AC4" s="190"/>
      <c r="AD4" s="190"/>
      <c r="AE4" s="191"/>
      <c r="AF4" s="113"/>
      <c r="AG4" s="113"/>
      <c r="AH4" s="113"/>
      <c r="AI4" s="113"/>
      <c r="AJ4" s="113"/>
      <c r="AK4" s="77"/>
    </row>
    <row r="5" spans="2:37" ht="15.9" thickBot="1" x14ac:dyDescent="0.65">
      <c r="B5" s="67" t="s">
        <v>1</v>
      </c>
      <c r="C5" s="161">
        <v>1.8298261665141813</v>
      </c>
      <c r="D5" s="155">
        <v>1.8050541516245486</v>
      </c>
      <c r="E5" s="156">
        <v>1.8264840182648403</v>
      </c>
      <c r="F5" s="7"/>
      <c r="G5" s="25">
        <f t="shared" ref="G5:G37" si="4">C5-(1-$N$17/100)*D5</f>
        <v>0.11502472247086026</v>
      </c>
      <c r="H5" s="26">
        <f t="shared" ref="H5:H37" si="5">C5-D5/(1-$N$17/100)</f>
        <v>-7.0230835195870034E-2</v>
      </c>
      <c r="I5" s="26">
        <f t="shared" ref="I5:I37" si="6">C5-(1-$N$17/100)*E5</f>
        <v>9.4666349162582986E-2</v>
      </c>
      <c r="J5" s="26">
        <f t="shared" si="0"/>
        <v>-9.2788589554071654E-2</v>
      </c>
      <c r="K5" s="26">
        <f t="shared" si="1"/>
        <v>6.9894334272950331E-2</v>
      </c>
      <c r="L5" s="27">
        <f t="shared" si="2"/>
        <v>-0.11756060444370431</v>
      </c>
      <c r="N5" s="46" t="s">
        <v>39</v>
      </c>
      <c r="O5" s="89">
        <f>C41-1</f>
        <v>33</v>
      </c>
      <c r="P5" s="137">
        <f>C41-1</f>
        <v>33</v>
      </c>
      <c r="Q5" s="137">
        <f>C41-1</f>
        <v>33</v>
      </c>
      <c r="R5" s="137">
        <f>C41-1</f>
        <v>33</v>
      </c>
      <c r="S5" s="137">
        <f>C41-1</f>
        <v>33</v>
      </c>
      <c r="T5" s="90">
        <f>C41-1</f>
        <v>33</v>
      </c>
      <c r="V5" s="112"/>
      <c r="AB5" s="192"/>
      <c r="AC5" s="193"/>
      <c r="AD5" s="193"/>
      <c r="AE5" s="194"/>
      <c r="AF5" s="113"/>
      <c r="AG5" s="113"/>
      <c r="AH5" s="113"/>
      <c r="AI5" s="113"/>
      <c r="AJ5" s="113"/>
      <c r="AK5" s="77"/>
    </row>
    <row r="6" spans="2:37" ht="15.9" thickBot="1" x14ac:dyDescent="0.65">
      <c r="B6" s="67" t="s">
        <v>2</v>
      </c>
      <c r="C6" s="161">
        <v>1.7835909631391202</v>
      </c>
      <c r="D6" s="155">
        <v>1.8348623853211008</v>
      </c>
      <c r="E6" s="156">
        <v>1.7830609212481427</v>
      </c>
      <c r="F6" s="7"/>
      <c r="G6" s="25">
        <f t="shared" si="4"/>
        <v>4.0471697084074609E-2</v>
      </c>
      <c r="H6" s="26">
        <f t="shared" si="5"/>
        <v>-0.14784312667256483</v>
      </c>
      <c r="I6" s="26">
        <f t="shared" si="6"/>
        <v>8.9683087953384755E-2</v>
      </c>
      <c r="J6" s="26">
        <f t="shared" si="0"/>
        <v>-9.3315269753661667E-2</v>
      </c>
      <c r="K6" s="26">
        <f t="shared" si="1"/>
        <v>0.14095451013536531</v>
      </c>
      <c r="L6" s="27">
        <f t="shared" si="2"/>
        <v>-4.2043847571681114E-2</v>
      </c>
      <c r="N6" s="47" t="s">
        <v>37</v>
      </c>
      <c r="O6" s="91">
        <f>G40/SQRT(C41)</f>
        <v>8.4325832528937151E-3</v>
      </c>
      <c r="P6" s="138">
        <f>H40/SQRT(C41)</f>
        <v>8.3110031044336449E-3</v>
      </c>
      <c r="Q6" s="138">
        <f>I40/SQRT(C41)</f>
        <v>1.3027757748327363E-2</v>
      </c>
      <c r="R6" s="138">
        <f>J40/SQRT(C41)</f>
        <v>1.5279192702899281E-2</v>
      </c>
      <c r="S6" s="138">
        <f>K40/SQRT(C41)</f>
        <v>1.6760896678856985E-2</v>
      </c>
      <c r="T6" s="92">
        <f>L40/SQRT(C41)</f>
        <v>1.9141330594724035E-2</v>
      </c>
      <c r="V6" s="112"/>
      <c r="Z6" s="114"/>
      <c r="AA6" s="114"/>
      <c r="AB6" s="114"/>
      <c r="AF6" s="113"/>
      <c r="AG6" s="113"/>
      <c r="AH6" s="113"/>
      <c r="AI6" s="113"/>
      <c r="AJ6" s="113"/>
      <c r="AK6" s="77"/>
    </row>
    <row r="7" spans="2:37" ht="15.6" x14ac:dyDescent="0.6">
      <c r="B7" s="67" t="s">
        <v>3</v>
      </c>
      <c r="C7" s="161">
        <v>2.5252525252525251</v>
      </c>
      <c r="D7" s="155">
        <v>2.5241901556583928</v>
      </c>
      <c r="E7" s="156">
        <v>2.4891101431238334</v>
      </c>
      <c r="F7" s="7"/>
      <c r="G7" s="25">
        <f t="shared" si="4"/>
        <v>0.12727187737705226</v>
      </c>
      <c r="H7" s="26">
        <f t="shared" si="5"/>
        <v>-0.13178974386157272</v>
      </c>
      <c r="I7" s="26">
        <f t="shared" si="6"/>
        <v>0.16059788928488361</v>
      </c>
      <c r="J7" s="26">
        <f t="shared" si="0"/>
        <v>-9.4863414877826013E-2</v>
      </c>
      <c r="K7" s="26">
        <f t="shared" si="1"/>
        <v>0.1595355196907513</v>
      </c>
      <c r="L7" s="27">
        <f t="shared" si="2"/>
        <v>-9.592578447195832E-2</v>
      </c>
      <c r="N7" s="46" t="s">
        <v>38</v>
      </c>
      <c r="O7" s="160">
        <f t="shared" ref="O7:T7" si="7">O4/O6</f>
        <v>13.614709735949699</v>
      </c>
      <c r="P7" s="182">
        <f t="shared" si="7"/>
        <v>-14.464240115997036</v>
      </c>
      <c r="Q7" s="138">
        <f t="shared" si="7"/>
        <v>9.1402887621807896</v>
      </c>
      <c r="R7" s="138">
        <f t="shared" si="7"/>
        <v>-7.5580378213921717</v>
      </c>
      <c r="S7" s="138">
        <f t="shared" si="7"/>
        <v>7.0859563706674402</v>
      </c>
      <c r="T7" s="92">
        <f t="shared" si="7"/>
        <v>-6.049276506648539</v>
      </c>
      <c r="V7" s="112"/>
      <c r="W7" s="183" t="s">
        <v>81</v>
      </c>
      <c r="X7" s="184"/>
      <c r="Y7" s="184"/>
      <c r="Z7" s="185"/>
      <c r="AB7" s="183" t="s">
        <v>82</v>
      </c>
      <c r="AC7" s="184"/>
      <c r="AD7" s="184"/>
      <c r="AE7" s="185"/>
      <c r="AF7" s="113"/>
      <c r="AG7" s="183" t="s">
        <v>83</v>
      </c>
      <c r="AH7" s="184"/>
      <c r="AI7" s="184"/>
      <c r="AJ7" s="185"/>
      <c r="AK7" s="77"/>
    </row>
    <row r="8" spans="2:37" ht="15.6" x14ac:dyDescent="0.6">
      <c r="B8" s="67" t="s">
        <v>5</v>
      </c>
      <c r="C8" s="161">
        <v>3.3222591362126246</v>
      </c>
      <c r="D8" s="155">
        <v>3.3094318808604526</v>
      </c>
      <c r="E8" s="156">
        <v>3.3755274261603381</v>
      </c>
      <c r="F8" s="7"/>
      <c r="G8" s="25">
        <f t="shared" si="4"/>
        <v>0.17829884939519491</v>
      </c>
      <c r="H8" s="26">
        <f t="shared" si="5"/>
        <v>-0.16135336995627325</v>
      </c>
      <c r="I8" s="26">
        <f t="shared" si="6"/>
        <v>0.11550808136030355</v>
      </c>
      <c r="J8" s="26">
        <f t="shared" si="0"/>
        <v>-0.230927628166679</v>
      </c>
      <c r="K8" s="26">
        <f t="shared" si="1"/>
        <v>0.10268082600813155</v>
      </c>
      <c r="L8" s="27">
        <f t="shared" si="2"/>
        <v>-0.243754883518851</v>
      </c>
      <c r="N8" s="46" t="s">
        <v>57</v>
      </c>
      <c r="O8" s="93">
        <f>_xlfn.T.DIST.RT(O7,O5)</f>
        <v>2.142259767081349E-15</v>
      </c>
      <c r="P8" s="139">
        <f>_xlfn.T.DIST(P7,P5,TRUE)</f>
        <v>3.840750246887765E-16</v>
      </c>
      <c r="Q8" s="139">
        <f>_xlfn.T.DIST.RT(Q7,Q5)</f>
        <v>7.3150031788005661E-11</v>
      </c>
      <c r="R8" s="139">
        <f>_xlfn.T.DIST(R7,R5,TRUE)</f>
        <v>5.3837170053638655E-9</v>
      </c>
      <c r="S8" s="139">
        <f>_xlfn.T.DIST.RT(S7,S5)</f>
        <v>2.0546984245850737E-8</v>
      </c>
      <c r="T8" s="94">
        <f>_xlfn.T.DIST(T7,T5,TRUE)</f>
        <v>4.1728695196387728E-7</v>
      </c>
      <c r="V8" s="112"/>
      <c r="W8" s="99" t="s">
        <v>76</v>
      </c>
      <c r="X8" s="100" t="s">
        <v>77</v>
      </c>
      <c r="Y8" s="100" t="s">
        <v>78</v>
      </c>
      <c r="Z8" s="101" t="s">
        <v>79</v>
      </c>
      <c r="AA8" s="115"/>
      <c r="AB8" s="102" t="s">
        <v>76</v>
      </c>
      <c r="AC8" s="103" t="s">
        <v>77</v>
      </c>
      <c r="AD8" s="103" t="s">
        <v>78</v>
      </c>
      <c r="AE8" s="104" t="s">
        <v>80</v>
      </c>
      <c r="AF8" s="113"/>
      <c r="AG8" s="102" t="s">
        <v>76</v>
      </c>
      <c r="AH8" s="103" t="s">
        <v>77</v>
      </c>
      <c r="AI8" s="103" t="s">
        <v>78</v>
      </c>
      <c r="AJ8" s="104" t="s">
        <v>80</v>
      </c>
      <c r="AK8" s="77"/>
    </row>
    <row r="9" spans="2:37" ht="15.6" x14ac:dyDescent="0.6">
      <c r="B9" s="67" t="s">
        <v>6</v>
      </c>
      <c r="C9" s="161">
        <v>3.2573289902280127</v>
      </c>
      <c r="D9" s="155">
        <v>3.2573289902280127</v>
      </c>
      <c r="E9" s="156">
        <v>3.2266738370529713</v>
      </c>
      <c r="F9" s="7"/>
      <c r="G9" s="25">
        <f t="shared" si="4"/>
        <v>0.16286644951140072</v>
      </c>
      <c r="H9" s="26">
        <f t="shared" si="5"/>
        <v>-0.17143836790673772</v>
      </c>
      <c r="I9" s="26">
        <f t="shared" si="6"/>
        <v>0.19198884502769031</v>
      </c>
      <c r="J9" s="26">
        <f t="shared" si="0"/>
        <v>-0.13916978561722049</v>
      </c>
      <c r="K9" s="26">
        <f t="shared" si="1"/>
        <v>0.19198884502769031</v>
      </c>
      <c r="L9" s="27">
        <f t="shared" si="2"/>
        <v>-0.13916978561722049</v>
      </c>
      <c r="N9" s="46" t="s">
        <v>62</v>
      </c>
      <c r="O9" s="93">
        <f>IF((_xlfn.T.DIST.RT(O7,O5)*N23)&lt;=1,(_xlfn.T.DIST.RT(O7,O5)*N23), 1)</f>
        <v>6.4267793012440471E-15</v>
      </c>
      <c r="P9" s="139">
        <f>IF((_xlfn.T.DIST(P7,P5,TRUE)*N23)&lt;=1,(_xlfn.T.DIST(P7,P5,TRUE)*N23),1)</f>
        <v>1.1522250740663296E-15</v>
      </c>
      <c r="Q9" s="139">
        <f>IF((_xlfn.T.DIST.RT(Q7,Q5)*N23)&lt;=1,(_xlfn.T.DIST.RT(Q7,Q5)*N23), 1)</f>
        <v>2.1945009536401697E-10</v>
      </c>
      <c r="R9" s="139">
        <f>IF((_xlfn.T.DIST(R7,R5,TRUE)*N23)&lt;=1,(_xlfn.T.DIST(R7,R5,TRUE)*N23),1)</f>
        <v>1.6151151016091596E-8</v>
      </c>
      <c r="S9" s="139">
        <f>IF((_xlfn.T.DIST.RT(S7,S5)*N23)&lt;=1,(_xlfn.T.DIST.RT(S7,S5)*N23), 1)</f>
        <v>6.1640952737552219E-8</v>
      </c>
      <c r="T9" s="94">
        <f>IF((_xlfn.T.DIST(T7,T5,TRUE)*N23)&lt;=1,(_xlfn.T.DIST(T7,T5,TRUE)*N23),1)</f>
        <v>1.2518608558916318E-6</v>
      </c>
      <c r="V9" s="112"/>
      <c r="W9" s="118">
        <f t="shared" ref="W9:W42" si="8">C4</f>
        <v>3.4822983168891466</v>
      </c>
      <c r="X9" s="147">
        <f t="shared" ref="X9:X42" si="9">_xlfn.RANK.AVG(W9, $W$9:$W$42, 1)</f>
        <v>34</v>
      </c>
      <c r="Y9" s="148">
        <f t="shared" ref="Y9:Y42" si="10">(X9-0.5)/COUNT($X$9:$X$42)</f>
        <v>0.98529411764705888</v>
      </c>
      <c r="Z9" s="105">
        <f>_xlfn.NORM.S.INV(Y9)</f>
        <v>2.1779230690821856</v>
      </c>
      <c r="AA9" s="116"/>
      <c r="AB9" s="118">
        <f t="shared" ref="AB9:AB42" si="11">D4</f>
        <v>3.4822983168891466</v>
      </c>
      <c r="AC9" s="147">
        <f t="shared" ref="AC9:AC42" si="12">_xlfn.RANK.AVG(AB9, $AB$9:$AB$42, 1)</f>
        <v>34</v>
      </c>
      <c r="AD9" s="149">
        <f t="shared" ref="AD9:AD42" si="13">(AC9-0.5)/COUNT($AC$9:$AC$42)</f>
        <v>0.98529411764705888</v>
      </c>
      <c r="AE9" s="105">
        <f>_xlfn.NORM.S.INV(AD9)</f>
        <v>2.1779230690821856</v>
      </c>
      <c r="AF9" s="113"/>
      <c r="AG9" s="118">
        <f t="shared" ref="AG9:AG42" si="14">E4</f>
        <v>3.5005834305717616</v>
      </c>
      <c r="AH9" s="147">
        <f t="shared" ref="AH9:AH42" si="15">_xlfn.RANK.AVG(AG9, $AG$9:$AG$42, 1)</f>
        <v>34</v>
      </c>
      <c r="AI9" s="149">
        <f t="shared" ref="AI9:AI42" si="16">(AH9-0.5)/COUNT($AH$9:$AH$42)</f>
        <v>0.98529411764705888</v>
      </c>
      <c r="AJ9" s="105">
        <f>_xlfn.NORM.S.INV(AI9)</f>
        <v>2.1779230690821856</v>
      </c>
      <c r="AK9" s="77"/>
    </row>
    <row r="10" spans="2:37" ht="15.6" x14ac:dyDescent="0.6">
      <c r="B10" s="67" t="s">
        <v>7</v>
      </c>
      <c r="C10" s="161">
        <v>2.781641168289291</v>
      </c>
      <c r="D10" s="155">
        <v>2.6845637583892619</v>
      </c>
      <c r="E10" s="156">
        <v>2.6601640434493459</v>
      </c>
      <c r="F10" s="7"/>
      <c r="G10" s="25">
        <f t="shared" si="4"/>
        <v>0.23130559781949245</v>
      </c>
      <c r="H10" s="26">
        <f t="shared" si="5"/>
        <v>-4.4215419488879526E-2</v>
      </c>
      <c r="I10" s="26">
        <f t="shared" si="6"/>
        <v>0.25448532701241255</v>
      </c>
      <c r="J10" s="26">
        <f t="shared" si="0"/>
        <v>-1.8531509025810244E-2</v>
      </c>
      <c r="K10" s="26">
        <f t="shared" si="1"/>
        <v>0.15740791711238344</v>
      </c>
      <c r="L10" s="27">
        <f t="shared" si="2"/>
        <v>-0.11560891892583935</v>
      </c>
      <c r="N10" s="47" t="s">
        <v>58</v>
      </c>
      <c r="O10" s="91">
        <f>O4-_xlfn.T.INV.2T($N20*2,O5)*O6</f>
        <v>0.10053620411258711</v>
      </c>
      <c r="P10" s="140"/>
      <c r="Q10" s="138">
        <f>Q4-_xlfn.T.INV.2T($N20*2,Q5)*Q6</f>
        <v>9.7029807614518529E-2</v>
      </c>
      <c r="R10" s="140"/>
      <c r="S10" s="138">
        <f>S4-_xlfn.T.INV.2T($N20*2,S5)*S6</f>
        <v>9.0401506316589303E-2</v>
      </c>
      <c r="T10" s="79"/>
      <c r="V10" s="112"/>
      <c r="W10" s="118">
        <f t="shared" si="8"/>
        <v>1.8298261665141813</v>
      </c>
      <c r="X10" s="147">
        <f t="shared" si="9"/>
        <v>8</v>
      </c>
      <c r="Y10" s="148">
        <f t="shared" si="10"/>
        <v>0.22058823529411764</v>
      </c>
      <c r="Z10" s="105">
        <f>_xlfn.NORM.S.INV(Y10)</f>
        <v>-0.77020808187547585</v>
      </c>
      <c r="AA10" s="116"/>
      <c r="AB10" s="118">
        <f t="shared" si="11"/>
        <v>1.8050541516245486</v>
      </c>
      <c r="AC10" s="147">
        <f t="shared" si="12"/>
        <v>6</v>
      </c>
      <c r="AD10" s="149">
        <f t="shared" si="13"/>
        <v>0.16176470588235295</v>
      </c>
      <c r="AE10" s="105">
        <f t="shared" ref="AE10:AE20" si="17">_xlfn.NORM.S.INV(AD10)</f>
        <v>-0.98723099199017461</v>
      </c>
      <c r="AF10" s="113"/>
      <c r="AG10" s="118">
        <f t="shared" si="14"/>
        <v>1.8264840182648403</v>
      </c>
      <c r="AH10" s="147">
        <f t="shared" si="15"/>
        <v>8</v>
      </c>
      <c r="AI10" s="149">
        <f t="shared" si="16"/>
        <v>0.22058823529411764</v>
      </c>
      <c r="AJ10" s="105">
        <f t="shared" ref="AJ10:AJ20" si="18">_xlfn.NORM.S.INV(AI10)</f>
        <v>-0.77020808187547585</v>
      </c>
      <c r="AK10" s="77"/>
    </row>
    <row r="11" spans="2:37" ht="15.6" x14ac:dyDescent="0.6">
      <c r="B11" s="67" t="s">
        <v>8</v>
      </c>
      <c r="C11" s="161">
        <v>2.6869682042095837</v>
      </c>
      <c r="D11" s="155">
        <v>2.6809651474530831</v>
      </c>
      <c r="E11" s="156">
        <v>2.6942074539739562</v>
      </c>
      <c r="F11" s="7"/>
      <c r="G11" s="25">
        <f t="shared" si="4"/>
        <v>0.14005131412915484</v>
      </c>
      <c r="H11" s="26">
        <f t="shared" si="5"/>
        <v>-0.13510037205681957</v>
      </c>
      <c r="I11" s="26">
        <f t="shared" si="6"/>
        <v>0.12747112293432528</v>
      </c>
      <c r="J11" s="26">
        <f t="shared" si="0"/>
        <v>-0.14903964207879161</v>
      </c>
      <c r="K11" s="26">
        <f t="shared" si="1"/>
        <v>0.12146806617782469</v>
      </c>
      <c r="L11" s="27">
        <f t="shared" si="2"/>
        <v>-0.1550426988352922</v>
      </c>
      <c r="N11" s="47" t="s">
        <v>59</v>
      </c>
      <c r="O11" s="80"/>
      <c r="P11" s="138">
        <f>P4+_xlfn.T.INV.2T($N20*2,P5)*P6</f>
        <v>-0.10614713272515354</v>
      </c>
      <c r="Q11" s="140"/>
      <c r="R11" s="138">
        <f>R4+_xlfn.T.INV.2T($N20*2,R5)*R6</f>
        <v>-8.9622817044439224E-2</v>
      </c>
      <c r="S11" s="140"/>
      <c r="T11" s="92">
        <f>T4+_xlfn.T.INV.2T($N20*2,T5)*T6</f>
        <v>-8.339717331211785E-2</v>
      </c>
      <c r="V11" s="112"/>
      <c r="W11" s="118">
        <f t="shared" si="8"/>
        <v>1.7835909631391202</v>
      </c>
      <c r="X11" s="147">
        <f t="shared" si="9"/>
        <v>6</v>
      </c>
      <c r="Y11" s="148">
        <f t="shared" si="10"/>
        <v>0.16176470588235295</v>
      </c>
      <c r="Z11" s="105">
        <f>_xlfn.NORM.S.INV(Y11)</f>
        <v>-0.98723099199017461</v>
      </c>
      <c r="AA11" s="116"/>
      <c r="AB11" s="118">
        <f t="shared" si="11"/>
        <v>1.8348623853211008</v>
      </c>
      <c r="AC11" s="147">
        <f t="shared" si="12"/>
        <v>7</v>
      </c>
      <c r="AD11" s="149">
        <f t="shared" si="13"/>
        <v>0.19117647058823528</v>
      </c>
      <c r="AE11" s="105">
        <f>_xlfn.NORM.S.INV(AD11)</f>
        <v>-0.87356913461508812</v>
      </c>
      <c r="AF11" s="113"/>
      <c r="AG11" s="118">
        <f t="shared" si="14"/>
        <v>1.7830609212481427</v>
      </c>
      <c r="AH11" s="147">
        <f t="shared" si="15"/>
        <v>7</v>
      </c>
      <c r="AI11" s="149">
        <f t="shared" si="16"/>
        <v>0.19117647058823528</v>
      </c>
      <c r="AJ11" s="105">
        <f>_xlfn.NORM.S.INV(AI11)</f>
        <v>-0.87356913461508812</v>
      </c>
      <c r="AK11" s="77"/>
    </row>
    <row r="12" spans="2:37" ht="15.6" x14ac:dyDescent="0.6">
      <c r="B12" s="67" t="s">
        <v>9</v>
      </c>
      <c r="C12" s="161">
        <v>1.9607843137254901</v>
      </c>
      <c r="D12" s="155">
        <v>1.9607843137254901</v>
      </c>
      <c r="E12" s="156">
        <v>1.957905041605482</v>
      </c>
      <c r="F12" s="7"/>
      <c r="G12" s="25">
        <f t="shared" si="4"/>
        <v>9.8039215686274606E-2</v>
      </c>
      <c r="H12" s="26">
        <f t="shared" si="5"/>
        <v>-0.10319917440660498</v>
      </c>
      <c r="I12" s="26">
        <f t="shared" si="6"/>
        <v>0.10077452420028243</v>
      </c>
      <c r="J12" s="26">
        <f t="shared" si="0"/>
        <v>-0.10016836164870146</v>
      </c>
      <c r="K12" s="26">
        <f t="shared" si="1"/>
        <v>0.10077452420028243</v>
      </c>
      <c r="L12" s="27">
        <f t="shared" si="2"/>
        <v>-0.10016836164870146</v>
      </c>
      <c r="N12" s="47" t="s">
        <v>60</v>
      </c>
      <c r="O12" s="91">
        <f>O4-_xlfn.T.INV.2T($N20*2/$N23,O5)*O6</f>
        <v>9.6079141138186164E-2</v>
      </c>
      <c r="P12" s="140"/>
      <c r="Q12" s="138">
        <f>Q4-_xlfn.T.INV.2T($N20*2/$N23,Q5)*Q6</f>
        <v>9.014395366464982E-2</v>
      </c>
      <c r="R12" s="140"/>
      <c r="S12" s="138">
        <f>S4-_xlfn.T.INV.2T($N20*2/$N23,S5)*S6</f>
        <v>8.1542492445666914E-2</v>
      </c>
      <c r="T12" s="79"/>
      <c r="V12" s="112"/>
      <c r="W12" s="118">
        <f t="shared" si="8"/>
        <v>2.5252525252525251</v>
      </c>
      <c r="X12" s="147">
        <f t="shared" si="9"/>
        <v>25</v>
      </c>
      <c r="Y12" s="148">
        <f t="shared" si="10"/>
        <v>0.72058823529411764</v>
      </c>
      <c r="Z12" s="105">
        <f>_xlfn.NORM.S.INV(Y12)</f>
        <v>0.58458985705947353</v>
      </c>
      <c r="AA12" s="116"/>
      <c r="AB12" s="118">
        <f t="shared" si="11"/>
        <v>2.5241901556583928</v>
      </c>
      <c r="AC12" s="147">
        <f t="shared" si="12"/>
        <v>25</v>
      </c>
      <c r="AD12" s="149">
        <f t="shared" si="13"/>
        <v>0.72058823529411764</v>
      </c>
      <c r="AE12" s="105">
        <f t="shared" si="17"/>
        <v>0.58458985705947353</v>
      </c>
      <c r="AF12" s="113"/>
      <c r="AG12" s="118">
        <f t="shared" si="14"/>
        <v>2.4891101431238334</v>
      </c>
      <c r="AH12" s="147">
        <f t="shared" si="15"/>
        <v>24</v>
      </c>
      <c r="AI12" s="149">
        <f t="shared" si="16"/>
        <v>0.69117647058823528</v>
      </c>
      <c r="AJ12" s="105">
        <f>_xlfn.NORM.S.INV(AI12)</f>
        <v>0.49918784205087674</v>
      </c>
      <c r="AK12" s="77"/>
    </row>
    <row r="13" spans="2:37" ht="15.9" thickBot="1" x14ac:dyDescent="0.65">
      <c r="B13" s="67" t="s">
        <v>10</v>
      </c>
      <c r="C13" s="161">
        <v>2.9880478087649407</v>
      </c>
      <c r="D13" s="155">
        <v>2.9850746268656714</v>
      </c>
      <c r="E13" s="156">
        <v>2.9917726252804786</v>
      </c>
      <c r="F13" s="7"/>
      <c r="G13" s="25">
        <f t="shared" si="4"/>
        <v>0.15222691324255289</v>
      </c>
      <c r="H13" s="26">
        <f t="shared" si="5"/>
        <v>-0.15413600898839785</v>
      </c>
      <c r="I13" s="26">
        <f t="shared" si="6"/>
        <v>0.14586381474848631</v>
      </c>
      <c r="J13" s="26">
        <f t="shared" si="0"/>
        <v>-0.16118653363556312</v>
      </c>
      <c r="K13" s="26">
        <f t="shared" si="1"/>
        <v>0.14289063284921699</v>
      </c>
      <c r="L13" s="27">
        <f t="shared" si="2"/>
        <v>-0.16415971553483244</v>
      </c>
      <c r="N13" s="48" t="s">
        <v>61</v>
      </c>
      <c r="O13" s="81"/>
      <c r="P13" s="141">
        <f>P4+_xlfn.T.INV.2T($N20*2/$N23,P5)*P6</f>
        <v>-0.10175433124238241</v>
      </c>
      <c r="Q13" s="142"/>
      <c r="R13" s="141">
        <f>R4+_xlfn.T.INV.2T($N20*2/$N23,R5)*R6</f>
        <v>-8.1546961516839156E-2</v>
      </c>
      <c r="S13" s="142"/>
      <c r="T13" s="95">
        <f>T4+_xlfn.T.INV.2T($N20*2/$N23,T5)*T6</f>
        <v>-7.3279975139750403E-2</v>
      </c>
      <c r="V13" s="112"/>
      <c r="W13" s="118">
        <f t="shared" si="8"/>
        <v>3.3222591362126246</v>
      </c>
      <c r="X13" s="147">
        <f t="shared" si="9"/>
        <v>33</v>
      </c>
      <c r="Y13" s="148">
        <f t="shared" si="10"/>
        <v>0.95588235294117652</v>
      </c>
      <c r="Z13" s="105">
        <f t="shared" ref="Z13:Z22" si="19">_xlfn.NORM.S.INV(Y13)</f>
        <v>1.7047809048894009</v>
      </c>
      <c r="AA13" s="116"/>
      <c r="AB13" s="118">
        <f t="shared" si="11"/>
        <v>3.3094318808604526</v>
      </c>
      <c r="AC13" s="147">
        <f t="shared" si="12"/>
        <v>33</v>
      </c>
      <c r="AD13" s="149">
        <f t="shared" si="13"/>
        <v>0.95588235294117652</v>
      </c>
      <c r="AE13" s="105">
        <f t="shared" si="17"/>
        <v>1.7047809048894009</v>
      </c>
      <c r="AF13" s="113"/>
      <c r="AG13" s="118">
        <f t="shared" si="14"/>
        <v>3.3755274261603381</v>
      </c>
      <c r="AH13" s="147">
        <f t="shared" si="15"/>
        <v>33</v>
      </c>
      <c r="AI13" s="149">
        <f t="shared" si="16"/>
        <v>0.95588235294117652</v>
      </c>
      <c r="AJ13" s="105">
        <f>_xlfn.NORM.S.INV(AI13)</f>
        <v>1.7047809048894009</v>
      </c>
      <c r="AK13" s="77"/>
    </row>
    <row r="14" spans="2:37" ht="15.6" x14ac:dyDescent="0.6">
      <c r="B14" s="67" t="s">
        <v>11</v>
      </c>
      <c r="C14" s="161">
        <v>2.4232633279483036</v>
      </c>
      <c r="D14" s="155">
        <v>2.4232633279483036</v>
      </c>
      <c r="E14" s="156">
        <v>2.4217961654894049</v>
      </c>
      <c r="F14" s="7"/>
      <c r="G14" s="25">
        <f t="shared" si="4"/>
        <v>0.12116316639741509</v>
      </c>
      <c r="H14" s="26">
        <f t="shared" si="5"/>
        <v>-0.12754017515517413</v>
      </c>
      <c r="I14" s="26">
        <f t="shared" si="6"/>
        <v>0.12255697073336913</v>
      </c>
      <c r="J14" s="26">
        <f t="shared" si="0"/>
        <v>-0.12599579361949109</v>
      </c>
      <c r="K14" s="26">
        <f t="shared" si="1"/>
        <v>0.12255697073336913</v>
      </c>
      <c r="L14" s="27">
        <f t="shared" si="2"/>
        <v>-0.12599579361949109</v>
      </c>
      <c r="V14" s="112"/>
      <c r="W14" s="118">
        <f t="shared" si="8"/>
        <v>3.2573289902280127</v>
      </c>
      <c r="X14" s="147">
        <f t="shared" si="9"/>
        <v>32</v>
      </c>
      <c r="Y14" s="148">
        <f t="shared" si="10"/>
        <v>0.92647058823529416</v>
      </c>
      <c r="Z14" s="105">
        <f>_xlfn.NORM.S.INV(Y14)</f>
        <v>1.4499989087404508</v>
      </c>
      <c r="AA14" s="116"/>
      <c r="AB14" s="118">
        <f t="shared" si="11"/>
        <v>3.2573289902280127</v>
      </c>
      <c r="AC14" s="147">
        <f t="shared" si="12"/>
        <v>32</v>
      </c>
      <c r="AD14" s="149">
        <f t="shared" si="13"/>
        <v>0.92647058823529416</v>
      </c>
      <c r="AE14" s="105">
        <f t="shared" si="17"/>
        <v>1.4499989087404508</v>
      </c>
      <c r="AF14" s="113"/>
      <c r="AG14" s="118">
        <f t="shared" si="14"/>
        <v>3.2266738370529713</v>
      </c>
      <c r="AH14" s="147">
        <f t="shared" si="15"/>
        <v>32</v>
      </c>
      <c r="AI14" s="149">
        <f t="shared" si="16"/>
        <v>0.92647058823529416</v>
      </c>
      <c r="AJ14" s="105">
        <f t="shared" si="18"/>
        <v>1.4499989087404508</v>
      </c>
      <c r="AK14" s="77"/>
    </row>
    <row r="15" spans="2:37" ht="15.9" thickBot="1" x14ac:dyDescent="0.65">
      <c r="B15" s="67" t="s">
        <v>13</v>
      </c>
      <c r="C15" s="161">
        <v>3.0943785456420838</v>
      </c>
      <c r="D15" s="155">
        <v>3.0943785456420838</v>
      </c>
      <c r="E15" s="156">
        <v>3.1047865459249677</v>
      </c>
      <c r="F15" s="7"/>
      <c r="G15" s="25">
        <f t="shared" si="4"/>
        <v>0.15471892728210435</v>
      </c>
      <c r="H15" s="26">
        <f t="shared" si="5"/>
        <v>-0.16286202871800448</v>
      </c>
      <c r="I15" s="26">
        <f t="shared" si="6"/>
        <v>0.14483132701336476</v>
      </c>
      <c r="J15" s="26">
        <f t="shared" si="0"/>
        <v>-0.17381781848946121</v>
      </c>
      <c r="K15" s="26">
        <f t="shared" si="1"/>
        <v>0.14483132701336476</v>
      </c>
      <c r="L15" s="27">
        <f t="shared" si="2"/>
        <v>-0.17381781848946121</v>
      </c>
      <c r="V15" s="53"/>
      <c r="W15" s="118">
        <f t="shared" si="8"/>
        <v>2.781641168289291</v>
      </c>
      <c r="X15" s="147">
        <f t="shared" si="9"/>
        <v>27</v>
      </c>
      <c r="Y15" s="148">
        <f t="shared" si="10"/>
        <v>0.77941176470588236</v>
      </c>
      <c r="Z15" s="105">
        <f t="shared" si="19"/>
        <v>0.77020808187547585</v>
      </c>
      <c r="AA15" s="116"/>
      <c r="AB15" s="118">
        <f t="shared" si="11"/>
        <v>2.6845637583892619</v>
      </c>
      <c r="AC15" s="147">
        <f t="shared" si="12"/>
        <v>27</v>
      </c>
      <c r="AD15" s="149">
        <f t="shared" si="13"/>
        <v>0.77941176470588236</v>
      </c>
      <c r="AE15" s="105">
        <f t="shared" si="17"/>
        <v>0.77020808187547585</v>
      </c>
      <c r="AG15" s="118">
        <f t="shared" si="14"/>
        <v>2.6601640434493459</v>
      </c>
      <c r="AH15" s="147">
        <f t="shared" si="15"/>
        <v>26</v>
      </c>
      <c r="AI15" s="149">
        <f t="shared" si="16"/>
        <v>0.75</v>
      </c>
      <c r="AJ15" s="105">
        <f t="shared" si="18"/>
        <v>0.67448975019608193</v>
      </c>
      <c r="AK15" s="106"/>
    </row>
    <row r="16" spans="2:37" ht="15.6" x14ac:dyDescent="0.6">
      <c r="B16" s="67" t="s">
        <v>14</v>
      </c>
      <c r="C16" s="161">
        <v>2.7958993476234855</v>
      </c>
      <c r="D16" s="155">
        <v>2.7998133457769478</v>
      </c>
      <c r="E16" s="156">
        <v>2.7063599458728009</v>
      </c>
      <c r="F16" s="7"/>
      <c r="G16" s="25">
        <f t="shared" si="4"/>
        <v>0.13607666913538496</v>
      </c>
      <c r="H16" s="26">
        <f t="shared" si="5"/>
        <v>-0.15127259529961767</v>
      </c>
      <c r="I16" s="26">
        <f t="shared" si="6"/>
        <v>0.22485739904432478</v>
      </c>
      <c r="J16" s="26">
        <f t="shared" si="0"/>
        <v>-5.2900595400515726E-2</v>
      </c>
      <c r="K16" s="26">
        <f t="shared" si="1"/>
        <v>0.22877139719778716</v>
      </c>
      <c r="L16" s="27">
        <f t="shared" si="2"/>
        <v>-4.8986597247053343E-2</v>
      </c>
      <c r="N16" s="50" t="s">
        <v>50</v>
      </c>
      <c r="O16" s="59"/>
      <c r="P16" s="59"/>
      <c r="Q16" s="59"/>
      <c r="R16" s="59"/>
      <c r="S16" s="59"/>
      <c r="T16" s="59"/>
      <c r="V16" s="53"/>
      <c r="W16" s="118">
        <f t="shared" si="8"/>
        <v>2.6869682042095837</v>
      </c>
      <c r="X16" s="147">
        <f t="shared" si="9"/>
        <v>26</v>
      </c>
      <c r="Y16" s="148">
        <f t="shared" si="10"/>
        <v>0.75</v>
      </c>
      <c r="Z16" s="105">
        <f t="shared" si="19"/>
        <v>0.67448975019608193</v>
      </c>
      <c r="AA16" s="116"/>
      <c r="AB16" s="118">
        <f t="shared" si="11"/>
        <v>2.6809651474530831</v>
      </c>
      <c r="AC16" s="147">
        <f t="shared" si="12"/>
        <v>26</v>
      </c>
      <c r="AD16" s="149">
        <f t="shared" si="13"/>
        <v>0.75</v>
      </c>
      <c r="AE16" s="105">
        <f t="shared" si="17"/>
        <v>0.67448975019608193</v>
      </c>
      <c r="AG16" s="118">
        <f t="shared" si="14"/>
        <v>2.6942074539739562</v>
      </c>
      <c r="AH16" s="147">
        <f t="shared" si="15"/>
        <v>27</v>
      </c>
      <c r="AI16" s="149">
        <f t="shared" si="16"/>
        <v>0.77941176470588236</v>
      </c>
      <c r="AJ16" s="105">
        <f t="shared" si="18"/>
        <v>0.77020808187547585</v>
      </c>
      <c r="AK16" s="107"/>
    </row>
    <row r="17" spans="2:37" ht="15.9" thickBot="1" x14ac:dyDescent="0.65">
      <c r="B17" s="67" t="s">
        <v>15</v>
      </c>
      <c r="C17" s="161">
        <v>2.2744503411675514</v>
      </c>
      <c r="D17" s="155">
        <v>2.1929824561403506</v>
      </c>
      <c r="E17" s="156">
        <v>2.6212319790301439</v>
      </c>
      <c r="F17" s="7"/>
      <c r="G17" s="25">
        <f t="shared" si="4"/>
        <v>0.19111700783421837</v>
      </c>
      <c r="H17" s="26">
        <f t="shared" si="5"/>
        <v>-3.3952244243343976E-2</v>
      </c>
      <c r="I17" s="26">
        <f t="shared" si="6"/>
        <v>-0.21572003891108515</v>
      </c>
      <c r="J17" s="26">
        <f t="shared" si="0"/>
        <v>-0.48474121570628448</v>
      </c>
      <c r="K17" s="26">
        <f t="shared" si="1"/>
        <v>-0.29718792393828597</v>
      </c>
      <c r="L17" s="27">
        <f t="shared" si="2"/>
        <v>-0.56620910073348529</v>
      </c>
      <c r="N17" s="52">
        <v>5</v>
      </c>
      <c r="P17" s="59"/>
      <c r="V17" s="53"/>
      <c r="W17" s="118">
        <f t="shared" si="8"/>
        <v>1.9607843137254901</v>
      </c>
      <c r="X17" s="147">
        <f t="shared" si="9"/>
        <v>10</v>
      </c>
      <c r="Y17" s="148">
        <f t="shared" si="10"/>
        <v>0.27941176470588236</v>
      </c>
      <c r="Z17" s="105">
        <f t="shared" si="19"/>
        <v>-0.58458985705947353</v>
      </c>
      <c r="AA17" s="116"/>
      <c r="AB17" s="118">
        <f t="shared" si="11"/>
        <v>1.9607843137254901</v>
      </c>
      <c r="AC17" s="147">
        <f t="shared" si="12"/>
        <v>10</v>
      </c>
      <c r="AD17" s="149">
        <f t="shared" si="13"/>
        <v>0.27941176470588236</v>
      </c>
      <c r="AE17" s="105">
        <f t="shared" si="17"/>
        <v>-0.58458985705947353</v>
      </c>
      <c r="AG17" s="118">
        <f t="shared" si="14"/>
        <v>1.957905041605482</v>
      </c>
      <c r="AH17" s="147">
        <f t="shared" si="15"/>
        <v>11</v>
      </c>
      <c r="AI17" s="149">
        <f t="shared" si="16"/>
        <v>0.30882352941176472</v>
      </c>
      <c r="AJ17" s="105">
        <f t="shared" si="18"/>
        <v>-0.49918784205087674</v>
      </c>
      <c r="AK17" s="107"/>
    </row>
    <row r="18" spans="2:37" ht="15.9" thickBot="1" x14ac:dyDescent="0.65">
      <c r="B18" s="67" t="s">
        <v>16</v>
      </c>
      <c r="C18" s="161">
        <v>2.2970903522205206</v>
      </c>
      <c r="D18" s="155">
        <v>2.2988505747126435</v>
      </c>
      <c r="E18" s="156">
        <v>2.2874571101791847</v>
      </c>
      <c r="F18" s="7"/>
      <c r="G18" s="25">
        <f t="shared" si="4"/>
        <v>0.11318230624350933</v>
      </c>
      <c r="H18" s="26">
        <f t="shared" si="5"/>
        <v>-0.12275235800331474</v>
      </c>
      <c r="I18" s="26">
        <f t="shared" si="6"/>
        <v>0.12400609755029501</v>
      </c>
      <c r="J18" s="26">
        <f t="shared" si="0"/>
        <v>-0.1107592374417794</v>
      </c>
      <c r="K18" s="26">
        <f t="shared" si="1"/>
        <v>0.12576632004241795</v>
      </c>
      <c r="L18" s="27">
        <f t="shared" si="2"/>
        <v>-0.10899901494965647</v>
      </c>
      <c r="N18" s="35"/>
      <c r="V18" s="117"/>
      <c r="W18" s="118">
        <f t="shared" si="8"/>
        <v>2.9880478087649407</v>
      </c>
      <c r="X18" s="147">
        <f t="shared" si="9"/>
        <v>30</v>
      </c>
      <c r="Y18" s="148">
        <f t="shared" si="10"/>
        <v>0.86764705882352944</v>
      </c>
      <c r="Z18" s="105">
        <f t="shared" si="19"/>
        <v>1.1153373577337866</v>
      </c>
      <c r="AA18" s="116"/>
      <c r="AB18" s="118">
        <f t="shared" si="11"/>
        <v>2.9850746268656714</v>
      </c>
      <c r="AC18" s="147">
        <f t="shared" si="12"/>
        <v>30</v>
      </c>
      <c r="AD18" s="149">
        <f t="shared" si="13"/>
        <v>0.86764705882352944</v>
      </c>
      <c r="AE18" s="105">
        <f t="shared" si="17"/>
        <v>1.1153373577337866</v>
      </c>
      <c r="AF18" s="16"/>
      <c r="AG18" s="118">
        <f t="shared" si="14"/>
        <v>2.9917726252804786</v>
      </c>
      <c r="AH18" s="147">
        <f t="shared" si="15"/>
        <v>30</v>
      </c>
      <c r="AI18" s="149">
        <f t="shared" si="16"/>
        <v>0.86764705882352944</v>
      </c>
      <c r="AJ18" s="105">
        <f t="shared" si="18"/>
        <v>1.1153373577337866</v>
      </c>
      <c r="AK18" s="107"/>
    </row>
    <row r="19" spans="2:37" ht="15.6" x14ac:dyDescent="0.6">
      <c r="B19" s="67" t="s">
        <v>17</v>
      </c>
      <c r="C19" s="161">
        <v>1.8987341772151896</v>
      </c>
      <c r="D19" s="155">
        <v>1.8714909544603868</v>
      </c>
      <c r="E19" s="156">
        <v>1.9277108433734937</v>
      </c>
      <c r="F19" s="7"/>
      <c r="G19" s="25">
        <f t="shared" si="4"/>
        <v>0.12081777047782216</v>
      </c>
      <c r="H19" s="26">
        <f t="shared" si="5"/>
        <v>-7.1256301164165148E-2</v>
      </c>
      <c r="I19" s="26">
        <f t="shared" si="6"/>
        <v>6.74088760103706E-2</v>
      </c>
      <c r="J19" s="26">
        <f t="shared" si="0"/>
        <v>-0.13043513159901443</v>
      </c>
      <c r="K19" s="26">
        <f t="shared" si="1"/>
        <v>4.0165653255567868E-2</v>
      </c>
      <c r="L19" s="27">
        <f t="shared" si="2"/>
        <v>-0.15767835435381716</v>
      </c>
      <c r="N19" s="57" t="s">
        <v>64</v>
      </c>
      <c r="V19" s="117"/>
      <c r="W19" s="118">
        <f t="shared" si="8"/>
        <v>2.4232633279483036</v>
      </c>
      <c r="X19" s="147">
        <f t="shared" si="9"/>
        <v>24</v>
      </c>
      <c r="Y19" s="148">
        <f t="shared" si="10"/>
        <v>0.69117647058823528</v>
      </c>
      <c r="Z19" s="105">
        <f>_xlfn.NORM.S.INV(Y19)</f>
        <v>0.49918784205087674</v>
      </c>
      <c r="AA19" s="116"/>
      <c r="AB19" s="118">
        <f t="shared" si="11"/>
        <v>2.4232633279483036</v>
      </c>
      <c r="AC19" s="147">
        <f t="shared" si="12"/>
        <v>22</v>
      </c>
      <c r="AD19" s="149">
        <f t="shared" si="13"/>
        <v>0.63235294117647056</v>
      </c>
      <c r="AE19" s="105">
        <f t="shared" si="17"/>
        <v>0.33809165680420711</v>
      </c>
      <c r="AF19" s="16"/>
      <c r="AG19" s="118">
        <f t="shared" si="14"/>
        <v>2.4217961654894049</v>
      </c>
      <c r="AH19" s="147">
        <f t="shared" si="15"/>
        <v>23</v>
      </c>
      <c r="AI19" s="149">
        <f t="shared" si="16"/>
        <v>0.66176470588235292</v>
      </c>
      <c r="AJ19" s="105">
        <f t="shared" si="18"/>
        <v>0.41728413938902159</v>
      </c>
      <c r="AK19" s="107"/>
    </row>
    <row r="20" spans="2:37" ht="15.6" customHeight="1" thickBot="1" x14ac:dyDescent="0.65">
      <c r="B20" s="67" t="s">
        <v>18</v>
      </c>
      <c r="C20" s="161">
        <v>2.3428348301444748</v>
      </c>
      <c r="D20" s="155">
        <v>2.3557126030624262</v>
      </c>
      <c r="E20" s="156">
        <v>2.3663971603234075</v>
      </c>
      <c r="F20" s="7"/>
      <c r="G20" s="25">
        <f t="shared" si="4"/>
        <v>0.10490785723516982</v>
      </c>
      <c r="H20" s="26">
        <f t="shared" si="5"/>
        <v>-0.13686264676334225</v>
      </c>
      <c r="I20" s="26">
        <f t="shared" si="6"/>
        <v>9.4757527837237898E-2</v>
      </c>
      <c r="J20" s="26">
        <f t="shared" si="0"/>
        <v>-0.14810954914332264</v>
      </c>
      <c r="K20" s="26">
        <f t="shared" si="1"/>
        <v>0.10763530075518934</v>
      </c>
      <c r="L20" s="27">
        <f t="shared" si="2"/>
        <v>-0.13523177622537119</v>
      </c>
      <c r="N20" s="58">
        <v>0.05</v>
      </c>
      <c r="V20" s="117"/>
      <c r="W20" s="118">
        <f t="shared" si="8"/>
        <v>3.0943785456420838</v>
      </c>
      <c r="X20" s="147">
        <f t="shared" si="9"/>
        <v>31</v>
      </c>
      <c r="Y20" s="148">
        <f t="shared" si="10"/>
        <v>0.8970588235294118</v>
      </c>
      <c r="Z20" s="105">
        <f t="shared" si="19"/>
        <v>1.2649692448841479</v>
      </c>
      <c r="AA20" s="116"/>
      <c r="AB20" s="118">
        <f t="shared" si="11"/>
        <v>3.0943785456420838</v>
      </c>
      <c r="AC20" s="147">
        <f t="shared" si="12"/>
        <v>31</v>
      </c>
      <c r="AD20" s="149">
        <f t="shared" si="13"/>
        <v>0.8970588235294118</v>
      </c>
      <c r="AE20" s="105">
        <f t="shared" si="17"/>
        <v>1.2649692448841479</v>
      </c>
      <c r="AF20" s="16"/>
      <c r="AG20" s="118">
        <f t="shared" si="14"/>
        <v>3.1047865459249677</v>
      </c>
      <c r="AH20" s="147">
        <f t="shared" si="15"/>
        <v>31</v>
      </c>
      <c r="AI20" s="149">
        <f t="shared" si="16"/>
        <v>0.8970588235294118</v>
      </c>
      <c r="AJ20" s="105">
        <f t="shared" si="18"/>
        <v>1.2649692448841479</v>
      </c>
      <c r="AK20" s="107"/>
    </row>
    <row r="21" spans="2:37" ht="15.9" thickBot="1" x14ac:dyDescent="0.65">
      <c r="B21" s="67" t="s">
        <v>19</v>
      </c>
      <c r="C21" s="161">
        <v>1.3160780872998463</v>
      </c>
      <c r="D21" s="155">
        <v>1.3149243918474687</v>
      </c>
      <c r="E21" s="156">
        <v>1.282188267977348</v>
      </c>
      <c r="F21" s="7"/>
      <c r="G21" s="25">
        <f t="shared" si="4"/>
        <v>6.6899915044751124E-2</v>
      </c>
      <c r="H21" s="26">
        <f t="shared" si="5"/>
        <v>-6.805285148696294E-2</v>
      </c>
      <c r="I21" s="26">
        <f t="shared" si="6"/>
        <v>9.7999232721365903E-2</v>
      </c>
      <c r="J21" s="26">
        <f t="shared" si="0"/>
        <v>-3.3593773728941123E-2</v>
      </c>
      <c r="K21" s="26">
        <f t="shared" si="1"/>
        <v>9.6845537268988258E-2</v>
      </c>
      <c r="L21" s="27">
        <f t="shared" si="2"/>
        <v>-3.4747469181318769E-2</v>
      </c>
      <c r="V21" s="117"/>
      <c r="W21" s="118">
        <f t="shared" si="8"/>
        <v>2.7958993476234855</v>
      </c>
      <c r="X21" s="147">
        <f t="shared" si="9"/>
        <v>28</v>
      </c>
      <c r="Y21" s="148">
        <f t="shared" si="10"/>
        <v>0.80882352941176472</v>
      </c>
      <c r="Z21" s="105">
        <f t="shared" si="19"/>
        <v>0.87356913461508812</v>
      </c>
      <c r="AA21" s="116"/>
      <c r="AB21" s="118">
        <f t="shared" si="11"/>
        <v>2.7998133457769478</v>
      </c>
      <c r="AC21" s="147">
        <f t="shared" si="12"/>
        <v>28</v>
      </c>
      <c r="AD21" s="149">
        <f t="shared" si="13"/>
        <v>0.80882352941176472</v>
      </c>
      <c r="AE21" s="105">
        <f>_xlfn.NORM.S.INV(AD21)</f>
        <v>0.87356913461508812</v>
      </c>
      <c r="AF21" s="16"/>
      <c r="AG21" s="118">
        <f t="shared" si="14"/>
        <v>2.7063599458728009</v>
      </c>
      <c r="AH21" s="147">
        <f t="shared" si="15"/>
        <v>28</v>
      </c>
      <c r="AI21" s="149">
        <f t="shared" si="16"/>
        <v>0.80882352941176472</v>
      </c>
      <c r="AJ21" s="105">
        <f>_xlfn.NORM.S.INV(AI21)</f>
        <v>0.87356913461508812</v>
      </c>
      <c r="AK21" s="107"/>
    </row>
    <row r="22" spans="2:37" ht="15.9" thickBot="1" x14ac:dyDescent="0.65">
      <c r="B22" s="67" t="s">
        <v>20</v>
      </c>
      <c r="C22" s="161">
        <v>1.6992353440951571</v>
      </c>
      <c r="D22" s="155">
        <v>1.6992353440951571</v>
      </c>
      <c r="E22" s="156">
        <v>1.6958733747880161</v>
      </c>
      <c r="F22" s="7"/>
      <c r="G22" s="25">
        <f t="shared" si="4"/>
        <v>8.496176720475801E-2</v>
      </c>
      <c r="H22" s="26">
        <f t="shared" si="5"/>
        <v>-8.9433439162903028E-2</v>
      </c>
      <c r="I22" s="26">
        <f t="shared" si="6"/>
        <v>8.8155638046541807E-2</v>
      </c>
      <c r="J22" s="26">
        <f t="shared" si="0"/>
        <v>-8.5894524102754666E-2</v>
      </c>
      <c r="K22" s="26">
        <f t="shared" si="1"/>
        <v>8.8155638046541807E-2</v>
      </c>
      <c r="L22" s="27">
        <f t="shared" si="2"/>
        <v>-8.5894524102754666E-2</v>
      </c>
      <c r="N22" s="56" t="s">
        <v>63</v>
      </c>
      <c r="V22" s="117"/>
      <c r="W22" s="118">
        <f t="shared" si="8"/>
        <v>2.2744503411675514</v>
      </c>
      <c r="X22" s="147">
        <f t="shared" si="9"/>
        <v>18</v>
      </c>
      <c r="Y22" s="148">
        <f t="shared" si="10"/>
        <v>0.51470588235294112</v>
      </c>
      <c r="Z22" s="105">
        <f t="shared" si="19"/>
        <v>3.6870532662080152E-2</v>
      </c>
      <c r="AA22" s="116"/>
      <c r="AB22" s="118">
        <f t="shared" si="11"/>
        <v>2.1929824561403506</v>
      </c>
      <c r="AC22" s="147">
        <f t="shared" si="12"/>
        <v>17</v>
      </c>
      <c r="AD22" s="149">
        <f t="shared" si="13"/>
        <v>0.48529411764705882</v>
      </c>
      <c r="AE22" s="105">
        <f t="shared" ref="AE22:AE42" si="20">_xlfn.NORM.S.INV(AD22)</f>
        <v>-3.6870532662080291E-2</v>
      </c>
      <c r="AF22" s="16"/>
      <c r="AG22" s="118">
        <f t="shared" si="14"/>
        <v>2.6212319790301439</v>
      </c>
      <c r="AH22" s="147">
        <f t="shared" si="15"/>
        <v>25</v>
      </c>
      <c r="AI22" s="149">
        <f t="shared" si="16"/>
        <v>0.72058823529411764</v>
      </c>
      <c r="AJ22" s="105">
        <f t="shared" ref="AJ22:AJ42" si="21">_xlfn.NORM.S.INV(AI22)</f>
        <v>0.58458985705947353</v>
      </c>
      <c r="AK22" s="107"/>
    </row>
    <row r="23" spans="2:37" ht="15.9" thickBot="1" x14ac:dyDescent="0.65">
      <c r="B23" s="67" t="s">
        <v>21</v>
      </c>
      <c r="C23" s="161">
        <v>2.0332090816672315</v>
      </c>
      <c r="D23" s="155">
        <v>2.0338983050847457</v>
      </c>
      <c r="E23" s="156">
        <v>2.0484807101399798</v>
      </c>
      <c r="F23" s="7"/>
      <c r="G23" s="25">
        <f t="shared" si="4"/>
        <v>0.10100569183672325</v>
      </c>
      <c r="H23" s="26">
        <f t="shared" si="5"/>
        <v>-0.10773650263250101</v>
      </c>
      <c r="I23" s="26">
        <f t="shared" si="6"/>
        <v>8.7152407034250867E-2</v>
      </c>
      <c r="J23" s="26">
        <f t="shared" si="0"/>
        <v>-0.12308640269064197</v>
      </c>
      <c r="K23" s="26">
        <f t="shared" si="1"/>
        <v>8.7841630451765074E-2</v>
      </c>
      <c r="L23" s="27">
        <f t="shared" si="2"/>
        <v>-0.12239717927312777</v>
      </c>
      <c r="N23" s="55">
        <v>3</v>
      </c>
      <c r="V23" s="117"/>
      <c r="W23" s="118">
        <f t="shared" si="8"/>
        <v>2.2970903522205206</v>
      </c>
      <c r="X23" s="147">
        <f t="shared" si="9"/>
        <v>19</v>
      </c>
      <c r="Y23" s="148">
        <f t="shared" si="10"/>
        <v>0.54411764705882348</v>
      </c>
      <c r="Z23" s="105">
        <f>_xlfn.NORM.S.INV(Y23)</f>
        <v>0.11081291229915685</v>
      </c>
      <c r="AA23" s="116"/>
      <c r="AB23" s="118">
        <f t="shared" si="11"/>
        <v>2.2988505747126435</v>
      </c>
      <c r="AC23" s="147">
        <f t="shared" si="12"/>
        <v>19.5</v>
      </c>
      <c r="AD23" s="149">
        <f t="shared" si="13"/>
        <v>0.55882352941176472</v>
      </c>
      <c r="AE23" s="105">
        <f t="shared" si="20"/>
        <v>0.14798710972583889</v>
      </c>
      <c r="AF23" s="16"/>
      <c r="AG23" s="118">
        <f t="shared" si="14"/>
        <v>2.2874571101791847</v>
      </c>
      <c r="AH23" s="147">
        <f t="shared" si="15"/>
        <v>19</v>
      </c>
      <c r="AI23" s="149">
        <f t="shared" si="16"/>
        <v>0.54411764705882348</v>
      </c>
      <c r="AJ23" s="105">
        <f t="shared" si="21"/>
        <v>0.11081291229915685</v>
      </c>
      <c r="AK23" s="107"/>
    </row>
    <row r="24" spans="2:37" ht="15.6" x14ac:dyDescent="0.6">
      <c r="B24" s="67" t="s">
        <v>22</v>
      </c>
      <c r="C24" s="161">
        <v>2.1186440677966099</v>
      </c>
      <c r="D24" s="155">
        <v>2.1164021164021163</v>
      </c>
      <c r="E24" s="156">
        <v>2.099370188943317</v>
      </c>
      <c r="F24" s="7"/>
      <c r="G24" s="25">
        <f t="shared" si="4"/>
        <v>0.10806205721459961</v>
      </c>
      <c r="H24" s="26">
        <f t="shared" si="5"/>
        <v>-0.10914763367930203</v>
      </c>
      <c r="I24" s="26">
        <f t="shared" si="6"/>
        <v>0.12424238830045886</v>
      </c>
      <c r="J24" s="26">
        <f t="shared" si="0"/>
        <v>-9.1219288985829206E-2</v>
      </c>
      <c r="K24" s="26">
        <f t="shared" si="1"/>
        <v>0.12200043690596529</v>
      </c>
      <c r="L24" s="27">
        <f t="shared" si="2"/>
        <v>-9.3461240380322774E-2</v>
      </c>
      <c r="N24" s="6"/>
      <c r="V24" s="117"/>
      <c r="W24" s="118">
        <f t="shared" si="8"/>
        <v>1.8987341772151896</v>
      </c>
      <c r="X24" s="147">
        <f t="shared" si="9"/>
        <v>9</v>
      </c>
      <c r="Y24" s="148">
        <f t="shared" si="10"/>
        <v>0.25</v>
      </c>
      <c r="Z24" s="105">
        <f t="shared" ref="Z24:Z41" si="22">_xlfn.NORM.S.INV(Y24)</f>
        <v>-0.67448975019608193</v>
      </c>
      <c r="AA24" s="116"/>
      <c r="AB24" s="118">
        <f t="shared" si="11"/>
        <v>1.8714909544603868</v>
      </c>
      <c r="AC24" s="147">
        <f t="shared" si="12"/>
        <v>9</v>
      </c>
      <c r="AD24" s="149">
        <f t="shared" si="13"/>
        <v>0.25</v>
      </c>
      <c r="AE24" s="105">
        <f t="shared" si="20"/>
        <v>-0.67448975019608193</v>
      </c>
      <c r="AF24" s="16"/>
      <c r="AG24" s="118">
        <f t="shared" si="14"/>
        <v>1.9277108433734937</v>
      </c>
      <c r="AH24" s="147">
        <f t="shared" si="15"/>
        <v>9</v>
      </c>
      <c r="AI24" s="149">
        <f t="shared" si="16"/>
        <v>0.25</v>
      </c>
      <c r="AJ24" s="105">
        <f t="shared" si="21"/>
        <v>-0.67448975019608193</v>
      </c>
      <c r="AK24" s="107"/>
    </row>
    <row r="25" spans="2:37" ht="15.9" thickBot="1" x14ac:dyDescent="0.65">
      <c r="B25" s="67" t="s">
        <v>23</v>
      </c>
      <c r="C25" s="161">
        <v>2.2438294689603593</v>
      </c>
      <c r="D25" s="155">
        <v>2.2438294689603593</v>
      </c>
      <c r="E25" s="156">
        <v>2.2421524663677133</v>
      </c>
      <c r="F25" s="7"/>
      <c r="G25" s="25">
        <f t="shared" si="4"/>
        <v>0.11219147344801828</v>
      </c>
      <c r="H25" s="26">
        <f t="shared" si="5"/>
        <v>-0.11809628784001891</v>
      </c>
      <c r="I25" s="26">
        <f t="shared" si="6"/>
        <v>0.11378462591103178</v>
      </c>
      <c r="J25" s="26">
        <f t="shared" si="0"/>
        <v>-0.11633102195302314</v>
      </c>
      <c r="K25" s="26">
        <f t="shared" si="1"/>
        <v>0.11378462591103178</v>
      </c>
      <c r="L25" s="27">
        <f t="shared" si="2"/>
        <v>-0.11633102195302314</v>
      </c>
      <c r="N25" s="6"/>
      <c r="V25" s="117"/>
      <c r="W25" s="118">
        <f t="shared" si="8"/>
        <v>2.3428348301444748</v>
      </c>
      <c r="X25" s="147">
        <f t="shared" si="9"/>
        <v>21</v>
      </c>
      <c r="Y25" s="148">
        <f t="shared" si="10"/>
        <v>0.6029411764705882</v>
      </c>
      <c r="Z25" s="105">
        <f t="shared" si="22"/>
        <v>0.26096740040145278</v>
      </c>
      <c r="AA25" s="116"/>
      <c r="AB25" s="118">
        <f t="shared" si="11"/>
        <v>2.3557126030624262</v>
      </c>
      <c r="AC25" s="147">
        <f t="shared" si="12"/>
        <v>21</v>
      </c>
      <c r="AD25" s="149">
        <f t="shared" si="13"/>
        <v>0.6029411764705882</v>
      </c>
      <c r="AE25" s="105">
        <f t="shared" si="20"/>
        <v>0.26096740040145278</v>
      </c>
      <c r="AF25" s="16"/>
      <c r="AG25" s="118">
        <f t="shared" si="14"/>
        <v>2.3663971603234075</v>
      </c>
      <c r="AH25" s="147">
        <f t="shared" si="15"/>
        <v>21</v>
      </c>
      <c r="AI25" s="149">
        <f t="shared" si="16"/>
        <v>0.6029411764705882</v>
      </c>
      <c r="AJ25" s="105">
        <f t="shared" si="21"/>
        <v>0.26096740040145278</v>
      </c>
      <c r="AK25" s="107"/>
    </row>
    <row r="26" spans="2:37" ht="15.6" x14ac:dyDescent="0.6">
      <c r="B26" s="67" t="s">
        <v>24</v>
      </c>
      <c r="C26" s="161">
        <v>2.0942408376963351</v>
      </c>
      <c r="D26" s="155">
        <v>2.0935101186322398</v>
      </c>
      <c r="E26" s="156">
        <v>2.0625644551392233</v>
      </c>
      <c r="F26" s="7"/>
      <c r="G26" s="25">
        <f t="shared" si="4"/>
        <v>0.10540622499570729</v>
      </c>
      <c r="H26" s="26">
        <f t="shared" si="5"/>
        <v>-0.10945402402181204</v>
      </c>
      <c r="I26" s="26">
        <f t="shared" si="6"/>
        <v>0.13480460531407301</v>
      </c>
      <c r="J26" s="26">
        <f t="shared" si="0"/>
        <v>-7.6879641397584297E-2</v>
      </c>
      <c r="K26" s="26">
        <f t="shared" si="1"/>
        <v>0.13407388624997774</v>
      </c>
      <c r="L26" s="27">
        <f t="shared" si="2"/>
        <v>-7.7610360461679573E-2</v>
      </c>
      <c r="N26" s="206" t="s">
        <v>66</v>
      </c>
      <c r="O26" s="207"/>
      <c r="P26" s="207"/>
      <c r="Q26" s="207"/>
      <c r="R26" s="207"/>
      <c r="S26" s="207"/>
      <c r="T26" s="208"/>
      <c r="V26" s="117"/>
      <c r="W26" s="118">
        <f t="shared" si="8"/>
        <v>1.3160780872998463</v>
      </c>
      <c r="X26" s="147">
        <f t="shared" si="9"/>
        <v>1</v>
      </c>
      <c r="Y26" s="148">
        <f t="shared" si="10"/>
        <v>1.4705882352941176E-2</v>
      </c>
      <c r="Z26" s="105">
        <f t="shared" si="22"/>
        <v>-2.1779230690821838</v>
      </c>
      <c r="AA26" s="116"/>
      <c r="AB26" s="118">
        <f t="shared" si="11"/>
        <v>1.3149243918474687</v>
      </c>
      <c r="AC26" s="147">
        <f t="shared" si="12"/>
        <v>1</v>
      </c>
      <c r="AD26" s="149">
        <f t="shared" si="13"/>
        <v>1.4705882352941176E-2</v>
      </c>
      <c r="AE26" s="105">
        <f t="shared" si="20"/>
        <v>-2.1779230690821838</v>
      </c>
      <c r="AF26" s="16"/>
      <c r="AG26" s="118">
        <f t="shared" si="14"/>
        <v>1.282188267977348</v>
      </c>
      <c r="AH26" s="147">
        <f t="shared" si="15"/>
        <v>1</v>
      </c>
      <c r="AI26" s="149">
        <f t="shared" si="16"/>
        <v>1.4705882352941176E-2</v>
      </c>
      <c r="AJ26" s="105">
        <f t="shared" si="21"/>
        <v>-2.1779230690821838</v>
      </c>
      <c r="AK26" s="107"/>
    </row>
    <row r="27" spans="2:37" ht="15.6" x14ac:dyDescent="0.6">
      <c r="B27" s="67" t="s">
        <v>25</v>
      </c>
      <c r="C27" s="161">
        <v>2.8846153846153846</v>
      </c>
      <c r="D27" s="155">
        <v>2.8222013170272815</v>
      </c>
      <c r="E27" s="156">
        <v>2.956393200295639</v>
      </c>
      <c r="F27" s="7"/>
      <c r="G27" s="25">
        <f t="shared" si="4"/>
        <v>0.20352413343946729</v>
      </c>
      <c r="H27" s="26">
        <f t="shared" si="5"/>
        <v>-8.612284383438551E-2</v>
      </c>
      <c r="I27" s="26">
        <f t="shared" si="6"/>
        <v>7.6041844334527653E-2</v>
      </c>
      <c r="J27" s="26">
        <f t="shared" si="0"/>
        <v>-0.22737745780107765</v>
      </c>
      <c r="K27" s="26">
        <f t="shared" si="1"/>
        <v>1.3627776746424569E-2</v>
      </c>
      <c r="L27" s="27">
        <f t="shared" si="2"/>
        <v>-0.28979152538918074</v>
      </c>
      <c r="N27" s="54"/>
      <c r="O27" s="209" t="s">
        <v>69</v>
      </c>
      <c r="P27" s="210"/>
      <c r="Q27" s="209" t="s">
        <v>70</v>
      </c>
      <c r="R27" s="211"/>
      <c r="S27" s="210" t="s">
        <v>71</v>
      </c>
      <c r="T27" s="212"/>
      <c r="V27" s="117"/>
      <c r="W27" s="118">
        <f t="shared" si="8"/>
        <v>1.6992353440951571</v>
      </c>
      <c r="X27" s="147">
        <f t="shared" si="9"/>
        <v>4</v>
      </c>
      <c r="Y27" s="148">
        <f t="shared" si="10"/>
        <v>0.10294117647058823</v>
      </c>
      <c r="Z27" s="105">
        <f t="shared" si="22"/>
        <v>-1.2649692448841479</v>
      </c>
      <c r="AA27" s="116"/>
      <c r="AB27" s="118">
        <f t="shared" si="11"/>
        <v>1.6992353440951571</v>
      </c>
      <c r="AC27" s="147">
        <f t="shared" si="12"/>
        <v>4</v>
      </c>
      <c r="AD27" s="149">
        <f t="shared" si="13"/>
        <v>0.10294117647058823</v>
      </c>
      <c r="AE27" s="105">
        <f t="shared" si="20"/>
        <v>-1.2649692448841479</v>
      </c>
      <c r="AF27" s="16"/>
      <c r="AG27" s="118">
        <f t="shared" si="14"/>
        <v>1.6958733747880161</v>
      </c>
      <c r="AH27" s="147">
        <f t="shared" si="15"/>
        <v>6</v>
      </c>
      <c r="AI27" s="149">
        <f t="shared" si="16"/>
        <v>0.16176470588235295</v>
      </c>
      <c r="AJ27" s="105">
        <f t="shared" si="21"/>
        <v>-0.98723099199017461</v>
      </c>
      <c r="AK27" s="107"/>
    </row>
    <row r="28" spans="2:37" ht="15.6" x14ac:dyDescent="0.6">
      <c r="B28" s="67" t="s">
        <v>26</v>
      </c>
      <c r="C28" s="161">
        <v>1.7246335153779822</v>
      </c>
      <c r="D28" s="155">
        <v>1.7251293847038529</v>
      </c>
      <c r="E28" s="156">
        <v>1.6103059581320449</v>
      </c>
      <c r="F28" s="7"/>
      <c r="G28" s="25">
        <f t="shared" si="4"/>
        <v>8.5760599909322055E-2</v>
      </c>
      <c r="H28" s="26">
        <f t="shared" si="5"/>
        <v>-9.129215273133684E-2</v>
      </c>
      <c r="I28" s="26">
        <f t="shared" si="6"/>
        <v>0.19484285515253963</v>
      </c>
      <c r="J28" s="26">
        <f t="shared" si="0"/>
        <v>2.9574612081092688E-2</v>
      </c>
      <c r="K28" s="26">
        <f t="shared" si="1"/>
        <v>0.19533872447841039</v>
      </c>
      <c r="L28" s="27">
        <f t="shared" si="2"/>
        <v>3.0070481406963445E-2</v>
      </c>
      <c r="N28" s="98" t="s">
        <v>72</v>
      </c>
      <c r="O28" s="219">
        <f>C39-D39</f>
        <v>3.1048514380493941E-4</v>
      </c>
      <c r="P28" s="213"/>
      <c r="Q28" s="219">
        <f>C39-E39</f>
        <v>4.8055319133544216E-3</v>
      </c>
      <c r="R28" s="220"/>
      <c r="S28" s="213">
        <f>D39-E39</f>
        <v>4.4950467695494822E-3</v>
      </c>
      <c r="T28" s="214"/>
      <c r="V28" s="117"/>
      <c r="W28" s="118">
        <f t="shared" si="8"/>
        <v>2.0332090816672315</v>
      </c>
      <c r="X28" s="147">
        <f t="shared" si="9"/>
        <v>12</v>
      </c>
      <c r="Y28" s="148">
        <f t="shared" si="10"/>
        <v>0.33823529411764708</v>
      </c>
      <c r="Z28" s="105">
        <f t="shared" si="22"/>
        <v>-0.41728413938902159</v>
      </c>
      <c r="AA28" s="116"/>
      <c r="AB28" s="118">
        <f t="shared" si="11"/>
        <v>2.0338983050847457</v>
      </c>
      <c r="AC28" s="147">
        <f t="shared" si="12"/>
        <v>12</v>
      </c>
      <c r="AD28" s="149">
        <f t="shared" si="13"/>
        <v>0.33823529411764708</v>
      </c>
      <c r="AE28" s="105">
        <f t="shared" si="20"/>
        <v>-0.41728413938902159</v>
      </c>
      <c r="AF28" s="16"/>
      <c r="AG28" s="118">
        <f t="shared" si="14"/>
        <v>2.0484807101399798</v>
      </c>
      <c r="AH28" s="147">
        <f t="shared" si="15"/>
        <v>13</v>
      </c>
      <c r="AI28" s="149">
        <f t="shared" si="16"/>
        <v>0.36764705882352944</v>
      </c>
      <c r="AJ28" s="105">
        <f t="shared" si="21"/>
        <v>-0.33809165680420711</v>
      </c>
      <c r="AK28" s="107"/>
    </row>
    <row r="29" spans="2:37" ht="15.6" x14ac:dyDescent="0.6">
      <c r="B29" s="67" t="s">
        <v>27</v>
      </c>
      <c r="C29" s="161">
        <v>1.4641288433382138</v>
      </c>
      <c r="D29" s="155">
        <v>1.386001386001386</v>
      </c>
      <c r="E29" s="156">
        <v>1.5120967741935485</v>
      </c>
      <c r="F29" s="7"/>
      <c r="G29" s="25">
        <f t="shared" si="4"/>
        <v>0.14742752663689718</v>
      </c>
      <c r="H29" s="26">
        <f t="shared" si="5"/>
        <v>5.1800159683337288E-3</v>
      </c>
      <c r="I29" s="26">
        <f t="shared" si="6"/>
        <v>2.7636907854342807E-2</v>
      </c>
      <c r="J29" s="26">
        <f t="shared" si="0"/>
        <v>-0.12755197160236365</v>
      </c>
      <c r="K29" s="26">
        <f t="shared" si="1"/>
        <v>-5.0490549482484992E-2</v>
      </c>
      <c r="L29" s="27">
        <f t="shared" si="2"/>
        <v>-0.20567942893919144</v>
      </c>
      <c r="N29" s="46" t="s">
        <v>39</v>
      </c>
      <c r="O29" s="215">
        <f>C41-1</f>
        <v>33</v>
      </c>
      <c r="P29" s="216"/>
      <c r="Q29" s="215">
        <f>C41-1</f>
        <v>33</v>
      </c>
      <c r="R29" s="217"/>
      <c r="S29" s="216">
        <f>C41-1</f>
        <v>33</v>
      </c>
      <c r="T29" s="218"/>
      <c r="V29" s="117"/>
      <c r="W29" s="118">
        <f t="shared" si="8"/>
        <v>2.1186440677966099</v>
      </c>
      <c r="X29" s="147">
        <f t="shared" si="9"/>
        <v>16</v>
      </c>
      <c r="Y29" s="148">
        <f t="shared" si="10"/>
        <v>0.45588235294117646</v>
      </c>
      <c r="Z29" s="105">
        <f t="shared" si="22"/>
        <v>-0.110812912299157</v>
      </c>
      <c r="AA29" s="116"/>
      <c r="AB29" s="118">
        <f t="shared" si="11"/>
        <v>2.1164021164021163</v>
      </c>
      <c r="AC29" s="147">
        <f t="shared" si="12"/>
        <v>15</v>
      </c>
      <c r="AD29" s="149">
        <f t="shared" si="13"/>
        <v>0.4264705882352941</v>
      </c>
      <c r="AE29" s="105">
        <f t="shared" si="20"/>
        <v>-0.18536701728959676</v>
      </c>
      <c r="AF29" s="16"/>
      <c r="AG29" s="118">
        <f t="shared" si="14"/>
        <v>2.099370188943317</v>
      </c>
      <c r="AH29" s="147">
        <f t="shared" si="15"/>
        <v>16</v>
      </c>
      <c r="AI29" s="149">
        <f t="shared" si="16"/>
        <v>0.45588235294117646</v>
      </c>
      <c r="AJ29" s="105">
        <f t="shared" si="21"/>
        <v>-0.110812912299157</v>
      </c>
      <c r="AK29" s="107"/>
    </row>
    <row r="30" spans="2:37" ht="15.6" x14ac:dyDescent="0.6">
      <c r="B30" s="67" t="s">
        <v>28</v>
      </c>
      <c r="C30" s="161">
        <v>1.9847833278200462</v>
      </c>
      <c r="D30" s="155">
        <v>2.0161290322580645</v>
      </c>
      <c r="E30" s="156">
        <v>1.9292604501607717</v>
      </c>
      <c r="F30" s="7"/>
      <c r="G30" s="25">
        <f t="shared" si="4"/>
        <v>6.9460747174884929E-2</v>
      </c>
      <c r="H30" s="26">
        <f t="shared" si="5"/>
        <v>-0.13745775876739041</v>
      </c>
      <c r="I30" s="26">
        <f t="shared" si="6"/>
        <v>0.15198590016731317</v>
      </c>
      <c r="J30" s="26">
        <f t="shared" si="0"/>
        <v>-4.6017146033398015E-2</v>
      </c>
      <c r="K30" s="26">
        <f t="shared" si="1"/>
        <v>0.18333160460533149</v>
      </c>
      <c r="L30" s="27">
        <f t="shared" si="2"/>
        <v>-1.4671441595379697E-2</v>
      </c>
      <c r="N30" s="47" t="s">
        <v>37</v>
      </c>
      <c r="O30" s="199">
        <f>STDEV(C46:C79)/SQRT(C41)</f>
        <v>6.8798169559752022E-3</v>
      </c>
      <c r="P30" s="200"/>
      <c r="Q30" s="199">
        <f>STDEV(D46:D79)/SQRT(C41)</f>
        <v>1.3290737185796313E-2</v>
      </c>
      <c r="R30" s="201"/>
      <c r="S30" s="200">
        <f>STDEV(E46:E79)/SQRT(C41)</f>
        <v>1.7275302625824045E-2</v>
      </c>
      <c r="T30" s="202"/>
      <c r="V30" s="117"/>
      <c r="W30" s="118">
        <f t="shared" si="8"/>
        <v>2.2438294689603593</v>
      </c>
      <c r="X30" s="147">
        <f t="shared" si="9"/>
        <v>17</v>
      </c>
      <c r="Y30" s="148">
        <f t="shared" si="10"/>
        <v>0.48529411764705882</v>
      </c>
      <c r="Z30" s="105">
        <f t="shared" si="22"/>
        <v>-3.6870532662080291E-2</v>
      </c>
      <c r="AA30" s="116"/>
      <c r="AB30" s="118">
        <f t="shared" si="11"/>
        <v>2.2438294689603593</v>
      </c>
      <c r="AC30" s="147">
        <f t="shared" si="12"/>
        <v>18</v>
      </c>
      <c r="AD30" s="149">
        <f t="shared" si="13"/>
        <v>0.51470588235294112</v>
      </c>
      <c r="AE30" s="105">
        <f t="shared" si="20"/>
        <v>3.6870532662080152E-2</v>
      </c>
      <c r="AF30" s="16"/>
      <c r="AG30" s="118">
        <f t="shared" si="14"/>
        <v>2.2421524663677133</v>
      </c>
      <c r="AH30" s="147">
        <f t="shared" si="15"/>
        <v>17</v>
      </c>
      <c r="AI30" s="149">
        <f t="shared" si="16"/>
        <v>0.48529411764705882</v>
      </c>
      <c r="AJ30" s="105">
        <f t="shared" si="21"/>
        <v>-3.6870532662080291E-2</v>
      </c>
      <c r="AK30" s="107"/>
    </row>
    <row r="31" spans="2:37" ht="15.6" x14ac:dyDescent="0.6">
      <c r="B31" s="67" t="s">
        <v>29</v>
      </c>
      <c r="C31" s="161">
        <v>2.0913210177762287</v>
      </c>
      <c r="D31" s="155">
        <v>2.0913210177762287</v>
      </c>
      <c r="E31" s="156">
        <v>2.0847810979847115</v>
      </c>
      <c r="F31" s="7"/>
      <c r="G31" s="25">
        <f t="shared" si="4"/>
        <v>0.10456605088881155</v>
      </c>
      <c r="H31" s="26">
        <f t="shared" si="5"/>
        <v>-0.11006952725138053</v>
      </c>
      <c r="I31" s="26">
        <f t="shared" si="6"/>
        <v>0.11077897469075282</v>
      </c>
      <c r="J31" s="26">
        <f t="shared" si="0"/>
        <v>-0.10318540115504682</v>
      </c>
      <c r="K31" s="26">
        <f t="shared" si="1"/>
        <v>0.11077897469075282</v>
      </c>
      <c r="L31" s="27">
        <f t="shared" si="2"/>
        <v>-0.10318540115504682</v>
      </c>
      <c r="N31" s="46" t="s">
        <v>38</v>
      </c>
      <c r="O31" s="199">
        <f>O28/O30</f>
        <v>4.5129855313269546E-2</v>
      </c>
      <c r="P31" s="200"/>
      <c r="Q31" s="199">
        <f>Q28/Q30</f>
        <v>0.36157000519805998</v>
      </c>
      <c r="R31" s="201"/>
      <c r="S31" s="200">
        <f>S28/S30</f>
        <v>0.26020075404236603</v>
      </c>
      <c r="T31" s="202"/>
      <c r="V31" s="117"/>
      <c r="W31" s="118">
        <f t="shared" si="8"/>
        <v>2.0942408376963351</v>
      </c>
      <c r="X31" s="147">
        <f t="shared" si="9"/>
        <v>15</v>
      </c>
      <c r="Y31" s="148">
        <f t="shared" si="10"/>
        <v>0.4264705882352941</v>
      </c>
      <c r="Z31" s="105">
        <f t="shared" si="22"/>
        <v>-0.18536701728959676</v>
      </c>
      <c r="AA31" s="116"/>
      <c r="AB31" s="118">
        <f t="shared" si="11"/>
        <v>2.0935101186322398</v>
      </c>
      <c r="AC31" s="147">
        <f t="shared" si="12"/>
        <v>14</v>
      </c>
      <c r="AD31" s="149">
        <f t="shared" si="13"/>
        <v>0.39705882352941174</v>
      </c>
      <c r="AE31" s="105">
        <f t="shared" si="20"/>
        <v>-0.260967400401453</v>
      </c>
      <c r="AF31" s="16"/>
      <c r="AG31" s="118">
        <f t="shared" si="14"/>
        <v>2.0625644551392233</v>
      </c>
      <c r="AH31" s="147">
        <f t="shared" si="15"/>
        <v>14</v>
      </c>
      <c r="AI31" s="149">
        <f t="shared" si="16"/>
        <v>0.39705882352941174</v>
      </c>
      <c r="AJ31" s="105">
        <f t="shared" si="21"/>
        <v>-0.260967400401453</v>
      </c>
      <c r="AK31" s="107"/>
    </row>
    <row r="32" spans="2:37" ht="15.6" x14ac:dyDescent="0.6">
      <c r="B32" s="67" t="s">
        <v>30</v>
      </c>
      <c r="C32" s="161">
        <v>2.3781212841854935</v>
      </c>
      <c r="D32" s="155">
        <v>2.470152326060107</v>
      </c>
      <c r="E32" s="156">
        <v>2.3645320197044337</v>
      </c>
      <c r="F32" s="7"/>
      <c r="G32" s="25">
        <f t="shared" si="4"/>
        <v>3.1476574428392023E-2</v>
      </c>
      <c r="H32" s="26">
        <f t="shared" si="5"/>
        <v>-0.222039059035672</v>
      </c>
      <c r="I32" s="26">
        <f t="shared" si="6"/>
        <v>0.13181586546628177</v>
      </c>
      <c r="J32" s="26">
        <f t="shared" si="0"/>
        <v>-0.11085978918759487</v>
      </c>
      <c r="K32" s="26">
        <f t="shared" si="1"/>
        <v>0.2238469073408953</v>
      </c>
      <c r="L32" s="27">
        <f t="shared" si="2"/>
        <v>-1.8828747312981342E-2</v>
      </c>
      <c r="N32" s="46" t="s">
        <v>57</v>
      </c>
      <c r="O32" s="221">
        <f>_xlfn.T.DIST.2T(ABS(O31),O29)</f>
        <v>0.96427579843291067</v>
      </c>
      <c r="P32" s="222"/>
      <c r="Q32" s="221">
        <f>_xlfn.T.DIST.2T(ABS(Q31),Q29)</f>
        <v>0.71997823985938936</v>
      </c>
      <c r="R32" s="223"/>
      <c r="S32" s="222">
        <f>_xlfn.T.DIST.2T(ABS(S31),S29)</f>
        <v>0.79632562896154013</v>
      </c>
      <c r="T32" s="224"/>
      <c r="V32" s="117"/>
      <c r="W32" s="118">
        <f t="shared" si="8"/>
        <v>2.8846153846153846</v>
      </c>
      <c r="X32" s="147">
        <f t="shared" si="9"/>
        <v>29</v>
      </c>
      <c r="Y32" s="148">
        <f t="shared" si="10"/>
        <v>0.83823529411764708</v>
      </c>
      <c r="Z32" s="105">
        <f t="shared" si="22"/>
        <v>0.98723099199017461</v>
      </c>
      <c r="AA32" s="116"/>
      <c r="AB32" s="118">
        <f t="shared" si="11"/>
        <v>2.8222013170272815</v>
      </c>
      <c r="AC32" s="147">
        <f t="shared" si="12"/>
        <v>29</v>
      </c>
      <c r="AD32" s="149">
        <f t="shared" si="13"/>
        <v>0.83823529411764708</v>
      </c>
      <c r="AE32" s="105">
        <f t="shared" si="20"/>
        <v>0.98723099199017461</v>
      </c>
      <c r="AF32" s="16"/>
      <c r="AG32" s="118">
        <f t="shared" si="14"/>
        <v>2.956393200295639</v>
      </c>
      <c r="AH32" s="147">
        <f t="shared" si="15"/>
        <v>29</v>
      </c>
      <c r="AI32" s="149">
        <f t="shared" si="16"/>
        <v>0.83823529411764708</v>
      </c>
      <c r="AJ32" s="105">
        <f t="shared" si="21"/>
        <v>0.98723099199017461</v>
      </c>
      <c r="AK32" s="107"/>
    </row>
    <row r="33" spans="2:37" ht="15.6" x14ac:dyDescent="0.6">
      <c r="B33" s="67" t="s">
        <v>31</v>
      </c>
      <c r="C33" s="161">
        <v>1.8072289156626506</v>
      </c>
      <c r="D33" s="155">
        <v>1.8650917003419334</v>
      </c>
      <c r="E33" s="156">
        <v>1.6790261648244018</v>
      </c>
      <c r="F33" s="7"/>
      <c r="G33" s="25">
        <f t="shared" si="4"/>
        <v>3.5391800337813972E-2</v>
      </c>
      <c r="H33" s="26">
        <f t="shared" si="5"/>
        <v>-0.15602550574991092</v>
      </c>
      <c r="I33" s="26">
        <f t="shared" si="6"/>
        <v>0.21215405907946905</v>
      </c>
      <c r="J33" s="26">
        <f t="shared" si="0"/>
        <v>3.9832952689595968E-2</v>
      </c>
      <c r="K33" s="26">
        <f t="shared" si="1"/>
        <v>0.27001684375875179</v>
      </c>
      <c r="L33" s="27">
        <f t="shared" si="2"/>
        <v>9.769573736887871E-2</v>
      </c>
      <c r="N33" s="46" t="s">
        <v>62</v>
      </c>
      <c r="O33" s="221">
        <f>IF((_xlfn.T.DIST.2T(ABS(O31),O29))*$N23&lt;=1,(_xlfn.T.DIST.2T(ABS(O31),O29))*$N23,1)</f>
        <v>1</v>
      </c>
      <c r="P33" s="222"/>
      <c r="Q33" s="221">
        <f>IF((_xlfn.T.DIST.2T(ABS(Q31),Q29))*$N23&lt;=1,(_xlfn.T.DIST.2T(ABS(Q31),Q29))*$N23,1)</f>
        <v>1</v>
      </c>
      <c r="R33" s="223"/>
      <c r="S33" s="222">
        <f>IF((_xlfn.T.DIST.2T(ABS(S31),S29))*$N23&lt;=1,(_xlfn.T.DIST.2T(ABS(S31),S29))*$N23,1)</f>
        <v>1</v>
      </c>
      <c r="T33" s="224"/>
      <c r="V33" s="117"/>
      <c r="W33" s="118">
        <f t="shared" si="8"/>
        <v>1.7246335153779822</v>
      </c>
      <c r="X33" s="147">
        <f t="shared" si="9"/>
        <v>5</v>
      </c>
      <c r="Y33" s="148">
        <f t="shared" si="10"/>
        <v>0.13235294117647059</v>
      </c>
      <c r="Z33" s="105">
        <f t="shared" si="22"/>
        <v>-1.1153373577337866</v>
      </c>
      <c r="AA33" s="116"/>
      <c r="AB33" s="118">
        <f t="shared" si="11"/>
        <v>1.7251293847038529</v>
      </c>
      <c r="AC33" s="147">
        <f t="shared" si="12"/>
        <v>5</v>
      </c>
      <c r="AD33" s="149">
        <f t="shared" si="13"/>
        <v>0.13235294117647059</v>
      </c>
      <c r="AE33" s="105">
        <f t="shared" si="20"/>
        <v>-1.1153373577337866</v>
      </c>
      <c r="AF33" s="16"/>
      <c r="AG33" s="118">
        <f t="shared" si="14"/>
        <v>1.6103059581320449</v>
      </c>
      <c r="AH33" s="147">
        <f t="shared" si="15"/>
        <v>4</v>
      </c>
      <c r="AI33" s="149">
        <f t="shared" si="16"/>
        <v>0.10294117647058823</v>
      </c>
      <c r="AJ33" s="105">
        <f t="shared" si="21"/>
        <v>-1.2649692448841479</v>
      </c>
      <c r="AK33" s="107"/>
    </row>
    <row r="34" spans="2:37" ht="15.6" x14ac:dyDescent="0.6">
      <c r="B34" s="67" t="s">
        <v>32</v>
      </c>
      <c r="C34" s="161">
        <v>2.083333333333333</v>
      </c>
      <c r="D34" s="155">
        <v>2.1660649819494586</v>
      </c>
      <c r="E34" s="156">
        <v>2.0134228187919461</v>
      </c>
      <c r="F34" s="7"/>
      <c r="G34" s="25">
        <f t="shared" si="4"/>
        <v>2.5571600481347545E-2</v>
      </c>
      <c r="H34" s="26">
        <f t="shared" si="5"/>
        <v>-0.19673506871872881</v>
      </c>
      <c r="I34" s="26">
        <f t="shared" si="6"/>
        <v>0.17058165548098447</v>
      </c>
      <c r="J34" s="26">
        <f t="shared" si="0"/>
        <v>-3.6059107500294285E-2</v>
      </c>
      <c r="K34" s="26">
        <f t="shared" si="1"/>
        <v>0.25331330409711006</v>
      </c>
      <c r="L34" s="27">
        <f t="shared" si="2"/>
        <v>4.6672541115831301E-2</v>
      </c>
      <c r="N34" s="47" t="s">
        <v>58</v>
      </c>
      <c r="O34" s="199">
        <f>O28-_xlfn.T.INV.2T($N20,O29)*O30</f>
        <v>-1.368660769677796E-2</v>
      </c>
      <c r="P34" s="200"/>
      <c r="Q34" s="199">
        <f>Q28-_xlfn.T.INV.2T($N20,Q29)*Q30</f>
        <v>-2.2234676205526962E-2</v>
      </c>
      <c r="R34" s="201"/>
      <c r="S34" s="200">
        <f>S28-_xlfn.T.INV.2T($N20,S29)*S30</f>
        <v>-3.0651820690756282E-2</v>
      </c>
      <c r="T34" s="202"/>
      <c r="V34" s="117"/>
      <c r="W34" s="118">
        <f t="shared" si="8"/>
        <v>1.4641288433382138</v>
      </c>
      <c r="X34" s="147">
        <f t="shared" si="9"/>
        <v>2</v>
      </c>
      <c r="Y34" s="148">
        <f t="shared" si="10"/>
        <v>4.4117647058823532E-2</v>
      </c>
      <c r="Z34" s="105">
        <f t="shared" si="22"/>
        <v>-1.7047809048894003</v>
      </c>
      <c r="AA34" s="16"/>
      <c r="AB34" s="118">
        <f t="shared" si="11"/>
        <v>1.386001386001386</v>
      </c>
      <c r="AC34" s="147">
        <f t="shared" si="12"/>
        <v>2</v>
      </c>
      <c r="AD34" s="149">
        <f t="shared" si="13"/>
        <v>4.4117647058823532E-2</v>
      </c>
      <c r="AE34" s="105">
        <f t="shared" si="20"/>
        <v>-1.7047809048894003</v>
      </c>
      <c r="AF34" s="16"/>
      <c r="AG34" s="118">
        <f t="shared" si="14"/>
        <v>1.5120967741935485</v>
      </c>
      <c r="AH34" s="147">
        <f t="shared" si="15"/>
        <v>2</v>
      </c>
      <c r="AI34" s="149">
        <f t="shared" si="16"/>
        <v>4.4117647058823532E-2</v>
      </c>
      <c r="AJ34" s="105">
        <f t="shared" si="21"/>
        <v>-1.7047809048894003</v>
      </c>
      <c r="AK34" s="107"/>
    </row>
    <row r="35" spans="2:37" ht="15.6" x14ac:dyDescent="0.6">
      <c r="B35" s="67" t="s">
        <v>33</v>
      </c>
      <c r="C35" s="161">
        <v>2.3762376237623761</v>
      </c>
      <c r="D35" s="155">
        <v>2.4311183144246353</v>
      </c>
      <c r="E35" s="156">
        <v>2.3871096081161722</v>
      </c>
      <c r="F35" s="7"/>
      <c r="G35" s="25">
        <f t="shared" si="4"/>
        <v>6.6675225058972831E-2</v>
      </c>
      <c r="H35" s="26">
        <f t="shared" si="5"/>
        <v>-0.18283428615829278</v>
      </c>
      <c r="I35" s="26">
        <f t="shared" si="6"/>
        <v>0.10848349605201246</v>
      </c>
      <c r="J35" s="26">
        <f t="shared" si="0"/>
        <v>-0.13650933214938421</v>
      </c>
      <c r="K35" s="26">
        <f t="shared" si="1"/>
        <v>0.16336418671427166</v>
      </c>
      <c r="L35" s="27">
        <f t="shared" si="2"/>
        <v>-8.1628641487125009E-2</v>
      </c>
      <c r="N35" s="47" t="s">
        <v>59</v>
      </c>
      <c r="O35" s="199">
        <f>O28+_xlfn.T.INV.2T($N20,O29)*O30</f>
        <v>1.4307577984387839E-2</v>
      </c>
      <c r="P35" s="200"/>
      <c r="Q35" s="199">
        <f>Q28+_xlfn.T.INV.2T($N20,Q29)*Q30</f>
        <v>3.1845740032235809E-2</v>
      </c>
      <c r="R35" s="201"/>
      <c r="S35" s="200">
        <f>S28+_xlfn.T.INV.2T($N20,S29)*S30</f>
        <v>3.9641914229855246E-2</v>
      </c>
      <c r="T35" s="202"/>
      <c r="V35" s="117"/>
      <c r="W35" s="118">
        <f t="shared" si="8"/>
        <v>1.9847833278200462</v>
      </c>
      <c r="X35" s="147">
        <f t="shared" si="9"/>
        <v>11</v>
      </c>
      <c r="Y35" s="148">
        <f t="shared" si="10"/>
        <v>0.30882352941176472</v>
      </c>
      <c r="Z35" s="105">
        <f t="shared" si="22"/>
        <v>-0.49918784205087674</v>
      </c>
      <c r="AA35" s="16"/>
      <c r="AB35" s="118">
        <f t="shared" si="11"/>
        <v>2.0161290322580645</v>
      </c>
      <c r="AC35" s="147">
        <f t="shared" si="12"/>
        <v>11</v>
      </c>
      <c r="AD35" s="149">
        <f t="shared" si="13"/>
        <v>0.30882352941176472</v>
      </c>
      <c r="AE35" s="105">
        <f t="shared" si="20"/>
        <v>-0.49918784205087674</v>
      </c>
      <c r="AF35" s="16"/>
      <c r="AG35" s="118">
        <f t="shared" si="14"/>
        <v>1.9292604501607717</v>
      </c>
      <c r="AH35" s="147">
        <f t="shared" si="15"/>
        <v>10</v>
      </c>
      <c r="AI35" s="149">
        <f t="shared" si="16"/>
        <v>0.27941176470588236</v>
      </c>
      <c r="AJ35" s="105">
        <f t="shared" si="21"/>
        <v>-0.58458985705947353</v>
      </c>
      <c r="AK35" s="107"/>
    </row>
    <row r="36" spans="2:37" ht="15.6" x14ac:dyDescent="0.6">
      <c r="B36" s="67" t="s">
        <v>34</v>
      </c>
      <c r="C36" s="161">
        <v>1.5251652262328417</v>
      </c>
      <c r="D36" s="155">
        <v>1.5228426395939088</v>
      </c>
      <c r="E36" s="156">
        <v>1.5255530129672006</v>
      </c>
      <c r="F36" s="7"/>
      <c r="G36" s="25">
        <f t="shared" si="4"/>
        <v>7.8464718618628471E-2</v>
      </c>
      <c r="H36" s="26">
        <f t="shared" si="5"/>
        <v>-7.7827025971272779E-2</v>
      </c>
      <c r="I36" s="26">
        <f t="shared" si="6"/>
        <v>7.5889863914001099E-2</v>
      </c>
      <c r="J36" s="26">
        <f t="shared" si="0"/>
        <v>-8.0680050574738038E-2</v>
      </c>
      <c r="K36" s="26">
        <f t="shared" si="1"/>
        <v>7.3567277275068177E-2</v>
      </c>
      <c r="L36" s="27">
        <f t="shared" si="2"/>
        <v>-8.300263721367096E-2</v>
      </c>
      <c r="N36" s="47" t="s">
        <v>60</v>
      </c>
      <c r="O36" s="199">
        <f>O28-_xlfn.T.INV.2T($N20/$N23,O29)*O30</f>
        <v>-1.7041878172229016E-2</v>
      </c>
      <c r="P36" s="200"/>
      <c r="Q36" s="199">
        <f>Q28-_xlfn.T.INV.2T($N20/$N23,Q29)*Q30</f>
        <v>-2.8716537330880219E-2</v>
      </c>
      <c r="R36" s="201"/>
      <c r="S36" s="200">
        <f>S28-_xlfn.T.INV.2T($N20/$N23,S29)*S30</f>
        <v>-3.9076944967437473E-2</v>
      </c>
      <c r="T36" s="202"/>
      <c r="V36" s="117"/>
      <c r="W36" s="118">
        <f t="shared" si="8"/>
        <v>2.0913210177762287</v>
      </c>
      <c r="X36" s="147">
        <f t="shared" si="9"/>
        <v>14</v>
      </c>
      <c r="Y36" s="148">
        <f t="shared" si="10"/>
        <v>0.39705882352941174</v>
      </c>
      <c r="Z36" s="105">
        <f t="shared" si="22"/>
        <v>-0.260967400401453</v>
      </c>
      <c r="AA36" s="16"/>
      <c r="AB36" s="118">
        <f t="shared" si="11"/>
        <v>2.0913210177762287</v>
      </c>
      <c r="AC36" s="147">
        <f t="shared" si="12"/>
        <v>13</v>
      </c>
      <c r="AD36" s="149">
        <f t="shared" si="13"/>
        <v>0.36764705882352944</v>
      </c>
      <c r="AE36" s="105">
        <f t="shared" si="20"/>
        <v>-0.33809165680420711</v>
      </c>
      <c r="AF36" s="16"/>
      <c r="AG36" s="118">
        <f t="shared" si="14"/>
        <v>2.0847810979847115</v>
      </c>
      <c r="AH36" s="147">
        <f t="shared" si="15"/>
        <v>15</v>
      </c>
      <c r="AI36" s="149">
        <f t="shared" si="16"/>
        <v>0.4264705882352941</v>
      </c>
      <c r="AJ36" s="105">
        <f t="shared" si="21"/>
        <v>-0.18536701728959676</v>
      </c>
      <c r="AK36" s="107"/>
    </row>
    <row r="37" spans="2:37" ht="15.9" thickBot="1" x14ac:dyDescent="0.65">
      <c r="B37" s="68" t="s">
        <v>35</v>
      </c>
      <c r="C37" s="157">
        <v>2.2988505747126435</v>
      </c>
      <c r="D37" s="158">
        <v>2.2988505747126435</v>
      </c>
      <c r="E37" s="159">
        <v>2.2705771050141914</v>
      </c>
      <c r="F37" s="7"/>
      <c r="G37" s="28">
        <f t="shared" si="4"/>
        <v>0.11494252873563227</v>
      </c>
      <c r="H37" s="29">
        <f t="shared" si="5"/>
        <v>-0.12099213551119181</v>
      </c>
      <c r="I37" s="29">
        <f t="shared" si="6"/>
        <v>0.14180232494916201</v>
      </c>
      <c r="J37" s="29">
        <f t="shared" si="0"/>
        <v>-9.1230588460189832E-2</v>
      </c>
      <c r="K37" s="29">
        <f t="shared" si="1"/>
        <v>0.14180232494916201</v>
      </c>
      <c r="L37" s="30">
        <f t="shared" si="2"/>
        <v>-9.1230588460189832E-2</v>
      </c>
      <c r="N37" s="48" t="s">
        <v>61</v>
      </c>
      <c r="O37" s="195">
        <f>O28+_xlfn.T.INV.2T($N20/$N23,O29)*O30</f>
        <v>1.7662848459838894E-2</v>
      </c>
      <c r="P37" s="196"/>
      <c r="Q37" s="195">
        <f>Q28+_xlfn.T.INV.2T($N20/$N23,Q29)*Q30</f>
        <v>3.8327601157589063E-2</v>
      </c>
      <c r="R37" s="197"/>
      <c r="S37" s="196">
        <f>S28+_xlfn.T.INV.2T($N20/$N23,S29)*S30</f>
        <v>4.8067038506536437E-2</v>
      </c>
      <c r="T37" s="198"/>
      <c r="V37" s="117"/>
      <c r="W37" s="118">
        <f t="shared" si="8"/>
        <v>2.3781212841854935</v>
      </c>
      <c r="X37" s="147">
        <f t="shared" si="9"/>
        <v>23</v>
      </c>
      <c r="Y37" s="148">
        <f t="shared" si="10"/>
        <v>0.66176470588235292</v>
      </c>
      <c r="Z37" s="105">
        <f t="shared" si="22"/>
        <v>0.41728413938902159</v>
      </c>
      <c r="AA37" s="16"/>
      <c r="AB37" s="118">
        <f t="shared" si="11"/>
        <v>2.470152326060107</v>
      </c>
      <c r="AC37" s="147">
        <f t="shared" si="12"/>
        <v>24</v>
      </c>
      <c r="AD37" s="149">
        <f t="shared" si="13"/>
        <v>0.69117647058823528</v>
      </c>
      <c r="AE37" s="105">
        <f t="shared" si="20"/>
        <v>0.49918784205087674</v>
      </c>
      <c r="AF37" s="16"/>
      <c r="AG37" s="118">
        <f t="shared" si="14"/>
        <v>2.3645320197044337</v>
      </c>
      <c r="AH37" s="147">
        <f t="shared" si="15"/>
        <v>20</v>
      </c>
      <c r="AI37" s="149">
        <f t="shared" si="16"/>
        <v>0.57352941176470584</v>
      </c>
      <c r="AJ37" s="105">
        <f t="shared" si="21"/>
        <v>0.18536701728959662</v>
      </c>
      <c r="AK37" s="107"/>
    </row>
    <row r="38" spans="2:37" ht="15.9" thickBot="1" x14ac:dyDescent="0.65">
      <c r="B38" s="15"/>
      <c r="C38" s="17"/>
      <c r="D38" s="17"/>
      <c r="E38" s="17"/>
      <c r="F38" s="7"/>
      <c r="G38" s="31"/>
      <c r="H38" s="31"/>
      <c r="I38" s="31"/>
      <c r="J38" s="31"/>
      <c r="K38" s="31"/>
      <c r="L38" s="31"/>
      <c r="V38" s="53"/>
      <c r="W38" s="118">
        <f t="shared" si="8"/>
        <v>1.8072289156626506</v>
      </c>
      <c r="X38" s="147">
        <f t="shared" si="9"/>
        <v>7</v>
      </c>
      <c r="Y38" s="148">
        <f t="shared" si="10"/>
        <v>0.19117647058823528</v>
      </c>
      <c r="Z38" s="105">
        <f t="shared" si="22"/>
        <v>-0.87356913461508812</v>
      </c>
      <c r="AB38" s="118">
        <f t="shared" si="11"/>
        <v>1.8650917003419334</v>
      </c>
      <c r="AC38" s="147">
        <f t="shared" si="12"/>
        <v>8</v>
      </c>
      <c r="AD38" s="149">
        <f t="shared" si="13"/>
        <v>0.22058823529411764</v>
      </c>
      <c r="AE38" s="105">
        <f t="shared" si="20"/>
        <v>-0.77020808187547585</v>
      </c>
      <c r="AG38" s="118">
        <f t="shared" si="14"/>
        <v>1.6790261648244018</v>
      </c>
      <c r="AH38" s="147">
        <f t="shared" si="15"/>
        <v>5</v>
      </c>
      <c r="AI38" s="149">
        <f t="shared" si="16"/>
        <v>0.13235294117647059</v>
      </c>
      <c r="AJ38" s="105">
        <f t="shared" si="21"/>
        <v>-1.1153373577337866</v>
      </c>
      <c r="AK38" s="77"/>
    </row>
    <row r="39" spans="2:37" ht="15.6" x14ac:dyDescent="0.6">
      <c r="B39" s="42" t="s">
        <v>49</v>
      </c>
      <c r="C39" s="20">
        <f>AVERAGE(C4:C37)</f>
        <v>2.2902442485152723</v>
      </c>
      <c r="D39" s="20">
        <f>AVERAGE(D4:D37)</f>
        <v>2.2899337633714674</v>
      </c>
      <c r="E39" s="21">
        <f>AVERAGE(E4:E37)</f>
        <v>2.2854387166019179</v>
      </c>
      <c r="F39" s="12"/>
      <c r="G39" s="32">
        <f>AVERAGE(G4:G37)</f>
        <v>0.11480717331237844</v>
      </c>
      <c r="H39" s="20">
        <f>AVERAGE(H4:H37)</f>
        <v>-0.12021234450732503</v>
      </c>
      <c r="I39" s="20">
        <f>AVERAGE(I4:I37)</f>
        <v>0.11907746774345031</v>
      </c>
      <c r="J39" s="20">
        <f t="shared" ref="J39:L39" si="23">AVERAGE(J4:J37)</f>
        <v>-0.11548071632885205</v>
      </c>
      <c r="K39" s="20">
        <f t="shared" si="23"/>
        <v>0.1187669825996454</v>
      </c>
      <c r="L39" s="21">
        <f t="shared" si="23"/>
        <v>-0.11579120147265702</v>
      </c>
      <c r="V39" s="53"/>
      <c r="W39" s="118">
        <f t="shared" si="8"/>
        <v>2.083333333333333</v>
      </c>
      <c r="X39" s="147">
        <f t="shared" si="9"/>
        <v>13</v>
      </c>
      <c r="Y39" s="148">
        <f t="shared" si="10"/>
        <v>0.36764705882352944</v>
      </c>
      <c r="Z39" s="105">
        <f t="shared" si="22"/>
        <v>-0.33809165680420711</v>
      </c>
      <c r="AB39" s="118">
        <f t="shared" si="11"/>
        <v>2.1660649819494586</v>
      </c>
      <c r="AC39" s="147">
        <f t="shared" si="12"/>
        <v>16</v>
      </c>
      <c r="AD39" s="149">
        <f t="shared" si="13"/>
        <v>0.45588235294117646</v>
      </c>
      <c r="AE39" s="105">
        <f t="shared" si="20"/>
        <v>-0.110812912299157</v>
      </c>
      <c r="AG39" s="118">
        <f t="shared" si="14"/>
        <v>2.0134228187919461</v>
      </c>
      <c r="AH39" s="147">
        <f t="shared" si="15"/>
        <v>12</v>
      </c>
      <c r="AI39" s="149">
        <f t="shared" si="16"/>
        <v>0.33823529411764708</v>
      </c>
      <c r="AJ39" s="105">
        <f t="shared" si="21"/>
        <v>-0.41728413938902159</v>
      </c>
      <c r="AK39" s="77"/>
    </row>
    <row r="40" spans="2:37" ht="15.6" x14ac:dyDescent="0.6">
      <c r="B40" s="43" t="s">
        <v>36</v>
      </c>
      <c r="C40" s="22">
        <f>STDEV(C4:C37)</f>
        <v>0.54537913982580999</v>
      </c>
      <c r="D40" s="22">
        <f>STDEV(D4:D37)</f>
        <v>0.54256801513215325</v>
      </c>
      <c r="E40" s="23">
        <f>STDEV(E4:E37)</f>
        <v>0.55832357357042095</v>
      </c>
      <c r="F40" s="13"/>
      <c r="G40" s="33">
        <f>STDEV(G4:G37)</f>
        <v>4.9169987296901356E-2</v>
      </c>
      <c r="H40" s="22">
        <f>STDEV(H4:H37)</f>
        <v>4.8461059299862538E-2</v>
      </c>
      <c r="I40" s="22">
        <f t="shared" ref="I40:L40" si="24">STDEV(I4:I37)</f>
        <v>7.5964228728194985E-2</v>
      </c>
      <c r="J40" s="22">
        <f t="shared" si="24"/>
        <v>8.9092237642677055E-2</v>
      </c>
      <c r="K40" s="22">
        <f t="shared" si="24"/>
        <v>9.7731982248887447E-2</v>
      </c>
      <c r="L40" s="23">
        <f t="shared" si="24"/>
        <v>0.11161217790116644</v>
      </c>
      <c r="V40" s="53"/>
      <c r="W40" s="118">
        <f t="shared" si="8"/>
        <v>2.3762376237623761</v>
      </c>
      <c r="X40" s="147">
        <f t="shared" si="9"/>
        <v>22</v>
      </c>
      <c r="Y40" s="148">
        <f t="shared" si="10"/>
        <v>0.63235294117647056</v>
      </c>
      <c r="Z40" s="105">
        <f t="shared" si="22"/>
        <v>0.33809165680420711</v>
      </c>
      <c r="AB40" s="118">
        <f t="shared" si="11"/>
        <v>2.4311183144246353</v>
      </c>
      <c r="AC40" s="147">
        <f t="shared" si="12"/>
        <v>23</v>
      </c>
      <c r="AD40" s="149">
        <f t="shared" si="13"/>
        <v>0.66176470588235292</v>
      </c>
      <c r="AE40" s="105">
        <f t="shared" si="20"/>
        <v>0.41728413938902159</v>
      </c>
      <c r="AG40" s="118">
        <f t="shared" si="14"/>
        <v>2.3871096081161722</v>
      </c>
      <c r="AH40" s="147">
        <f t="shared" si="15"/>
        <v>22</v>
      </c>
      <c r="AI40" s="149">
        <f t="shared" si="16"/>
        <v>0.63235294117647056</v>
      </c>
      <c r="AJ40" s="105">
        <f t="shared" si="21"/>
        <v>0.33809165680420711</v>
      </c>
      <c r="AK40" s="77"/>
    </row>
    <row r="41" spans="2:37" ht="15.9" thickBot="1" x14ac:dyDescent="0.65">
      <c r="B41" s="44" t="s">
        <v>48</v>
      </c>
      <c r="C41" s="19">
        <f>COUNT(C4:C37)</f>
        <v>34</v>
      </c>
      <c r="D41" s="62"/>
      <c r="E41" s="63"/>
      <c r="F41" s="14"/>
      <c r="G41" s="61"/>
      <c r="H41" s="62"/>
      <c r="I41" s="62"/>
      <c r="J41" s="62"/>
      <c r="K41" s="62"/>
      <c r="L41" s="63"/>
      <c r="V41" s="53"/>
      <c r="W41" s="118">
        <f t="shared" si="8"/>
        <v>1.5251652262328417</v>
      </c>
      <c r="X41" s="147">
        <f t="shared" si="9"/>
        <v>3</v>
      </c>
      <c r="Y41" s="148">
        <f t="shared" si="10"/>
        <v>7.3529411764705885E-2</v>
      </c>
      <c r="Z41" s="105">
        <f t="shared" si="22"/>
        <v>-1.4499989087404501</v>
      </c>
      <c r="AB41" s="118">
        <f t="shared" si="11"/>
        <v>1.5228426395939088</v>
      </c>
      <c r="AC41" s="147">
        <f t="shared" si="12"/>
        <v>3</v>
      </c>
      <c r="AD41" s="149">
        <f t="shared" si="13"/>
        <v>7.3529411764705885E-2</v>
      </c>
      <c r="AE41" s="105">
        <f t="shared" si="20"/>
        <v>-1.4499989087404501</v>
      </c>
      <c r="AG41" s="118">
        <f t="shared" si="14"/>
        <v>1.5255530129672006</v>
      </c>
      <c r="AH41" s="147">
        <f t="shared" si="15"/>
        <v>3</v>
      </c>
      <c r="AI41" s="149">
        <f t="shared" si="16"/>
        <v>7.3529411764705885E-2</v>
      </c>
      <c r="AJ41" s="105">
        <f t="shared" si="21"/>
        <v>-1.4499989087404501</v>
      </c>
      <c r="AK41" s="77"/>
    </row>
    <row r="42" spans="2:37" ht="15.9" thickBot="1" x14ac:dyDescent="0.65">
      <c r="B42" s="6"/>
      <c r="C42" s="9"/>
      <c r="D42" s="9"/>
      <c r="E42" s="9"/>
      <c r="F42" s="6"/>
      <c r="G42" s="11"/>
      <c r="H42" s="11"/>
      <c r="I42" s="11"/>
      <c r="J42" s="11"/>
      <c r="K42" s="11"/>
      <c r="L42" s="11"/>
      <c r="V42" s="53"/>
      <c r="W42" s="119">
        <f t="shared" si="8"/>
        <v>2.2988505747126435</v>
      </c>
      <c r="X42" s="108">
        <f t="shared" si="9"/>
        <v>20</v>
      </c>
      <c r="Y42" s="111">
        <f t="shared" si="10"/>
        <v>0.57352941176470584</v>
      </c>
      <c r="Z42" s="110">
        <f>_xlfn.NORM.S.INV(Y42)</f>
        <v>0.18536701728959662</v>
      </c>
      <c r="AB42" s="119">
        <f t="shared" si="11"/>
        <v>2.2988505747126435</v>
      </c>
      <c r="AC42" s="108">
        <f t="shared" si="12"/>
        <v>19.5</v>
      </c>
      <c r="AD42" s="109">
        <f t="shared" si="13"/>
        <v>0.55882352941176472</v>
      </c>
      <c r="AE42" s="110">
        <f t="shared" si="20"/>
        <v>0.14798710972583889</v>
      </c>
      <c r="AG42" s="119">
        <f t="shared" si="14"/>
        <v>2.2705771050141914</v>
      </c>
      <c r="AH42" s="108">
        <f t="shared" si="15"/>
        <v>18</v>
      </c>
      <c r="AI42" s="109">
        <f t="shared" si="16"/>
        <v>0.51470588235294112</v>
      </c>
      <c r="AJ42" s="110">
        <f t="shared" si="21"/>
        <v>3.6870532662080152E-2</v>
      </c>
      <c r="AK42" s="77"/>
    </row>
    <row r="43" spans="2:37" ht="15.6" x14ac:dyDescent="0.6">
      <c r="B43" s="42" t="s">
        <v>84</v>
      </c>
      <c r="C43" s="20">
        <f>MEDIAN(C4:C37)</f>
        <v>2.2591399050639556</v>
      </c>
      <c r="D43" s="20">
        <f>MEDIAN(D4:D37)</f>
        <v>2.2184059625503547</v>
      </c>
      <c r="E43" s="21">
        <f>MEDIAN(E4:E37)</f>
        <v>2.2563647856909523</v>
      </c>
      <c r="F43" s="12"/>
      <c r="G43" s="32">
        <f>MEDIAN(G4:G37)</f>
        <v>0.1126868898457638</v>
      </c>
      <c r="H43" s="20">
        <f t="shared" ref="H43:L43" si="25">MEDIAN(H4:H37)</f>
        <v>-0.12187224675725328</v>
      </c>
      <c r="I43" s="20">
        <f t="shared" si="25"/>
        <v>0.12328153414183207</v>
      </c>
      <c r="J43" s="20">
        <f t="shared" si="25"/>
        <v>-0.10697231929841311</v>
      </c>
      <c r="K43" s="20">
        <f t="shared" si="25"/>
        <v>0.12416164538789354</v>
      </c>
      <c r="L43" s="21">
        <f t="shared" si="25"/>
        <v>-0.10609220805235164</v>
      </c>
      <c r="V43" s="53"/>
      <c r="AK43" s="77"/>
    </row>
    <row r="44" spans="2:37" ht="15.9" thickBot="1" x14ac:dyDescent="0.65">
      <c r="B44" s="123" t="s">
        <v>85</v>
      </c>
      <c r="C44" s="121">
        <f>QUARTILE(C4:C37,3)-QUARTILE(C4:C37,1)</f>
        <v>0.73229257312755447</v>
      </c>
      <c r="D44" s="121">
        <f>QUARTILE(D4:D37,3)-QUARTILE(D4:D37,1)</f>
        <v>0.74795710522774761</v>
      </c>
      <c r="E44" s="122">
        <f>QUARTILE(E4:E37,3)-QUARTILE(E4:E37,1)</f>
        <v>0.72233278227423225</v>
      </c>
      <c r="F44" s="13"/>
      <c r="G44" s="120">
        <f>QUARTILE(G4:G37,3)-QUARTILE(G4:G37,1)</f>
        <v>6.0421998129062571E-2</v>
      </c>
      <c r="H44" s="121">
        <f>QUARTILE(H4:H37,3)-QUARTILE(H4:H37,1)</f>
        <v>6.3522038011191329E-2</v>
      </c>
      <c r="I44" s="121">
        <f t="shared" ref="I44:L44" si="26">QUARTILE(I4:I37,3)-QUARTILE(I4:I37,1)</f>
        <v>5.5766234981359741E-2</v>
      </c>
      <c r="J44" s="121">
        <f t="shared" si="26"/>
        <v>5.6521003293519223E-2</v>
      </c>
      <c r="K44" s="121">
        <f t="shared" si="26"/>
        <v>6.1175835044347537E-2</v>
      </c>
      <c r="L44" s="122">
        <f t="shared" si="26"/>
        <v>7.2459539812733342E-2</v>
      </c>
      <c r="V44" s="53"/>
      <c r="AK44" s="77"/>
    </row>
    <row r="45" spans="2:37" ht="15.9" thickBot="1" x14ac:dyDescent="0.65">
      <c r="B45" s="6"/>
      <c r="C45" s="9"/>
      <c r="D45" s="9"/>
      <c r="E45" s="9"/>
      <c r="F45" s="6"/>
      <c r="G45" s="11"/>
      <c r="H45" s="11"/>
      <c r="I45" s="11"/>
      <c r="J45" s="11"/>
      <c r="K45" s="11"/>
      <c r="L45" s="11"/>
      <c r="V45" s="53"/>
      <c r="AK45" s="77"/>
    </row>
    <row r="46" spans="2:37" ht="15.6" x14ac:dyDescent="0.6">
      <c r="B46" s="9"/>
      <c r="C46" s="174">
        <f>C4-D4</f>
        <v>0</v>
      </c>
      <c r="D46" s="175">
        <f t="shared" ref="D46:D79" si="27">C4-E4</f>
        <v>-1.8285113682614984E-2</v>
      </c>
      <c r="E46" s="176">
        <f t="shared" ref="E46:E79" si="28">D4-E4</f>
        <v>-1.8285113682614984E-2</v>
      </c>
      <c r="F46" s="9"/>
      <c r="V46" s="53"/>
      <c r="AK46" s="77"/>
    </row>
    <row r="47" spans="2:37" ht="15.6" x14ac:dyDescent="0.6">
      <c r="B47" s="9"/>
      <c r="C47" s="177">
        <f t="shared" ref="C47:C79" si="29">C5-D5</f>
        <v>2.4772014889632654E-2</v>
      </c>
      <c r="D47" s="64">
        <f t="shared" si="27"/>
        <v>3.3421482493409815E-3</v>
      </c>
      <c r="E47" s="178">
        <f t="shared" si="28"/>
        <v>-2.1429866640291673E-2</v>
      </c>
      <c r="F47" s="9"/>
      <c r="V47" s="53"/>
      <c r="AK47" s="77"/>
    </row>
    <row r="48" spans="2:37" ht="15.6" x14ac:dyDescent="0.6">
      <c r="B48" s="11"/>
      <c r="C48" s="177">
        <f>C6-D6</f>
        <v>-5.1271422181980553E-2</v>
      </c>
      <c r="D48" s="64">
        <f t="shared" si="27"/>
        <v>5.300418909774951E-4</v>
      </c>
      <c r="E48" s="178">
        <f t="shared" si="28"/>
        <v>5.1801464072958048E-2</v>
      </c>
      <c r="F48" s="11"/>
      <c r="V48" s="53"/>
      <c r="AK48" s="77"/>
    </row>
    <row r="49" spans="2:37" ht="15.6" x14ac:dyDescent="0.6">
      <c r="B49" s="11"/>
      <c r="C49" s="177">
        <f t="shared" si="29"/>
        <v>1.0623695941323064E-3</v>
      </c>
      <c r="D49" s="64">
        <f>C7-E7</f>
        <v>3.6142382128691697E-2</v>
      </c>
      <c r="E49" s="178">
        <f t="shared" si="28"/>
        <v>3.5080012534559391E-2</v>
      </c>
      <c r="F49" s="11"/>
      <c r="V49" s="53"/>
      <c r="AK49" s="77"/>
    </row>
    <row r="50" spans="2:37" ht="15.6" x14ac:dyDescent="0.6">
      <c r="B50" s="7"/>
      <c r="C50" s="177">
        <f t="shared" si="29"/>
        <v>1.2827255352171996E-2</v>
      </c>
      <c r="D50" s="64">
        <f t="shared" si="27"/>
        <v>-5.3268289947713487E-2</v>
      </c>
      <c r="E50" s="178">
        <f t="shared" si="28"/>
        <v>-6.6095545299885483E-2</v>
      </c>
      <c r="F50" s="34"/>
      <c r="V50" s="53"/>
      <c r="AK50" s="77"/>
    </row>
    <row r="51" spans="2:37" ht="15.6" x14ac:dyDescent="0.6">
      <c r="B51" s="11"/>
      <c r="C51" s="177">
        <f t="shared" si="29"/>
        <v>0</v>
      </c>
      <c r="D51" s="64">
        <f t="shared" si="27"/>
        <v>3.0655153175041416E-2</v>
      </c>
      <c r="E51" s="178">
        <f t="shared" si="28"/>
        <v>3.0655153175041416E-2</v>
      </c>
      <c r="F51" s="11"/>
      <c r="V51" s="53"/>
      <c r="AK51" s="77"/>
    </row>
    <row r="52" spans="2:37" ht="15.6" x14ac:dyDescent="0.6">
      <c r="C52" s="177">
        <f t="shared" si="29"/>
        <v>9.707740990002911E-2</v>
      </c>
      <c r="D52" s="64">
        <f t="shared" si="27"/>
        <v>0.12147712483994511</v>
      </c>
      <c r="E52" s="178">
        <f t="shared" si="28"/>
        <v>2.4399714939915995E-2</v>
      </c>
      <c r="F52" s="11"/>
      <c r="V52" s="53"/>
      <c r="AK52" s="77"/>
    </row>
    <row r="53" spans="2:37" ht="15.6" x14ac:dyDescent="0.6">
      <c r="C53" s="177">
        <f t="shared" si="29"/>
        <v>6.003056756500591E-3</v>
      </c>
      <c r="D53" s="64">
        <f t="shared" si="27"/>
        <v>-7.2392497643725129E-3</v>
      </c>
      <c r="E53" s="178">
        <f t="shared" si="28"/>
        <v>-1.3242306520873104E-2</v>
      </c>
      <c r="F53" s="5"/>
      <c r="V53" s="53"/>
      <c r="AK53" s="77"/>
    </row>
    <row r="54" spans="2:37" ht="15.6" x14ac:dyDescent="0.6">
      <c r="C54" s="177">
        <f t="shared" si="29"/>
        <v>0</v>
      </c>
      <c r="D54" s="64">
        <f t="shared" si="27"/>
        <v>2.8792721200081584E-3</v>
      </c>
      <c r="E54" s="178">
        <f t="shared" si="28"/>
        <v>2.8792721200081584E-3</v>
      </c>
      <c r="F54" s="5"/>
      <c r="V54" s="53"/>
      <c r="AK54" s="77"/>
    </row>
    <row r="55" spans="2:37" ht="15.6" x14ac:dyDescent="0.6">
      <c r="C55" s="177">
        <f t="shared" si="29"/>
        <v>2.9731818992693171E-3</v>
      </c>
      <c r="D55" s="64">
        <f t="shared" si="27"/>
        <v>-3.7248165155379098E-3</v>
      </c>
      <c r="E55" s="178">
        <f t="shared" si="28"/>
        <v>-6.6979984148072269E-3</v>
      </c>
      <c r="F55" s="9"/>
      <c r="V55" s="53"/>
      <c r="AK55" s="77"/>
    </row>
    <row r="56" spans="2:37" ht="15.6" x14ac:dyDescent="0.6">
      <c r="C56" s="177">
        <f t="shared" si="29"/>
        <v>0</v>
      </c>
      <c r="D56" s="64">
        <f t="shared" si="27"/>
        <v>1.4671624588986631E-3</v>
      </c>
      <c r="E56" s="178">
        <f t="shared" si="28"/>
        <v>1.4671624588986631E-3</v>
      </c>
      <c r="V56" s="53"/>
      <c r="AK56" s="77"/>
    </row>
    <row r="57" spans="2:37" ht="15.6" x14ac:dyDescent="0.6">
      <c r="C57" s="177">
        <f t="shared" si="29"/>
        <v>0</v>
      </c>
      <c r="D57" s="64">
        <f t="shared" si="27"/>
        <v>-1.0408000282883911E-2</v>
      </c>
      <c r="E57" s="178">
        <f t="shared" si="28"/>
        <v>-1.0408000282883911E-2</v>
      </c>
      <c r="V57" s="53"/>
      <c r="AK57" s="77"/>
    </row>
    <row r="58" spans="2:37" ht="15.6" x14ac:dyDescent="0.6">
      <c r="C58" s="177">
        <f t="shared" si="29"/>
        <v>-3.9139981534623836E-3</v>
      </c>
      <c r="D58" s="64">
        <f t="shared" si="27"/>
        <v>8.9539401750684533E-2</v>
      </c>
      <c r="E58" s="178">
        <f t="shared" si="28"/>
        <v>9.3453399904146917E-2</v>
      </c>
      <c r="V58" s="53"/>
      <c r="AK58" s="77"/>
    </row>
    <row r="59" spans="2:37" ht="15.6" x14ac:dyDescent="0.6">
      <c r="C59" s="177">
        <f t="shared" si="29"/>
        <v>8.1467885027200815E-2</v>
      </c>
      <c r="D59" s="64">
        <f t="shared" si="27"/>
        <v>-0.34678163786259253</v>
      </c>
      <c r="E59" s="178">
        <f t="shared" si="28"/>
        <v>-0.42824952288979334</v>
      </c>
      <c r="V59" s="53"/>
      <c r="AK59" s="77"/>
    </row>
    <row r="60" spans="2:37" ht="15.6" x14ac:dyDescent="0.6">
      <c r="C60" s="177">
        <f t="shared" si="29"/>
        <v>-1.7602224921229315E-3</v>
      </c>
      <c r="D60" s="64">
        <f t="shared" si="27"/>
        <v>9.6332420413358655E-3</v>
      </c>
      <c r="E60" s="178">
        <f t="shared" si="28"/>
        <v>1.1393464533458797E-2</v>
      </c>
      <c r="V60" s="53"/>
      <c r="AK60" s="77"/>
    </row>
    <row r="61" spans="2:37" ht="15.6" x14ac:dyDescent="0.6">
      <c r="C61" s="177">
        <f t="shared" si="29"/>
        <v>2.7243222754802732E-2</v>
      </c>
      <c r="D61" s="64">
        <f t="shared" si="27"/>
        <v>-2.8976666158304187E-2</v>
      </c>
      <c r="E61" s="178">
        <f t="shared" si="28"/>
        <v>-5.6219888913106919E-2</v>
      </c>
      <c r="V61" s="53"/>
      <c r="AK61" s="77"/>
    </row>
    <row r="62" spans="2:37" ht="15.6" x14ac:dyDescent="0.6">
      <c r="C62" s="177">
        <f t="shared" si="29"/>
        <v>-1.2877772917951447E-2</v>
      </c>
      <c r="D62" s="64">
        <f t="shared" si="27"/>
        <v>-2.3562330178932722E-2</v>
      </c>
      <c r="E62" s="178">
        <f t="shared" si="28"/>
        <v>-1.0684557260981276E-2</v>
      </c>
      <c r="V62" s="53"/>
      <c r="AK62" s="77"/>
    </row>
    <row r="63" spans="2:37" ht="15.9" thickBot="1" x14ac:dyDescent="0.65">
      <c r="C63" s="177">
        <f t="shared" si="29"/>
        <v>1.1536954523776455E-3</v>
      </c>
      <c r="D63" s="64">
        <f t="shared" si="27"/>
        <v>3.3889819322498349E-2</v>
      </c>
      <c r="E63" s="178">
        <f t="shared" si="28"/>
        <v>3.2736123870120704E-2</v>
      </c>
      <c r="V63" s="51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78"/>
    </row>
    <row r="64" spans="2:37" ht="15.6" x14ac:dyDescent="0.6">
      <c r="C64" s="177">
        <f t="shared" si="29"/>
        <v>0</v>
      </c>
      <c r="D64" s="64">
        <f t="shared" si="27"/>
        <v>3.361969307140944E-3</v>
      </c>
      <c r="E64" s="178">
        <f t="shared" si="28"/>
        <v>3.361969307140944E-3</v>
      </c>
    </row>
    <row r="65" spans="3:5" ht="15.6" x14ac:dyDescent="0.6">
      <c r="C65" s="177">
        <f t="shared" si="29"/>
        <v>-6.8922341751420646E-4</v>
      </c>
      <c r="D65" s="64">
        <f t="shared" si="27"/>
        <v>-1.5271628472748322E-2</v>
      </c>
      <c r="E65" s="178">
        <f t="shared" si="28"/>
        <v>-1.4582405055234116E-2</v>
      </c>
    </row>
    <row r="66" spans="3:5" ht="15.6" x14ac:dyDescent="0.6">
      <c r="C66" s="177">
        <f t="shared" si="29"/>
        <v>2.2419513944935687E-3</v>
      </c>
      <c r="D66" s="64">
        <f t="shared" si="27"/>
        <v>1.9273878853292903E-2</v>
      </c>
      <c r="E66" s="178">
        <f t="shared" si="28"/>
        <v>1.7031927458799334E-2</v>
      </c>
    </row>
    <row r="67" spans="3:5" ht="15.6" x14ac:dyDescent="0.6">
      <c r="C67" s="177">
        <f t="shared" si="29"/>
        <v>0</v>
      </c>
      <c r="D67" s="64">
        <f t="shared" si="27"/>
        <v>1.6770025926460264E-3</v>
      </c>
      <c r="E67" s="178">
        <f t="shared" si="28"/>
        <v>1.6770025926460264E-3</v>
      </c>
    </row>
    <row r="68" spans="3:5" ht="15.6" x14ac:dyDescent="0.6">
      <c r="C68" s="177">
        <f t="shared" si="29"/>
        <v>7.3071906409527543E-4</v>
      </c>
      <c r="D68" s="64">
        <f t="shared" si="27"/>
        <v>3.1676382557111804E-2</v>
      </c>
      <c r="E68" s="178">
        <f t="shared" si="28"/>
        <v>3.0945663493016529E-2</v>
      </c>
    </row>
    <row r="69" spans="3:5" ht="15.6" x14ac:dyDescent="0.6">
      <c r="C69" s="177">
        <f t="shared" si="29"/>
        <v>6.2414067588103084E-2</v>
      </c>
      <c r="D69" s="64">
        <f t="shared" si="27"/>
        <v>-7.1777815680254431E-2</v>
      </c>
      <c r="E69" s="178">
        <f t="shared" si="28"/>
        <v>-0.13419188326835751</v>
      </c>
    </row>
    <row r="70" spans="3:5" ht="15.6" x14ac:dyDescent="0.6">
      <c r="C70" s="177">
        <f t="shared" si="29"/>
        <v>-4.9586932587075694E-4</v>
      </c>
      <c r="D70" s="64">
        <f t="shared" si="27"/>
        <v>0.11432755724593724</v>
      </c>
      <c r="E70" s="178">
        <f t="shared" si="28"/>
        <v>0.114823426571808</v>
      </c>
    </row>
    <row r="71" spans="3:5" ht="15.6" x14ac:dyDescent="0.6">
      <c r="C71" s="177">
        <f t="shared" si="29"/>
        <v>7.8127457336827799E-2</v>
      </c>
      <c r="D71" s="64">
        <f t="shared" si="27"/>
        <v>-4.7967930855334684E-2</v>
      </c>
      <c r="E71" s="178">
        <f t="shared" si="28"/>
        <v>-0.12609538819216248</v>
      </c>
    </row>
    <row r="72" spans="3:5" ht="15.6" x14ac:dyDescent="0.6">
      <c r="C72" s="177">
        <f t="shared" si="29"/>
        <v>-3.1345704438018318E-2</v>
      </c>
      <c r="D72" s="64">
        <f t="shared" si="27"/>
        <v>5.5522877659274439E-2</v>
      </c>
      <c r="E72" s="178">
        <f t="shared" si="28"/>
        <v>8.6868582097292757E-2</v>
      </c>
    </row>
    <row r="73" spans="3:5" ht="15.6" x14ac:dyDescent="0.6">
      <c r="C73" s="177">
        <f t="shared" si="29"/>
        <v>0</v>
      </c>
      <c r="D73" s="64">
        <f t="shared" si="27"/>
        <v>6.5399197915172458E-3</v>
      </c>
      <c r="E73" s="178">
        <f t="shared" si="28"/>
        <v>6.5399197915172458E-3</v>
      </c>
    </row>
    <row r="74" spans="3:5" ht="15.6" x14ac:dyDescent="0.6">
      <c r="C74" s="177">
        <f t="shared" si="29"/>
        <v>-9.2031041874613528E-2</v>
      </c>
      <c r="D74" s="64">
        <f t="shared" si="27"/>
        <v>1.3589264481059793E-2</v>
      </c>
      <c r="E74" s="178">
        <f t="shared" si="28"/>
        <v>0.10562030635567332</v>
      </c>
    </row>
    <row r="75" spans="3:5" ht="15.6" x14ac:dyDescent="0.6">
      <c r="C75" s="177">
        <f t="shared" si="29"/>
        <v>-5.7862784679282742E-2</v>
      </c>
      <c r="D75" s="64">
        <f t="shared" si="27"/>
        <v>0.12820275083824884</v>
      </c>
      <c r="E75" s="178">
        <f t="shared" si="28"/>
        <v>0.18606553551753158</v>
      </c>
    </row>
    <row r="76" spans="3:5" ht="15.6" x14ac:dyDescent="0.6">
      <c r="C76" s="177">
        <f t="shared" si="29"/>
        <v>-8.2731648616125586E-2</v>
      </c>
      <c r="D76" s="64">
        <f t="shared" si="27"/>
        <v>6.991051454138697E-2</v>
      </c>
      <c r="E76" s="178">
        <f t="shared" si="28"/>
        <v>0.15264216315751256</v>
      </c>
    </row>
    <row r="77" spans="3:5" ht="15.6" x14ac:dyDescent="0.6">
      <c r="C77" s="177">
        <f t="shared" si="29"/>
        <v>-5.4880690662259202E-2</v>
      </c>
      <c r="D77" s="64">
        <f t="shared" si="27"/>
        <v>-1.0871984353796105E-2</v>
      </c>
      <c r="E77" s="178">
        <f t="shared" si="28"/>
        <v>4.4008706308463097E-2</v>
      </c>
    </row>
    <row r="78" spans="3:5" ht="15.6" x14ac:dyDescent="0.6">
      <c r="C78" s="177">
        <f t="shared" si="29"/>
        <v>2.3225866389329219E-3</v>
      </c>
      <c r="D78" s="64">
        <f t="shared" si="27"/>
        <v>-3.8778673435890809E-4</v>
      </c>
      <c r="E78" s="178">
        <f t="shared" si="28"/>
        <v>-2.71037337329183E-3</v>
      </c>
    </row>
    <row r="79" spans="3:5" ht="15.9" thickBot="1" x14ac:dyDescent="0.65">
      <c r="C79" s="179">
        <f t="shared" si="29"/>
        <v>0</v>
      </c>
      <c r="D79" s="180">
        <f t="shared" si="27"/>
        <v>2.8273469698452125E-2</v>
      </c>
      <c r="E79" s="181">
        <f t="shared" si="28"/>
        <v>2.8273469698452125E-2</v>
      </c>
    </row>
    <row r="80" spans="3:5" ht="15.6" x14ac:dyDescent="0.6">
      <c r="C80" s="64"/>
      <c r="D80" s="64"/>
      <c r="E80" s="64"/>
    </row>
    <row r="81" spans="3:5" ht="15.6" x14ac:dyDescent="0.6">
      <c r="C81" s="64"/>
      <c r="D81" s="64"/>
      <c r="E81" s="64"/>
    </row>
  </sheetData>
  <mergeCells count="40">
    <mergeCell ref="O35:P35"/>
    <mergeCell ref="Q35:R35"/>
    <mergeCell ref="S35:T35"/>
    <mergeCell ref="O31:P31"/>
    <mergeCell ref="Q31:R31"/>
    <mergeCell ref="S31:T31"/>
    <mergeCell ref="O32:P32"/>
    <mergeCell ref="Q32:R32"/>
    <mergeCell ref="S32:T32"/>
    <mergeCell ref="O33:P33"/>
    <mergeCell ref="Q33:R33"/>
    <mergeCell ref="S33:T33"/>
    <mergeCell ref="S29:T29"/>
    <mergeCell ref="O30:P30"/>
    <mergeCell ref="Q30:R30"/>
    <mergeCell ref="S30:T30"/>
    <mergeCell ref="O28:P28"/>
    <mergeCell ref="Q28:R28"/>
    <mergeCell ref="C2:E2"/>
    <mergeCell ref="N2:T2"/>
    <mergeCell ref="N26:T26"/>
    <mergeCell ref="O27:P27"/>
    <mergeCell ref="Q27:R27"/>
    <mergeCell ref="S27:T27"/>
    <mergeCell ref="W7:Z7"/>
    <mergeCell ref="AB7:AE7"/>
    <mergeCell ref="AG7:AJ7"/>
    <mergeCell ref="AB3:AE5"/>
    <mergeCell ref="O37:P37"/>
    <mergeCell ref="Q37:R37"/>
    <mergeCell ref="S37:T37"/>
    <mergeCell ref="O36:P36"/>
    <mergeCell ref="Q36:R36"/>
    <mergeCell ref="S36:T36"/>
    <mergeCell ref="O34:P34"/>
    <mergeCell ref="Q34:R34"/>
    <mergeCell ref="S34:T34"/>
    <mergeCell ref="S28:T28"/>
    <mergeCell ref="O29:P29"/>
    <mergeCell ref="Q29:R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DC90A-0480-4EB0-923D-08AC049C28E9}">
  <dimension ref="B1:AK218"/>
  <sheetViews>
    <sheetView workbookViewId="0">
      <selection activeCell="P14" sqref="P14"/>
    </sheetView>
  </sheetViews>
  <sheetFormatPr defaultRowHeight="14.4" x14ac:dyDescent="0.55000000000000004"/>
  <cols>
    <col min="4" max="4" width="10.578125" customWidth="1"/>
    <col min="5" max="5" width="8.83984375" customWidth="1"/>
    <col min="14" max="14" width="27.3671875" customWidth="1"/>
    <col min="15" max="16" width="8.83984375" customWidth="1"/>
  </cols>
  <sheetData>
    <row r="1" spans="2:37" ht="14.7" thickBot="1" x14ac:dyDescent="0.6"/>
    <row r="2" spans="2:37" ht="16.8" thickBot="1" x14ac:dyDescent="0.6">
      <c r="B2" s="151"/>
      <c r="C2" s="203" t="s">
        <v>90</v>
      </c>
      <c r="D2" s="203"/>
      <c r="E2" s="204"/>
      <c r="F2" s="9"/>
      <c r="G2" s="8"/>
      <c r="H2" s="8"/>
      <c r="I2" s="6"/>
      <c r="J2" s="6"/>
      <c r="K2" s="6"/>
      <c r="L2" s="6"/>
      <c r="N2" s="205" t="s">
        <v>65</v>
      </c>
      <c r="O2" s="203"/>
      <c r="P2" s="203"/>
      <c r="Q2" s="203"/>
      <c r="R2" s="203"/>
      <c r="S2" s="203"/>
      <c r="T2" s="204"/>
      <c r="V2" s="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6"/>
    </row>
    <row r="3" spans="2:37" ht="16.8" x14ac:dyDescent="0.55000000000000004">
      <c r="B3" s="150" t="s">
        <v>47</v>
      </c>
      <c r="C3" s="40" t="s">
        <v>91</v>
      </c>
      <c r="D3" s="134" t="s">
        <v>92</v>
      </c>
      <c r="E3" s="41" t="s">
        <v>93</v>
      </c>
      <c r="F3" s="10"/>
      <c r="G3" s="36" t="s">
        <v>51</v>
      </c>
      <c r="H3" s="37" t="s">
        <v>52</v>
      </c>
      <c r="I3" s="38" t="s">
        <v>53</v>
      </c>
      <c r="J3" s="38" t="s">
        <v>54</v>
      </c>
      <c r="K3" s="38" t="s">
        <v>55</v>
      </c>
      <c r="L3" s="39" t="s">
        <v>56</v>
      </c>
      <c r="N3" s="54"/>
      <c r="O3" s="60" t="s">
        <v>51</v>
      </c>
      <c r="P3" s="135" t="s">
        <v>52</v>
      </c>
      <c r="Q3" s="134" t="s">
        <v>53</v>
      </c>
      <c r="R3" s="134" t="s">
        <v>54</v>
      </c>
      <c r="S3" s="134" t="s">
        <v>55</v>
      </c>
      <c r="T3" s="41" t="s">
        <v>56</v>
      </c>
      <c r="V3" s="112"/>
      <c r="AB3" s="186" t="s">
        <v>98</v>
      </c>
      <c r="AC3" s="187"/>
      <c r="AD3" s="187"/>
      <c r="AE3" s="188"/>
      <c r="AF3" s="113"/>
      <c r="AG3" s="113"/>
      <c r="AH3" s="113"/>
      <c r="AI3" s="113"/>
      <c r="AJ3" s="113"/>
      <c r="AK3" s="77"/>
    </row>
    <row r="4" spans="2:37" ht="15.6" customHeight="1" x14ac:dyDescent="0.75">
      <c r="B4" s="66" t="s">
        <v>0</v>
      </c>
      <c r="C4" s="152">
        <v>3.5005834305717616</v>
      </c>
      <c r="D4" s="153">
        <v>3.3850493653032436</v>
      </c>
      <c r="E4" s="154">
        <v>3.2635300516725598</v>
      </c>
      <c r="F4" s="24"/>
      <c r="G4" s="25">
        <f t="shared" ref="G4:G35" si="0">C4-(1-$N$17/100)*D4</f>
        <v>0.28478653353368033</v>
      </c>
      <c r="H4" s="26">
        <f t="shared" ref="H4:H35" si="1">C4-D4/(1-$N$17/100)</f>
        <v>-6.2626427642179294E-2</v>
      </c>
      <c r="I4" s="26">
        <f>C4-(1-$N$17/100)*E4</f>
        <v>0.40022988148282979</v>
      </c>
      <c r="J4" s="26">
        <f t="shared" ref="J4:J35" si="2">C4-E4/(1-$N$17/100)</f>
        <v>6.5288639337488075E-2</v>
      </c>
      <c r="K4" s="26">
        <f>D4-(1-$N$17/100)*E4</f>
        <v>0.28469581621431184</v>
      </c>
      <c r="L4" s="27">
        <f t="shared" ref="L4:L39" si="3">D4-E4/(1-$N$17/100)</f>
        <v>-5.0245425931029875E-2</v>
      </c>
      <c r="N4" s="45" t="s">
        <v>73</v>
      </c>
      <c r="O4" s="96">
        <f>G41</f>
        <v>0.12315698193906312</v>
      </c>
      <c r="P4" s="136">
        <f>H41</f>
        <v>-0.11702708000438156</v>
      </c>
      <c r="Q4" s="136">
        <f t="shared" ref="Q4:T4" si="4">I41</f>
        <v>-0.32737597457529272</v>
      </c>
      <c r="R4" s="136">
        <f t="shared" si="4"/>
        <v>-0.61623257198704717</v>
      </c>
      <c r="S4" s="136">
        <f t="shared" si="4"/>
        <v>-0.33352020838806223</v>
      </c>
      <c r="T4" s="97">
        <f t="shared" si="4"/>
        <v>-0.62237680579981691</v>
      </c>
      <c r="V4" s="112"/>
      <c r="AB4" s="189"/>
      <c r="AC4" s="190"/>
      <c r="AD4" s="190"/>
      <c r="AE4" s="191"/>
      <c r="AF4" s="113"/>
      <c r="AG4" s="113"/>
      <c r="AH4" s="113"/>
      <c r="AI4" s="162"/>
      <c r="AJ4" s="113"/>
      <c r="AK4" s="77"/>
    </row>
    <row r="5" spans="2:37" ht="17.100000000000001" thickBot="1" x14ac:dyDescent="0.8">
      <c r="B5" s="67" t="s">
        <v>1</v>
      </c>
      <c r="C5" s="161">
        <v>1.8264840182648403</v>
      </c>
      <c r="D5" s="155">
        <v>1.8267620642411326</v>
      </c>
      <c r="E5" s="156">
        <v>1.9348597226701068</v>
      </c>
      <c r="F5" s="24"/>
      <c r="G5" s="25">
        <f t="shared" si="0"/>
        <v>9.1060057235764491E-2</v>
      </c>
      <c r="H5" s="26">
        <f t="shared" si="1"/>
        <v>-9.642341777845731E-2</v>
      </c>
      <c r="I5" s="26">
        <f t="shared" ref="I5:I35" si="5">C5-(1-$N$17/100)*E5</f>
        <v>-1.1632718271761044E-2</v>
      </c>
      <c r="J5" s="26">
        <f t="shared" si="2"/>
        <v>-0.21021042665106182</v>
      </c>
      <c r="K5" s="26">
        <f t="shared" ref="K5:K35" si="6">D5-(1-$N$17/100)*E5</f>
        <v>-1.1354672295468715E-2</v>
      </c>
      <c r="L5" s="27">
        <f t="shared" si="3"/>
        <v>-0.20993238067476949</v>
      </c>
      <c r="N5" s="46" t="s">
        <v>39</v>
      </c>
      <c r="O5" s="89">
        <f>C43-1</f>
        <v>35</v>
      </c>
      <c r="P5" s="137">
        <f>C43-1</f>
        <v>35</v>
      </c>
      <c r="Q5" s="137">
        <f>C43-1</f>
        <v>35</v>
      </c>
      <c r="R5" s="137">
        <f>C43-1</f>
        <v>35</v>
      </c>
      <c r="S5" s="137">
        <f>C43-1</f>
        <v>35</v>
      </c>
      <c r="T5" s="90">
        <f>C43-1</f>
        <v>35</v>
      </c>
      <c r="V5" s="112"/>
      <c r="AB5" s="192"/>
      <c r="AC5" s="193"/>
      <c r="AD5" s="193"/>
      <c r="AE5" s="194"/>
      <c r="AF5" s="113"/>
      <c r="AG5" s="113"/>
      <c r="AH5" s="162"/>
      <c r="AI5" s="113"/>
      <c r="AJ5" s="113"/>
      <c r="AK5" s="77"/>
    </row>
    <row r="6" spans="2:37" ht="15.9" thickBot="1" x14ac:dyDescent="0.65">
      <c r="B6" s="67" t="s">
        <v>2</v>
      </c>
      <c r="C6" s="161">
        <v>1.7830609212481427</v>
      </c>
      <c r="D6" s="155">
        <v>1.8501387604070305</v>
      </c>
      <c r="E6" s="156">
        <v>2.2654332641117612</v>
      </c>
      <c r="F6" s="24"/>
      <c r="G6" s="25">
        <f t="shared" si="0"/>
        <v>2.5429098861463828E-2</v>
      </c>
      <c r="H6" s="26">
        <f t="shared" si="1"/>
        <v>-0.16445356339083683</v>
      </c>
      <c r="I6" s="26">
        <f t="shared" si="5"/>
        <v>-0.36910067965803006</v>
      </c>
      <c r="J6" s="26">
        <f t="shared" si="2"/>
        <v>-0.60160567255371133</v>
      </c>
      <c r="K6" s="26">
        <f t="shared" si="6"/>
        <v>-0.3020228404991423</v>
      </c>
      <c r="L6" s="27">
        <f t="shared" si="3"/>
        <v>-0.53452783339482357</v>
      </c>
      <c r="N6" s="47" t="s">
        <v>37</v>
      </c>
      <c r="O6" s="91">
        <f>G42/SQRT(C43)</f>
        <v>1.949261341130289E-2</v>
      </c>
      <c r="P6" s="138">
        <f>H42/SQRT(C43)</f>
        <v>1.7780350068133891E-2</v>
      </c>
      <c r="Q6" s="138">
        <f>I42/SQRT(C43)</f>
        <v>0.1062964793600565</v>
      </c>
      <c r="R6" s="138">
        <f>J42/SQRT(C43)</f>
        <v>0.11817627300355914</v>
      </c>
      <c r="S6" s="138">
        <f>K42/SQRT(C43)</f>
        <v>0.10600616188937029</v>
      </c>
      <c r="T6" s="92">
        <f>L42/SQRT(C43)</f>
        <v>0.11833092301428934</v>
      </c>
      <c r="V6" s="112"/>
      <c r="Z6" s="114"/>
      <c r="AA6" s="114"/>
      <c r="AB6" s="114"/>
      <c r="AF6" s="113"/>
      <c r="AG6" s="113"/>
      <c r="AH6" s="113"/>
      <c r="AI6" s="113"/>
      <c r="AJ6" s="113"/>
      <c r="AK6" s="77"/>
    </row>
    <row r="7" spans="2:37" ht="15.6" x14ac:dyDescent="0.6">
      <c r="B7" s="67" t="s">
        <v>3</v>
      </c>
      <c r="C7" s="161">
        <v>2.4891101431238334</v>
      </c>
      <c r="D7" s="155">
        <v>2.6333113890717579</v>
      </c>
      <c r="E7" s="156">
        <v>3.1662269129287597</v>
      </c>
      <c r="F7" s="24"/>
      <c r="G7" s="25">
        <f t="shared" si="0"/>
        <v>-1.253567649433629E-2</v>
      </c>
      <c r="H7" s="26">
        <f t="shared" si="1"/>
        <v>-0.28279658221485926</v>
      </c>
      <c r="I7" s="26">
        <f t="shared" si="5"/>
        <v>-0.51880542415848829</v>
      </c>
      <c r="J7" s="26">
        <f t="shared" si="2"/>
        <v>-0.84376029153801912</v>
      </c>
      <c r="K7" s="26">
        <f t="shared" si="6"/>
        <v>-0.3746041782105638</v>
      </c>
      <c r="L7" s="27">
        <f t="shared" si="3"/>
        <v>-0.69955904559009463</v>
      </c>
      <c r="N7" s="46" t="s">
        <v>38</v>
      </c>
      <c r="O7" s="91">
        <f>O4/O6</f>
        <v>6.318135969784838</v>
      </c>
      <c r="P7" s="138">
        <f>P4/P6</f>
        <v>-6.5818209178073817</v>
      </c>
      <c r="Q7" s="138">
        <f t="shared" ref="Q7:T7" si="7">Q4/Q6</f>
        <v>-3.0798383591461849</v>
      </c>
      <c r="R7" s="138">
        <f t="shared" si="7"/>
        <v>-5.2145202782667548</v>
      </c>
      <c r="S7" s="138">
        <f t="shared" si="7"/>
        <v>-3.1462341664263747</v>
      </c>
      <c r="T7" s="92">
        <f t="shared" si="7"/>
        <v>-5.2596294353645856</v>
      </c>
      <c r="V7" s="112"/>
      <c r="W7" s="183" t="s">
        <v>94</v>
      </c>
      <c r="X7" s="184"/>
      <c r="Y7" s="184"/>
      <c r="Z7" s="185"/>
      <c r="AB7" s="183" t="s">
        <v>92</v>
      </c>
      <c r="AC7" s="184"/>
      <c r="AD7" s="184"/>
      <c r="AE7" s="185"/>
      <c r="AF7" s="113"/>
      <c r="AG7" s="183" t="s">
        <v>95</v>
      </c>
      <c r="AH7" s="184"/>
      <c r="AI7" s="184"/>
      <c r="AJ7" s="185"/>
      <c r="AK7" s="77"/>
    </row>
    <row r="8" spans="2:37" ht="15.6" x14ac:dyDescent="0.6">
      <c r="B8" s="67" t="s">
        <v>4</v>
      </c>
      <c r="C8" s="161">
        <v>3.8192234245703371</v>
      </c>
      <c r="D8" s="155">
        <v>3.5693039857227831</v>
      </c>
      <c r="E8" s="156">
        <v>5.5442616891517282</v>
      </c>
      <c r="F8" s="24"/>
      <c r="G8" s="25">
        <f t="shared" si="0"/>
        <v>0.42838463813369332</v>
      </c>
      <c r="H8" s="26">
        <f t="shared" si="1"/>
        <v>6.2061334335828278E-2</v>
      </c>
      <c r="I8" s="26">
        <f t="shared" si="5"/>
        <v>-1.4478251801238047</v>
      </c>
      <c r="J8" s="26">
        <f t="shared" si="2"/>
        <v>-2.0168415113788507</v>
      </c>
      <c r="K8" s="26">
        <f t="shared" si="6"/>
        <v>-1.6977446189713588</v>
      </c>
      <c r="L8" s="27">
        <f t="shared" si="3"/>
        <v>-2.2667609502264048</v>
      </c>
      <c r="N8" s="46" t="s">
        <v>57</v>
      </c>
      <c r="O8" s="93">
        <f>_xlfn.T.DIST.RT(O7,O5)</f>
        <v>1.4742008726206051E-7</v>
      </c>
      <c r="P8" s="139">
        <f>_xlfn.T.DIST(P7,P5,TRUE)</f>
        <v>6.6636194899596627E-8</v>
      </c>
      <c r="Q8" s="139">
        <f>_xlfn.T.DIST.RT(Q7,Q5)</f>
        <v>0.9979922726833107</v>
      </c>
      <c r="R8" s="139">
        <f>_xlfn.T.DIST(R7,R5,TRUE)</f>
        <v>4.1910612825543885E-6</v>
      </c>
      <c r="S8" s="139">
        <f>_xlfn.T.DIST.RT(S7,S5)</f>
        <v>0.99831562690287146</v>
      </c>
      <c r="T8" s="94">
        <f>_xlfn.T.DIST(T7,T5,TRUE)</f>
        <v>3.6553477466139843E-6</v>
      </c>
      <c r="V8" s="112"/>
      <c r="W8" s="99" t="s">
        <v>76</v>
      </c>
      <c r="X8" s="100" t="s">
        <v>77</v>
      </c>
      <c r="Y8" s="100" t="s">
        <v>78</v>
      </c>
      <c r="Z8" s="101" t="s">
        <v>79</v>
      </c>
      <c r="AA8" s="115"/>
      <c r="AB8" s="102" t="s">
        <v>76</v>
      </c>
      <c r="AC8" s="103" t="s">
        <v>77</v>
      </c>
      <c r="AD8" s="103" t="s">
        <v>78</v>
      </c>
      <c r="AE8" s="104" t="s">
        <v>80</v>
      </c>
      <c r="AF8" s="113"/>
      <c r="AG8" s="102" t="s">
        <v>76</v>
      </c>
      <c r="AH8" s="103" t="s">
        <v>77</v>
      </c>
      <c r="AI8" s="103" t="s">
        <v>78</v>
      </c>
      <c r="AJ8" s="104" t="s">
        <v>80</v>
      </c>
      <c r="AK8" s="77"/>
    </row>
    <row r="9" spans="2:37" ht="15.6" x14ac:dyDescent="0.6">
      <c r="B9" s="67" t="s">
        <v>5</v>
      </c>
      <c r="C9" s="161">
        <v>3.3755274261603381</v>
      </c>
      <c r="D9" s="155">
        <v>2.9636947394418378</v>
      </c>
      <c r="E9" s="156">
        <v>3.4944670937682001</v>
      </c>
      <c r="F9" s="24"/>
      <c r="G9" s="25">
        <f t="shared" si="0"/>
        <v>0.56001742369059215</v>
      </c>
      <c r="H9" s="26">
        <f t="shared" si="1"/>
        <v>0.25584875306366639</v>
      </c>
      <c r="I9" s="26">
        <f t="shared" si="5"/>
        <v>5.5783687080547928E-2</v>
      </c>
      <c r="J9" s="26">
        <f t="shared" si="2"/>
        <v>-0.30285898833250435</v>
      </c>
      <c r="K9" s="26">
        <f t="shared" si="6"/>
        <v>-0.35604899963795233</v>
      </c>
      <c r="L9" s="27">
        <f t="shared" si="3"/>
        <v>-0.71469167505100462</v>
      </c>
      <c r="N9" s="46" t="s">
        <v>62</v>
      </c>
      <c r="O9" s="93">
        <f>IF((_xlfn.T.DIST.RT(O7,O5)*N23)&lt;=1,(_xlfn.T.DIST.RT(O7,O5)*N23), 1)</f>
        <v>4.422602617861815E-7</v>
      </c>
      <c r="P9" s="139">
        <f>IF((_xlfn.T.DIST(P7,P5,TRUE)*N23)&lt;=1,(_xlfn.T.DIST(P7,P5,TRUE)*N23),1)</f>
        <v>1.9990858469878989E-7</v>
      </c>
      <c r="Q9" s="139">
        <f>IF((_xlfn.T.DIST.RT(Q7,Q5)*N23)&lt;=1,(_xlfn.T.DIST.RT(Q7,Q5)*N23), 1)</f>
        <v>1</v>
      </c>
      <c r="R9" s="139">
        <f>IF((_xlfn.T.DIST(R7,R5,TRUE)*N23)&lt;=1,(_xlfn.T.DIST(R7,R5,TRUE)*N23),1)</f>
        <v>1.2573183847663166E-5</v>
      </c>
      <c r="S9" s="139">
        <f>IF((_xlfn.T.DIST.RT(S7,S5)*N23)&lt;=1,(_xlfn.T.DIST.RT(S7,S5)*N23), 1)</f>
        <v>1</v>
      </c>
      <c r="T9" s="94">
        <f>IF((_xlfn.T.DIST(T7,T5,TRUE)*N23)&lt;=1,(_xlfn.T.DIST(T7,T5,TRUE)*N23),1)</f>
        <v>1.0966043239841954E-5</v>
      </c>
      <c r="V9" s="112"/>
      <c r="W9" s="118">
        <f t="shared" ref="W9:W44" si="8">C4</f>
        <v>3.5005834305717616</v>
      </c>
      <c r="X9" s="147">
        <f t="shared" ref="X9:X44" si="9">_xlfn.RANK.AVG(W9, $W$9:$W$44, 1)</f>
        <v>35</v>
      </c>
      <c r="Y9" s="148">
        <f t="shared" ref="Y9:Y44" si="10">(X9-0.5)/COUNT($X$9:$X$44)</f>
        <v>0.95833333333333337</v>
      </c>
      <c r="Z9" s="105">
        <f>_xlfn.NORM.S.INV(Y9)</f>
        <v>1.7316643961222455</v>
      </c>
      <c r="AA9" s="116"/>
      <c r="AB9" s="118">
        <f t="shared" ref="AB9:AB44" si="11">D4</f>
        <v>3.3850493653032436</v>
      </c>
      <c r="AC9" s="147">
        <f t="shared" ref="AC9:AC44" si="12">_xlfn.RANK.AVG(AB9, $AB$9:$AB$44, 1)</f>
        <v>35</v>
      </c>
      <c r="AD9" s="149">
        <f t="shared" ref="AD9:AD44" si="13">(AC9-0.5)/COUNT($AC$9:$AC$44)</f>
        <v>0.95833333333333337</v>
      </c>
      <c r="AE9" s="105">
        <f>_xlfn.NORM.S.INV(AD9)</f>
        <v>1.7316643961222455</v>
      </c>
      <c r="AF9" s="113"/>
      <c r="AG9" s="118">
        <f t="shared" ref="AG9:AG44" si="14">E4</f>
        <v>3.2635300516725598</v>
      </c>
      <c r="AH9" s="147">
        <f t="shared" ref="AH9:AH44" si="15">_xlfn.RANK.AVG(AG9, $AG$9:$AG$44, 1)</f>
        <v>28</v>
      </c>
      <c r="AI9" s="149">
        <f t="shared" ref="AI9:AI44" si="16">(AH9-0.5)/COUNT($AH$9:$AH$44)</f>
        <v>0.76388888888888884</v>
      </c>
      <c r="AJ9" s="105">
        <f>_xlfn.NORM.S.INV(AI9)</f>
        <v>0.71886805282271604</v>
      </c>
      <c r="AK9" s="77"/>
    </row>
    <row r="10" spans="2:37" ht="15.6" x14ac:dyDescent="0.6">
      <c r="B10" s="67" t="s">
        <v>6</v>
      </c>
      <c r="C10" s="161">
        <v>3.2266738370529713</v>
      </c>
      <c r="D10" s="155">
        <v>3.2679738562091503</v>
      </c>
      <c r="E10" s="156">
        <v>5.4498387756028883</v>
      </c>
      <c r="F10" s="24"/>
      <c r="G10" s="25">
        <f t="shared" si="0"/>
        <v>0.12209867365427884</v>
      </c>
      <c r="H10" s="26">
        <f t="shared" si="1"/>
        <v>-0.21329864316718705</v>
      </c>
      <c r="I10" s="26">
        <f t="shared" si="5"/>
        <v>-1.9506729997697723</v>
      </c>
      <c r="J10" s="26">
        <f t="shared" si="2"/>
        <v>-2.5099985583184901</v>
      </c>
      <c r="K10" s="26">
        <f t="shared" si="6"/>
        <v>-1.9093729806135933</v>
      </c>
      <c r="L10" s="27">
        <f t="shared" si="3"/>
        <v>-2.4686985391623111</v>
      </c>
      <c r="N10" s="47" t="s">
        <v>58</v>
      </c>
      <c r="O10" s="91">
        <f>O4-_xlfn.T.INV.2T($N20*2,O5)*O6</f>
        <v>9.0222799189167535E-2</v>
      </c>
      <c r="P10" s="140"/>
      <c r="Q10" s="138">
        <f>Q4-_xlfn.T.INV.2T($N20*2,Q5)*Q6</f>
        <v>-0.50697157846105256</v>
      </c>
      <c r="R10" s="140"/>
      <c r="S10" s="138">
        <f>S4-_xlfn.T.INV.2T($N20*2,S5)*S6</f>
        <v>-0.5126252998713382</v>
      </c>
      <c r="T10" s="79"/>
      <c r="V10" s="112"/>
      <c r="W10" s="118">
        <f t="shared" si="8"/>
        <v>1.8264840182648403</v>
      </c>
      <c r="X10" s="147">
        <f t="shared" si="9"/>
        <v>8</v>
      </c>
      <c r="Y10" s="148">
        <f t="shared" si="10"/>
        <v>0.20833333333333334</v>
      </c>
      <c r="Z10" s="105">
        <f>_xlfn.NORM.S.INV(Y10)</f>
        <v>-0.81221780149991241</v>
      </c>
      <c r="AA10" s="116"/>
      <c r="AB10" s="118">
        <f t="shared" si="11"/>
        <v>1.8267620642411326</v>
      </c>
      <c r="AC10" s="147">
        <f t="shared" si="12"/>
        <v>7</v>
      </c>
      <c r="AD10" s="149">
        <f t="shared" si="13"/>
        <v>0.18055555555555555</v>
      </c>
      <c r="AE10" s="105">
        <f t="shared" ref="AE10:AE20" si="17">_xlfn.NORM.S.INV(AD10)</f>
        <v>-0.91324992668360727</v>
      </c>
      <c r="AF10" s="113"/>
      <c r="AG10" s="118">
        <f t="shared" si="14"/>
        <v>1.9348597226701068</v>
      </c>
      <c r="AH10" s="147">
        <f t="shared" si="15"/>
        <v>3</v>
      </c>
      <c r="AI10" s="149">
        <f t="shared" si="16"/>
        <v>6.9444444444444448E-2</v>
      </c>
      <c r="AJ10" s="105">
        <f t="shared" ref="AJ10:AJ20" si="18">_xlfn.NORM.S.INV(AI10)</f>
        <v>-1.4799413890351922</v>
      </c>
      <c r="AK10" s="77"/>
    </row>
    <row r="11" spans="2:37" ht="15.6" x14ac:dyDescent="0.6">
      <c r="B11" s="67" t="s">
        <v>7</v>
      </c>
      <c r="C11" s="161">
        <v>2.6601640434493459</v>
      </c>
      <c r="D11" s="155">
        <v>2.8992510268180722</v>
      </c>
      <c r="E11" s="156">
        <v>3.7535189239912423</v>
      </c>
      <c r="F11" s="24"/>
      <c r="G11" s="25">
        <f t="shared" si="0"/>
        <v>-9.4124432027822724E-2</v>
      </c>
      <c r="H11" s="26">
        <f t="shared" si="1"/>
        <v>-0.39167914267494064</v>
      </c>
      <c r="I11" s="26">
        <f t="shared" si="5"/>
        <v>-0.90567893434233415</v>
      </c>
      <c r="J11" s="26">
        <f t="shared" si="2"/>
        <v>-1.290908508120383</v>
      </c>
      <c r="K11" s="26">
        <f t="shared" si="6"/>
        <v>-0.66659195097360779</v>
      </c>
      <c r="L11" s="27">
        <f t="shared" si="3"/>
        <v>-1.0518215247516567</v>
      </c>
      <c r="N11" s="47" t="s">
        <v>59</v>
      </c>
      <c r="O11" s="80"/>
      <c r="P11" s="138">
        <f>P4+_xlfn.T.INV.2T($N20*2,P5)*P6</f>
        <v>-8.6985890239571081E-2</v>
      </c>
      <c r="Q11" s="140"/>
      <c r="R11" s="138">
        <f>R4+_xlfn.T.INV.2T($N20*2,R5)*R6</f>
        <v>-0.41656519595711222</v>
      </c>
      <c r="S11" s="140"/>
      <c r="T11" s="92">
        <f>T4+_xlfn.T.INV.2T($N20*2,T5)*T6</f>
        <v>-0.42244813737115683</v>
      </c>
      <c r="V11" s="112"/>
      <c r="W11" s="118">
        <f t="shared" si="8"/>
        <v>1.7830609212481427</v>
      </c>
      <c r="X11" s="147">
        <f t="shared" si="9"/>
        <v>7</v>
      </c>
      <c r="Y11" s="148">
        <f t="shared" si="10"/>
        <v>0.18055555555555555</v>
      </c>
      <c r="Z11" s="105">
        <f t="shared" ref="Z11:Z22" si="19">_xlfn.NORM.S.INV(Y11)</f>
        <v>-0.91324992668360727</v>
      </c>
      <c r="AA11" s="116"/>
      <c r="AB11" s="118">
        <f t="shared" si="11"/>
        <v>1.8501387604070305</v>
      </c>
      <c r="AC11" s="147">
        <f t="shared" si="12"/>
        <v>8</v>
      </c>
      <c r="AD11" s="149">
        <f t="shared" si="13"/>
        <v>0.20833333333333334</v>
      </c>
      <c r="AE11" s="105">
        <f t="shared" si="17"/>
        <v>-0.81221780149991241</v>
      </c>
      <c r="AF11" s="113"/>
      <c r="AG11" s="118">
        <f t="shared" si="14"/>
        <v>2.2654332641117612</v>
      </c>
      <c r="AH11" s="147">
        <f t="shared" si="15"/>
        <v>12</v>
      </c>
      <c r="AI11" s="149">
        <f t="shared" si="16"/>
        <v>0.31944444444444442</v>
      </c>
      <c r="AJ11" s="105">
        <f t="shared" si="18"/>
        <v>-0.46925288381280222</v>
      </c>
      <c r="AK11" s="77"/>
    </row>
    <row r="12" spans="2:37" ht="15.6" x14ac:dyDescent="0.6">
      <c r="B12" s="67" t="s">
        <v>8</v>
      </c>
      <c r="C12" s="161">
        <v>2.6942074539739562</v>
      </c>
      <c r="D12" s="155">
        <v>2.6138096275321283</v>
      </c>
      <c r="E12" s="156">
        <v>2.606995437757984</v>
      </c>
      <c r="F12" s="24"/>
      <c r="G12" s="25">
        <f t="shared" si="0"/>
        <v>0.21108830781843446</v>
      </c>
      <c r="H12" s="26">
        <f t="shared" si="1"/>
        <v>-5.7171101323020945E-2</v>
      </c>
      <c r="I12" s="26">
        <f t="shared" si="5"/>
        <v>0.21756178810387139</v>
      </c>
      <c r="J12" s="26">
        <f t="shared" si="2"/>
        <v>-4.9998269981816446E-2</v>
      </c>
      <c r="K12" s="26">
        <f t="shared" si="6"/>
        <v>0.13716396166204348</v>
      </c>
      <c r="L12" s="27">
        <f t="shared" si="3"/>
        <v>-0.13039609642364436</v>
      </c>
      <c r="N12" s="47" t="s">
        <v>60</v>
      </c>
      <c r="O12" s="91">
        <f>O4-_xlfn.T.INV.2T($N20*2/$N23,O5)*O6</f>
        <v>7.9973071298035256E-2</v>
      </c>
      <c r="P12" s="140"/>
      <c r="Q12" s="138">
        <f>Q4-_xlfn.T.INV.2T($N20*2/$N23,Q5)*Q6</f>
        <v>-0.56286505801850284</v>
      </c>
      <c r="R12" s="140"/>
      <c r="S12" s="138">
        <f>S4-_xlfn.T.INV.2T($N20*2/$N23,S5)*S6</f>
        <v>-0.56836612288070087</v>
      </c>
      <c r="T12" s="79"/>
      <c r="V12" s="112"/>
      <c r="W12" s="118">
        <f t="shared" si="8"/>
        <v>2.4891101431238334</v>
      </c>
      <c r="X12" s="147">
        <f t="shared" si="9"/>
        <v>24</v>
      </c>
      <c r="Y12" s="148">
        <f t="shared" si="10"/>
        <v>0.65277777777777779</v>
      </c>
      <c r="Z12" s="105">
        <f>_xlfn.NORM.S.INV(Y12)</f>
        <v>0.39283081364972938</v>
      </c>
      <c r="AA12" s="116"/>
      <c r="AB12" s="118">
        <f t="shared" si="11"/>
        <v>2.6333113890717579</v>
      </c>
      <c r="AC12" s="147">
        <f t="shared" si="12"/>
        <v>25</v>
      </c>
      <c r="AD12" s="149">
        <f t="shared" si="13"/>
        <v>0.68055555555555558</v>
      </c>
      <c r="AE12" s="105">
        <f t="shared" si="17"/>
        <v>0.46925288381280222</v>
      </c>
      <c r="AF12" s="113"/>
      <c r="AG12" s="118">
        <f t="shared" si="14"/>
        <v>3.1662269129287597</v>
      </c>
      <c r="AH12" s="147">
        <f t="shared" si="15"/>
        <v>27</v>
      </c>
      <c r="AI12" s="149">
        <f t="shared" si="16"/>
        <v>0.73611111111111116</v>
      </c>
      <c r="AJ12" s="105">
        <f>_xlfn.NORM.S.INV(AI12)</f>
        <v>0.63140189423976112</v>
      </c>
      <c r="AK12" s="77"/>
    </row>
    <row r="13" spans="2:37" ht="15.9" thickBot="1" x14ac:dyDescent="0.65">
      <c r="B13" s="67" t="s">
        <v>9</v>
      </c>
      <c r="C13" s="161">
        <v>1.957905041605482</v>
      </c>
      <c r="D13" s="155">
        <v>1.9493177387914229</v>
      </c>
      <c r="E13" s="156">
        <v>2.0905923344947732</v>
      </c>
      <c r="F13" s="24"/>
      <c r="G13" s="25">
        <f t="shared" si="0"/>
        <v>0.10605318975363032</v>
      </c>
      <c r="H13" s="26">
        <f t="shared" si="1"/>
        <v>-9.4008367648647617E-2</v>
      </c>
      <c r="I13" s="26">
        <f t="shared" si="5"/>
        <v>-2.8157676164552559E-2</v>
      </c>
      <c r="J13" s="26">
        <f t="shared" si="2"/>
        <v>-0.24271846838901645</v>
      </c>
      <c r="K13" s="26">
        <f t="shared" si="6"/>
        <v>-3.674497897861162E-2</v>
      </c>
      <c r="L13" s="27">
        <f t="shared" si="3"/>
        <v>-0.25130577120307551</v>
      </c>
      <c r="N13" s="48" t="s">
        <v>61</v>
      </c>
      <c r="O13" s="81"/>
      <c r="P13" s="141">
        <f>P4+_xlfn.T.INV.2T($N20*2/$N23,P5)*P6</f>
        <v>-7.7636515368073714E-2</v>
      </c>
      <c r="Q13" s="142"/>
      <c r="R13" s="141">
        <f>R4+_xlfn.T.INV.2T($N20*2/$N23,R5)*R6</f>
        <v>-0.35442500900956414</v>
      </c>
      <c r="S13" s="142"/>
      <c r="T13" s="95">
        <f>T4+_xlfn.T.INV.2T($N20*2/$N23,T5)*T6</f>
        <v>-0.36022663138778227</v>
      </c>
      <c r="V13" s="112"/>
      <c r="W13" s="118">
        <f t="shared" si="8"/>
        <v>3.8192234245703371</v>
      </c>
      <c r="X13" s="147">
        <f t="shared" si="9"/>
        <v>36</v>
      </c>
      <c r="Y13" s="148">
        <f t="shared" si="10"/>
        <v>0.98611111111111116</v>
      </c>
      <c r="Z13" s="105">
        <f t="shared" si="19"/>
        <v>2.2004105812100336</v>
      </c>
      <c r="AA13" s="116"/>
      <c r="AB13" s="118">
        <f t="shared" si="11"/>
        <v>3.5693039857227831</v>
      </c>
      <c r="AC13" s="147">
        <f t="shared" si="12"/>
        <v>36</v>
      </c>
      <c r="AD13" s="149">
        <f t="shared" si="13"/>
        <v>0.98611111111111116</v>
      </c>
      <c r="AE13" s="105">
        <f t="shared" si="17"/>
        <v>2.2004105812100336</v>
      </c>
      <c r="AF13" s="113"/>
      <c r="AG13" s="118">
        <f t="shared" si="14"/>
        <v>5.5442616891517282</v>
      </c>
      <c r="AH13" s="147">
        <f t="shared" si="15"/>
        <v>36</v>
      </c>
      <c r="AI13" s="149">
        <f t="shared" si="16"/>
        <v>0.98611111111111116</v>
      </c>
      <c r="AJ13" s="105">
        <f>_xlfn.NORM.S.INV(AI13)</f>
        <v>2.2004105812100336</v>
      </c>
      <c r="AK13" s="77"/>
    </row>
    <row r="14" spans="2:37" ht="15.6" x14ac:dyDescent="0.6">
      <c r="B14" s="67" t="s">
        <v>10</v>
      </c>
      <c r="C14" s="161">
        <v>2.9917726252804786</v>
      </c>
      <c r="D14" s="155">
        <v>3.037974683544304</v>
      </c>
      <c r="E14" s="156">
        <v>3.3140016570008282</v>
      </c>
      <c r="F14" s="24"/>
      <c r="G14" s="25">
        <f t="shared" si="0"/>
        <v>0.10569667591339016</v>
      </c>
      <c r="H14" s="26">
        <f t="shared" si="1"/>
        <v>-0.20609546266089396</v>
      </c>
      <c r="I14" s="26">
        <f t="shared" si="5"/>
        <v>-0.15652894887030788</v>
      </c>
      <c r="J14" s="26">
        <f t="shared" si="2"/>
        <v>-0.49665017156249869</v>
      </c>
      <c r="K14" s="26">
        <f t="shared" si="6"/>
        <v>-0.11032689060648249</v>
      </c>
      <c r="L14" s="27">
        <f t="shared" si="3"/>
        <v>-0.45044811329867329</v>
      </c>
      <c r="V14" s="112"/>
      <c r="W14" s="118">
        <f t="shared" si="8"/>
        <v>3.3755274261603381</v>
      </c>
      <c r="X14" s="147">
        <f t="shared" si="9"/>
        <v>34</v>
      </c>
      <c r="Y14" s="148">
        <f t="shared" si="10"/>
        <v>0.93055555555555558</v>
      </c>
      <c r="Z14" s="105">
        <f>_xlfn.NORM.S.INV(Y14)</f>
        <v>1.4799413890351927</v>
      </c>
      <c r="AA14" s="116"/>
      <c r="AB14" s="118">
        <f t="shared" si="11"/>
        <v>2.9636947394418378</v>
      </c>
      <c r="AC14" s="147">
        <f t="shared" si="12"/>
        <v>31</v>
      </c>
      <c r="AD14" s="149">
        <f t="shared" si="13"/>
        <v>0.84722222222222221</v>
      </c>
      <c r="AE14" s="105">
        <f t="shared" si="17"/>
        <v>1.024592392540099</v>
      </c>
      <c r="AF14" s="113"/>
      <c r="AG14" s="118">
        <f t="shared" si="14"/>
        <v>3.4944670937682001</v>
      </c>
      <c r="AH14" s="147">
        <f t="shared" si="15"/>
        <v>31</v>
      </c>
      <c r="AI14" s="149">
        <f t="shared" si="16"/>
        <v>0.84722222222222221</v>
      </c>
      <c r="AJ14" s="105">
        <f t="shared" si="18"/>
        <v>1.024592392540099</v>
      </c>
      <c r="AK14" s="77"/>
    </row>
    <row r="15" spans="2:37" ht="15.9" thickBot="1" x14ac:dyDescent="0.65">
      <c r="B15" s="67" t="s">
        <v>11</v>
      </c>
      <c r="C15" s="161">
        <v>2.4217961654894049</v>
      </c>
      <c r="D15" s="155">
        <v>2.356637863315004</v>
      </c>
      <c r="E15" s="156">
        <v>2.3668639053254434</v>
      </c>
      <c r="F15" s="24"/>
      <c r="G15" s="25">
        <f t="shared" si="0"/>
        <v>0.18299019534015137</v>
      </c>
      <c r="H15" s="26">
        <f t="shared" si="1"/>
        <v>-5.8875269579020451E-2</v>
      </c>
      <c r="I15" s="26">
        <f t="shared" si="5"/>
        <v>0.17327545543023382</v>
      </c>
      <c r="J15" s="26">
        <f t="shared" si="2"/>
        <v>-6.9639524326851276E-2</v>
      </c>
      <c r="K15" s="26">
        <f t="shared" si="6"/>
        <v>0.10811715325583293</v>
      </c>
      <c r="L15" s="27">
        <f t="shared" si="3"/>
        <v>-0.13479782650125216</v>
      </c>
      <c r="V15" s="53"/>
      <c r="W15" s="118">
        <f t="shared" si="8"/>
        <v>3.2266738370529713</v>
      </c>
      <c r="X15" s="147">
        <f t="shared" si="9"/>
        <v>33</v>
      </c>
      <c r="Y15" s="148">
        <f t="shared" si="10"/>
        <v>0.90277777777777779</v>
      </c>
      <c r="Z15" s="105">
        <f t="shared" si="19"/>
        <v>1.2975429286165541</v>
      </c>
      <c r="AA15" s="116"/>
      <c r="AB15" s="118">
        <f t="shared" si="11"/>
        <v>3.2679738562091503</v>
      </c>
      <c r="AC15" s="147">
        <f t="shared" si="12"/>
        <v>34</v>
      </c>
      <c r="AD15" s="149">
        <f t="shared" si="13"/>
        <v>0.93055555555555558</v>
      </c>
      <c r="AE15" s="105">
        <f t="shared" si="17"/>
        <v>1.4799413890351927</v>
      </c>
      <c r="AG15" s="118">
        <f t="shared" si="14"/>
        <v>5.4498387756028883</v>
      </c>
      <c r="AH15" s="147">
        <f t="shared" si="15"/>
        <v>35</v>
      </c>
      <c r="AI15" s="149">
        <f t="shared" si="16"/>
        <v>0.95833333333333337</v>
      </c>
      <c r="AJ15" s="105">
        <f t="shared" si="18"/>
        <v>1.7316643961222455</v>
      </c>
      <c r="AK15" s="106"/>
    </row>
    <row r="16" spans="2:37" ht="15.6" x14ac:dyDescent="0.6">
      <c r="B16" s="67" t="s">
        <v>12</v>
      </c>
      <c r="C16" s="161">
        <v>2.9462312791554135</v>
      </c>
      <c r="D16" s="155">
        <v>2.9289724188430561</v>
      </c>
      <c r="E16" s="156">
        <v>3.162055335968379</v>
      </c>
      <c r="F16" s="24"/>
      <c r="G16" s="25">
        <f t="shared" si="0"/>
        <v>0.16370748125451007</v>
      </c>
      <c r="H16" s="26">
        <f t="shared" si="1"/>
        <v>-0.1368975827846457</v>
      </c>
      <c r="I16" s="26">
        <f t="shared" si="5"/>
        <v>-5.7721290014546511E-2</v>
      </c>
      <c r="J16" s="26">
        <f t="shared" si="2"/>
        <v>-0.38224802186393303</v>
      </c>
      <c r="K16" s="26">
        <f t="shared" si="6"/>
        <v>-7.4980150326903861E-2</v>
      </c>
      <c r="L16" s="27">
        <f t="shared" si="3"/>
        <v>-0.39950688217629038</v>
      </c>
      <c r="N16" s="50" t="s">
        <v>50</v>
      </c>
      <c r="V16" s="53"/>
      <c r="W16" s="118">
        <f t="shared" si="8"/>
        <v>2.6601640434493459</v>
      </c>
      <c r="X16" s="147">
        <f t="shared" si="9"/>
        <v>26</v>
      </c>
      <c r="Y16" s="148">
        <f t="shared" si="10"/>
        <v>0.70833333333333337</v>
      </c>
      <c r="Z16" s="105">
        <f t="shared" si="19"/>
        <v>0.54852228269809822</v>
      </c>
      <c r="AA16" s="116"/>
      <c r="AB16" s="118">
        <f t="shared" si="11"/>
        <v>2.8992510268180722</v>
      </c>
      <c r="AC16" s="147">
        <f t="shared" si="12"/>
        <v>28</v>
      </c>
      <c r="AD16" s="149">
        <f t="shared" si="13"/>
        <v>0.76388888888888884</v>
      </c>
      <c r="AE16" s="105">
        <f t="shared" si="17"/>
        <v>0.71886805282271604</v>
      </c>
      <c r="AG16" s="118">
        <f t="shared" si="14"/>
        <v>3.7535189239912423</v>
      </c>
      <c r="AH16" s="147">
        <f t="shared" si="15"/>
        <v>32</v>
      </c>
      <c r="AI16" s="149">
        <f t="shared" si="16"/>
        <v>0.875</v>
      </c>
      <c r="AJ16" s="105">
        <f t="shared" si="18"/>
        <v>1.1503493803760083</v>
      </c>
      <c r="AK16" s="107"/>
    </row>
    <row r="17" spans="2:37" ht="15.9" thickBot="1" x14ac:dyDescent="0.65">
      <c r="B17" s="67" t="s">
        <v>13</v>
      </c>
      <c r="C17" s="161">
        <v>3.1047865459249677</v>
      </c>
      <c r="D17" s="155">
        <v>3.1225604996096803</v>
      </c>
      <c r="E17" s="156">
        <v>4.1724617524339367</v>
      </c>
      <c r="F17" s="24"/>
      <c r="G17" s="25">
        <f t="shared" si="0"/>
        <v>0.1383540712957716</v>
      </c>
      <c r="H17" s="26">
        <f>C17-D17/(1-$N$17/100)</f>
        <v>-0.18211924313785399</v>
      </c>
      <c r="I17" s="26">
        <f t="shared" si="5"/>
        <v>-0.85905211888727173</v>
      </c>
      <c r="J17" s="26">
        <f>C17-E17/(1-$N$17/100)</f>
        <v>-1.2872784566370714</v>
      </c>
      <c r="K17" s="26">
        <f t="shared" si="6"/>
        <v>-0.84127816520255916</v>
      </c>
      <c r="L17" s="27">
        <f t="shared" si="3"/>
        <v>-1.2695045029523588</v>
      </c>
      <c r="N17" s="52">
        <v>5</v>
      </c>
      <c r="P17" s="59"/>
      <c r="V17" s="53"/>
      <c r="W17" s="118">
        <f t="shared" si="8"/>
        <v>2.6942074539739562</v>
      </c>
      <c r="X17" s="147">
        <f t="shared" si="9"/>
        <v>27</v>
      </c>
      <c r="Y17" s="148">
        <f t="shared" si="10"/>
        <v>0.73611111111111116</v>
      </c>
      <c r="Z17" s="105">
        <f t="shared" si="19"/>
        <v>0.63140189423976112</v>
      </c>
      <c r="AA17" s="116"/>
      <c r="AB17" s="118">
        <f t="shared" si="11"/>
        <v>2.6138096275321283</v>
      </c>
      <c r="AC17" s="147">
        <f t="shared" si="12"/>
        <v>24</v>
      </c>
      <c r="AD17" s="149">
        <f t="shared" si="13"/>
        <v>0.65277777777777779</v>
      </c>
      <c r="AE17" s="105">
        <f t="shared" si="17"/>
        <v>0.39283081364972938</v>
      </c>
      <c r="AG17" s="118">
        <f t="shared" si="14"/>
        <v>2.606995437757984</v>
      </c>
      <c r="AH17" s="147">
        <f t="shared" si="15"/>
        <v>17</v>
      </c>
      <c r="AI17" s="149">
        <f t="shared" si="16"/>
        <v>0.45833333333333331</v>
      </c>
      <c r="AJ17" s="105">
        <f t="shared" si="18"/>
        <v>-0.10463345561407539</v>
      </c>
      <c r="AK17" s="107"/>
    </row>
    <row r="18" spans="2:37" ht="15.9" thickBot="1" x14ac:dyDescent="0.65">
      <c r="B18" s="67" t="s">
        <v>14</v>
      </c>
      <c r="C18" s="161">
        <v>2.7063599458728009</v>
      </c>
      <c r="D18" s="155">
        <v>2.7497708524289641</v>
      </c>
      <c r="E18" s="156">
        <v>2.7441115938714837</v>
      </c>
      <c r="F18" s="24"/>
      <c r="G18" s="25">
        <f t="shared" si="0"/>
        <v>9.4077636065285297E-2</v>
      </c>
      <c r="H18" s="26">
        <f t="shared" si="1"/>
        <v>-0.18813568826295102</v>
      </c>
      <c r="I18" s="26">
        <f t="shared" si="5"/>
        <v>9.9453931694891473E-2</v>
      </c>
      <c r="J18" s="26">
        <f t="shared" si="2"/>
        <v>-0.18217857399191884</v>
      </c>
      <c r="K18" s="26">
        <f t="shared" si="6"/>
        <v>0.14286483825105467</v>
      </c>
      <c r="L18" s="27">
        <f t="shared" si="3"/>
        <v>-0.13876766743575564</v>
      </c>
      <c r="N18" s="35"/>
      <c r="V18" s="117"/>
      <c r="W18" s="118">
        <f t="shared" si="8"/>
        <v>1.957905041605482</v>
      </c>
      <c r="X18" s="147">
        <f t="shared" si="9"/>
        <v>11</v>
      </c>
      <c r="Y18" s="148">
        <f t="shared" si="10"/>
        <v>0.29166666666666669</v>
      </c>
      <c r="Z18" s="105">
        <f t="shared" si="19"/>
        <v>-0.54852228269809788</v>
      </c>
      <c r="AA18" s="116"/>
      <c r="AB18" s="118">
        <f t="shared" si="11"/>
        <v>1.9493177387914229</v>
      </c>
      <c r="AC18" s="147">
        <f t="shared" si="12"/>
        <v>9</v>
      </c>
      <c r="AD18" s="149">
        <f t="shared" si="13"/>
        <v>0.2361111111111111</v>
      </c>
      <c r="AE18" s="105">
        <f>_xlfn.NORM.S.INV(AD18)</f>
        <v>-0.71886805282271549</v>
      </c>
      <c r="AF18" s="16"/>
      <c r="AG18" s="118">
        <f t="shared" si="14"/>
        <v>2.0905923344947732</v>
      </c>
      <c r="AH18" s="147">
        <f t="shared" si="15"/>
        <v>8</v>
      </c>
      <c r="AI18" s="149">
        <f t="shared" si="16"/>
        <v>0.20833333333333334</v>
      </c>
      <c r="AJ18" s="105">
        <f t="shared" si="18"/>
        <v>-0.81221780149991241</v>
      </c>
      <c r="AK18" s="107"/>
    </row>
    <row r="19" spans="2:37" ht="15.6" x14ac:dyDescent="0.6">
      <c r="B19" s="67" t="s">
        <v>15</v>
      </c>
      <c r="C19" s="161">
        <v>2.6212319790301439</v>
      </c>
      <c r="D19" s="155">
        <v>2.6513477684489617</v>
      </c>
      <c r="E19" s="156">
        <v>2.6115342763873777</v>
      </c>
      <c r="F19" s="24"/>
      <c r="G19" s="25">
        <f t="shared" si="0"/>
        <v>0.10245159900363054</v>
      </c>
      <c r="H19" s="26">
        <f t="shared" si="1"/>
        <v>-0.16966040881086863</v>
      </c>
      <c r="I19" s="26">
        <f t="shared" si="5"/>
        <v>0.14027441646213523</v>
      </c>
      <c r="J19" s="26">
        <f t="shared" si="2"/>
        <v>-0.12775146979867458</v>
      </c>
      <c r="K19" s="26">
        <f t="shared" si="6"/>
        <v>0.17039020588095299</v>
      </c>
      <c r="L19" s="27">
        <f t="shared" si="3"/>
        <v>-9.7635680379856815E-2</v>
      </c>
      <c r="N19" s="57" t="s">
        <v>64</v>
      </c>
      <c r="V19" s="117"/>
      <c r="W19" s="118">
        <f t="shared" si="8"/>
        <v>2.9917726252804786</v>
      </c>
      <c r="X19" s="147">
        <f t="shared" si="9"/>
        <v>31</v>
      </c>
      <c r="Y19" s="148">
        <f t="shared" si="10"/>
        <v>0.84722222222222221</v>
      </c>
      <c r="Z19" s="105">
        <f>_xlfn.NORM.S.INV(Y19)</f>
        <v>1.024592392540099</v>
      </c>
      <c r="AA19" s="116"/>
      <c r="AB19" s="118">
        <f t="shared" si="11"/>
        <v>3.037974683544304</v>
      </c>
      <c r="AC19" s="147">
        <f t="shared" si="12"/>
        <v>32</v>
      </c>
      <c r="AD19" s="149">
        <f t="shared" si="13"/>
        <v>0.875</v>
      </c>
      <c r="AE19" s="105">
        <f t="shared" si="17"/>
        <v>1.1503493803760083</v>
      </c>
      <c r="AF19" s="16"/>
      <c r="AG19" s="118">
        <f t="shared" si="14"/>
        <v>3.3140016570008282</v>
      </c>
      <c r="AH19" s="147">
        <f t="shared" si="15"/>
        <v>30</v>
      </c>
      <c r="AI19" s="149">
        <f t="shared" si="16"/>
        <v>0.81944444444444442</v>
      </c>
      <c r="AJ19" s="105">
        <f t="shared" si="18"/>
        <v>0.91324992668360727</v>
      </c>
      <c r="AK19" s="107"/>
    </row>
    <row r="20" spans="2:37" ht="15.6" customHeight="1" thickBot="1" x14ac:dyDescent="0.65">
      <c r="B20" s="67" t="s">
        <v>16</v>
      </c>
      <c r="C20" s="161">
        <v>2.2874571101791847</v>
      </c>
      <c r="D20" s="155">
        <v>2.4096385542168677</v>
      </c>
      <c r="E20" s="156">
        <v>2.625246116823452</v>
      </c>
      <c r="F20" s="24"/>
      <c r="G20" s="25">
        <f t="shared" si="0"/>
        <v>-1.6995163268394009E-3</v>
      </c>
      <c r="H20" s="26">
        <f t="shared" si="1"/>
        <v>-0.24900452583857069</v>
      </c>
      <c r="I20" s="26">
        <f t="shared" si="5"/>
        <v>-0.20652670080309443</v>
      </c>
      <c r="J20" s="26">
        <f t="shared" si="2"/>
        <v>-0.47595985489813319</v>
      </c>
      <c r="K20" s="26">
        <f t="shared" si="6"/>
        <v>-8.4345256765411492E-2</v>
      </c>
      <c r="L20" s="27">
        <f t="shared" si="3"/>
        <v>-0.35377841086045025</v>
      </c>
      <c r="N20" s="58">
        <v>0.05</v>
      </c>
      <c r="V20" s="117"/>
      <c r="W20" s="118">
        <f t="shared" si="8"/>
        <v>2.4217961654894049</v>
      </c>
      <c r="X20" s="147">
        <f t="shared" si="9"/>
        <v>23</v>
      </c>
      <c r="Y20" s="148">
        <f t="shared" si="10"/>
        <v>0.625</v>
      </c>
      <c r="Z20" s="105">
        <f t="shared" si="19"/>
        <v>0.3186393639643752</v>
      </c>
      <c r="AA20" s="116"/>
      <c r="AB20" s="118">
        <f t="shared" si="11"/>
        <v>2.356637863315004</v>
      </c>
      <c r="AC20" s="147">
        <f t="shared" si="12"/>
        <v>20</v>
      </c>
      <c r="AD20" s="149">
        <f t="shared" si="13"/>
        <v>0.54166666666666663</v>
      </c>
      <c r="AE20" s="105">
        <f t="shared" si="17"/>
        <v>0.10463345561407525</v>
      </c>
      <c r="AF20" s="16"/>
      <c r="AG20" s="118">
        <f t="shared" si="14"/>
        <v>2.3668639053254434</v>
      </c>
      <c r="AH20" s="147">
        <f t="shared" si="15"/>
        <v>14</v>
      </c>
      <c r="AI20" s="149">
        <f t="shared" si="16"/>
        <v>0.375</v>
      </c>
      <c r="AJ20" s="105">
        <f t="shared" si="18"/>
        <v>-0.3186393639643752</v>
      </c>
      <c r="AK20" s="107"/>
    </row>
    <row r="21" spans="2:37" ht="15.9" thickBot="1" x14ac:dyDescent="0.65">
      <c r="B21" s="67" t="s">
        <v>17</v>
      </c>
      <c r="C21" s="161">
        <v>1.9277108433734937</v>
      </c>
      <c r="D21" s="155">
        <v>2.0554984583761562</v>
      </c>
      <c r="E21" s="156">
        <v>2.6212319790301439</v>
      </c>
      <c r="F21" s="24"/>
      <c r="G21" s="25">
        <f t="shared" si="0"/>
        <v>-2.5012692083854482E-2</v>
      </c>
      <c r="H21" s="26">
        <f t="shared" si="1"/>
        <v>-0.23597174439088131</v>
      </c>
      <c r="I21" s="26">
        <f t="shared" si="5"/>
        <v>-0.56245953670514282</v>
      </c>
      <c r="J21" s="26">
        <f t="shared" si="2"/>
        <v>-0.83148071350034214</v>
      </c>
      <c r="K21" s="26">
        <f t="shared" si="6"/>
        <v>-0.43467192170248037</v>
      </c>
      <c r="L21" s="27">
        <f t="shared" si="3"/>
        <v>-0.70369309849767969</v>
      </c>
      <c r="V21" s="117"/>
      <c r="W21" s="118">
        <f t="shared" si="8"/>
        <v>2.9462312791554135</v>
      </c>
      <c r="X21" s="147">
        <f t="shared" si="9"/>
        <v>29</v>
      </c>
      <c r="Y21" s="148">
        <f t="shared" si="10"/>
        <v>0.79166666666666663</v>
      </c>
      <c r="Z21" s="105">
        <f t="shared" si="19"/>
        <v>0.81221780149991241</v>
      </c>
      <c r="AA21" s="116"/>
      <c r="AB21" s="118">
        <f t="shared" si="11"/>
        <v>2.9289724188430561</v>
      </c>
      <c r="AC21" s="147">
        <f t="shared" si="12"/>
        <v>29</v>
      </c>
      <c r="AD21" s="149">
        <f t="shared" si="13"/>
        <v>0.79166666666666663</v>
      </c>
      <c r="AE21" s="105">
        <f>_xlfn.NORM.S.INV(AD21)</f>
        <v>0.81221780149991241</v>
      </c>
      <c r="AF21" s="16"/>
      <c r="AG21" s="118">
        <f t="shared" si="14"/>
        <v>3.162055335968379</v>
      </c>
      <c r="AH21" s="147">
        <f t="shared" si="15"/>
        <v>26</v>
      </c>
      <c r="AI21" s="149">
        <f t="shared" si="16"/>
        <v>0.70833333333333337</v>
      </c>
      <c r="AJ21" s="105">
        <f>_xlfn.NORM.S.INV(AI21)</f>
        <v>0.54852228269809822</v>
      </c>
      <c r="AK21" s="107"/>
    </row>
    <row r="22" spans="2:37" ht="15.9" thickBot="1" x14ac:dyDescent="0.65">
      <c r="B22" s="67" t="s">
        <v>18</v>
      </c>
      <c r="C22" s="161">
        <v>2.3663971603234075</v>
      </c>
      <c r="D22" s="155">
        <v>2.3506366307541624</v>
      </c>
      <c r="E22" s="156">
        <v>2.1802325581395348</v>
      </c>
      <c r="F22" s="24"/>
      <c r="G22" s="25">
        <f t="shared" si="0"/>
        <v>0.13329236110695319</v>
      </c>
      <c r="H22" s="26">
        <f t="shared" si="1"/>
        <v>-0.10795718783886876</v>
      </c>
      <c r="I22" s="26">
        <f t="shared" si="5"/>
        <v>0.29517623009084959</v>
      </c>
      <c r="J22" s="26">
        <f t="shared" si="2"/>
        <v>7.1415520176528524E-2</v>
      </c>
      <c r="K22" s="26">
        <f t="shared" si="6"/>
        <v>0.27941570052160447</v>
      </c>
      <c r="L22" s="27">
        <f t="shared" si="3"/>
        <v>5.5654990607283406E-2</v>
      </c>
      <c r="N22" s="56" t="s">
        <v>63</v>
      </c>
      <c r="V22" s="117"/>
      <c r="W22" s="118">
        <f t="shared" si="8"/>
        <v>3.1047865459249677</v>
      </c>
      <c r="X22" s="147">
        <f t="shared" si="9"/>
        <v>32</v>
      </c>
      <c r="Y22" s="148">
        <f t="shared" si="10"/>
        <v>0.875</v>
      </c>
      <c r="Z22" s="105">
        <f t="shared" si="19"/>
        <v>1.1503493803760083</v>
      </c>
      <c r="AA22" s="116"/>
      <c r="AB22" s="118">
        <f t="shared" si="11"/>
        <v>3.1225604996096803</v>
      </c>
      <c r="AC22" s="147">
        <f t="shared" si="12"/>
        <v>33</v>
      </c>
      <c r="AD22" s="149">
        <f t="shared" si="13"/>
        <v>0.90277777777777779</v>
      </c>
      <c r="AE22" s="105">
        <f t="shared" ref="AE22:AE42" si="20">_xlfn.NORM.S.INV(AD22)</f>
        <v>1.2975429286165541</v>
      </c>
      <c r="AF22" s="16"/>
      <c r="AG22" s="118">
        <f t="shared" si="14"/>
        <v>4.1724617524339367</v>
      </c>
      <c r="AH22" s="147">
        <f t="shared" si="15"/>
        <v>33</v>
      </c>
      <c r="AI22" s="149">
        <f t="shared" si="16"/>
        <v>0.90277777777777779</v>
      </c>
      <c r="AJ22" s="105">
        <f t="shared" ref="AJ22:AJ43" si="21">_xlfn.NORM.S.INV(AI22)</f>
        <v>1.2975429286165541</v>
      </c>
      <c r="AK22" s="107"/>
    </row>
    <row r="23" spans="2:37" ht="15.9" thickBot="1" x14ac:dyDescent="0.65">
      <c r="B23" s="67" t="s">
        <v>19</v>
      </c>
      <c r="C23" s="161">
        <v>1.282188267977348</v>
      </c>
      <c r="D23" s="155">
        <v>1.2782275244993608</v>
      </c>
      <c r="E23" s="156">
        <v>1.9408054342552159</v>
      </c>
      <c r="F23" s="24"/>
      <c r="G23" s="25">
        <f t="shared" si="0"/>
        <v>6.7872119702955258E-2</v>
      </c>
      <c r="H23" s="26">
        <f t="shared" si="1"/>
        <v>-6.3314389390400239E-2</v>
      </c>
      <c r="I23" s="26">
        <f t="shared" si="5"/>
        <v>-0.56157689456510695</v>
      </c>
      <c r="J23" s="26">
        <f t="shared" si="2"/>
        <v>-0.76076482071235318</v>
      </c>
      <c r="K23" s="26">
        <f t="shared" si="6"/>
        <v>-0.56553763804309409</v>
      </c>
      <c r="L23" s="27">
        <f t="shared" si="3"/>
        <v>-0.76472556419034032</v>
      </c>
      <c r="N23" s="55">
        <v>3</v>
      </c>
      <c r="V23" s="117"/>
      <c r="W23" s="118">
        <f t="shared" si="8"/>
        <v>2.7063599458728009</v>
      </c>
      <c r="X23" s="147">
        <f t="shared" si="9"/>
        <v>28</v>
      </c>
      <c r="Y23" s="148">
        <f t="shared" si="10"/>
        <v>0.76388888888888884</v>
      </c>
      <c r="Z23" s="105">
        <f>_xlfn.NORM.S.INV(Y23)</f>
        <v>0.71886805282271604</v>
      </c>
      <c r="AA23" s="116"/>
      <c r="AB23" s="118">
        <f t="shared" si="11"/>
        <v>2.7497708524289641</v>
      </c>
      <c r="AC23" s="147">
        <f t="shared" si="12"/>
        <v>27</v>
      </c>
      <c r="AD23" s="149">
        <f t="shared" si="13"/>
        <v>0.73611111111111116</v>
      </c>
      <c r="AE23" s="105">
        <f t="shared" si="20"/>
        <v>0.63140189423976112</v>
      </c>
      <c r="AF23" s="16"/>
      <c r="AG23" s="118">
        <f t="shared" si="14"/>
        <v>2.7441115938714837</v>
      </c>
      <c r="AH23" s="147">
        <f t="shared" si="15"/>
        <v>22</v>
      </c>
      <c r="AI23" s="149">
        <f t="shared" si="16"/>
        <v>0.59722222222222221</v>
      </c>
      <c r="AJ23" s="105">
        <f t="shared" si="21"/>
        <v>0.24616364666135951</v>
      </c>
      <c r="AK23" s="107"/>
    </row>
    <row r="24" spans="2:37" ht="15.6" x14ac:dyDescent="0.6">
      <c r="B24" s="67" t="s">
        <v>20</v>
      </c>
      <c r="C24" s="161">
        <v>1.6958733747880161</v>
      </c>
      <c r="D24" s="155">
        <v>1.6364380199099959</v>
      </c>
      <c r="E24" s="156">
        <v>1.9930244145490781</v>
      </c>
      <c r="F24" s="24"/>
      <c r="G24" s="25">
        <f t="shared" si="0"/>
        <v>0.14125725587352012</v>
      </c>
      <c r="H24" s="26">
        <f t="shared" si="1"/>
        <v>-2.6692961959348116E-2</v>
      </c>
      <c r="I24" s="26">
        <f t="shared" si="5"/>
        <v>-0.19749981903360792</v>
      </c>
      <c r="J24" s="26">
        <f t="shared" si="2"/>
        <v>-0.40204706157943471</v>
      </c>
      <c r="K24" s="26">
        <f t="shared" si="6"/>
        <v>-0.25693517391162812</v>
      </c>
      <c r="L24" s="27">
        <f t="shared" si="3"/>
        <v>-0.46148241645745491</v>
      </c>
      <c r="N24" s="6"/>
      <c r="V24" s="117"/>
      <c r="W24" s="118">
        <f t="shared" si="8"/>
        <v>2.6212319790301439</v>
      </c>
      <c r="X24" s="147">
        <f t="shared" si="9"/>
        <v>25</v>
      </c>
      <c r="Y24" s="148">
        <f t="shared" si="10"/>
        <v>0.68055555555555558</v>
      </c>
      <c r="Z24" s="105">
        <f t="shared" ref="Z24:Z41" si="22">_xlfn.NORM.S.INV(Y24)</f>
        <v>0.46925288381280222</v>
      </c>
      <c r="AA24" s="116"/>
      <c r="AB24" s="118">
        <f t="shared" si="11"/>
        <v>2.6513477684489617</v>
      </c>
      <c r="AC24" s="147">
        <f t="shared" si="12"/>
        <v>26</v>
      </c>
      <c r="AD24" s="149">
        <f t="shared" si="13"/>
        <v>0.70833333333333337</v>
      </c>
      <c r="AE24" s="105">
        <f t="shared" si="20"/>
        <v>0.54852228269809822</v>
      </c>
      <c r="AF24" s="16"/>
      <c r="AG24" s="118">
        <f t="shared" si="14"/>
        <v>2.6115342763873777</v>
      </c>
      <c r="AH24" s="147">
        <f t="shared" si="15"/>
        <v>18</v>
      </c>
      <c r="AI24" s="149">
        <f t="shared" si="16"/>
        <v>0.4861111111111111</v>
      </c>
      <c r="AJ24" s="105">
        <f t="shared" si="21"/>
        <v>-3.4821317260347699E-2</v>
      </c>
      <c r="AK24" s="107"/>
    </row>
    <row r="25" spans="2:37" ht="15.9" thickBot="1" x14ac:dyDescent="0.65">
      <c r="B25" s="67" t="s">
        <v>21</v>
      </c>
      <c r="C25" s="161">
        <v>2.0484807101399798</v>
      </c>
      <c r="D25" s="155">
        <v>2.0964360587002098</v>
      </c>
      <c r="E25" s="156">
        <v>2.7303754266211602</v>
      </c>
      <c r="F25" s="24"/>
      <c r="G25" s="25">
        <f t="shared" si="0"/>
        <v>5.6866454374780551E-2</v>
      </c>
      <c r="H25" s="26">
        <f t="shared" si="1"/>
        <v>-0.15829408849182025</v>
      </c>
      <c r="I25" s="26">
        <f t="shared" si="5"/>
        <v>-0.54537594515012211</v>
      </c>
      <c r="J25" s="26">
        <f t="shared" si="2"/>
        <v>-0.82559868630334687</v>
      </c>
      <c r="K25" s="26">
        <f t="shared" si="6"/>
        <v>-0.49742059658989213</v>
      </c>
      <c r="L25" s="27">
        <f t="shared" si="3"/>
        <v>-0.77764333774311689</v>
      </c>
      <c r="N25" s="6"/>
      <c r="V25" s="117"/>
      <c r="W25" s="118">
        <f t="shared" si="8"/>
        <v>2.2874571101791847</v>
      </c>
      <c r="X25" s="147">
        <f t="shared" si="9"/>
        <v>19</v>
      </c>
      <c r="Y25" s="148">
        <f t="shared" si="10"/>
        <v>0.51388888888888884</v>
      </c>
      <c r="Z25" s="105">
        <f t="shared" si="22"/>
        <v>3.482131726034756E-2</v>
      </c>
      <c r="AA25" s="116"/>
      <c r="AB25" s="118">
        <f t="shared" si="11"/>
        <v>2.4096385542168677</v>
      </c>
      <c r="AC25" s="147">
        <f t="shared" si="12"/>
        <v>23</v>
      </c>
      <c r="AD25" s="149">
        <f t="shared" si="13"/>
        <v>0.625</v>
      </c>
      <c r="AE25" s="105">
        <f t="shared" si="20"/>
        <v>0.3186393639643752</v>
      </c>
      <c r="AF25" s="16"/>
      <c r="AG25" s="118">
        <f t="shared" si="14"/>
        <v>2.625246116823452</v>
      </c>
      <c r="AH25" s="147">
        <f t="shared" si="15"/>
        <v>20</v>
      </c>
      <c r="AI25" s="149">
        <f t="shared" si="16"/>
        <v>0.54166666666666663</v>
      </c>
      <c r="AJ25" s="105">
        <f t="shared" si="21"/>
        <v>0.10463345561407525</v>
      </c>
      <c r="AK25" s="107"/>
    </row>
    <row r="26" spans="2:37" ht="15.6" x14ac:dyDescent="0.6">
      <c r="B26" s="67" t="s">
        <v>22</v>
      </c>
      <c r="C26" s="161">
        <v>2.099370188943317</v>
      </c>
      <c r="D26" s="155">
        <v>2.0668274199104375</v>
      </c>
      <c r="E26" s="156">
        <v>2.1149101163200563</v>
      </c>
      <c r="F26" s="24"/>
      <c r="G26" s="25">
        <f t="shared" si="0"/>
        <v>0.13588414002840143</v>
      </c>
      <c r="H26" s="26">
        <f t="shared" si="1"/>
        <v>-7.6237621488722596E-2</v>
      </c>
      <c r="I26" s="26">
        <f t="shared" si="5"/>
        <v>9.0205578439263689E-2</v>
      </c>
      <c r="J26" s="26">
        <f t="shared" si="2"/>
        <v>-0.12685098613042678</v>
      </c>
      <c r="K26" s="26">
        <f t="shared" si="6"/>
        <v>5.7662809406384241E-2</v>
      </c>
      <c r="L26" s="27">
        <f t="shared" si="3"/>
        <v>-0.15939375516330623</v>
      </c>
      <c r="N26" s="206" t="s">
        <v>66</v>
      </c>
      <c r="O26" s="207"/>
      <c r="P26" s="207"/>
      <c r="Q26" s="207"/>
      <c r="R26" s="207"/>
      <c r="S26" s="207"/>
      <c r="T26" s="208"/>
      <c r="V26" s="117"/>
      <c r="W26" s="118">
        <f t="shared" si="8"/>
        <v>1.9277108433734937</v>
      </c>
      <c r="X26" s="147">
        <f t="shared" si="9"/>
        <v>9</v>
      </c>
      <c r="Y26" s="148">
        <f t="shared" si="10"/>
        <v>0.2361111111111111</v>
      </c>
      <c r="Z26" s="105">
        <f t="shared" si="22"/>
        <v>-0.71886805282271549</v>
      </c>
      <c r="AA26" s="116"/>
      <c r="AB26" s="118">
        <f t="shared" si="11"/>
        <v>2.0554984583761562</v>
      </c>
      <c r="AC26" s="147">
        <f t="shared" si="12"/>
        <v>13</v>
      </c>
      <c r="AD26" s="149">
        <f t="shared" si="13"/>
        <v>0.34722222222222221</v>
      </c>
      <c r="AE26" s="105">
        <f t="shared" si="20"/>
        <v>-0.39283081364972938</v>
      </c>
      <c r="AF26" s="16"/>
      <c r="AG26" s="118">
        <f t="shared" si="14"/>
        <v>2.6212319790301439</v>
      </c>
      <c r="AH26" s="147">
        <f t="shared" si="15"/>
        <v>19</v>
      </c>
      <c r="AI26" s="149">
        <f t="shared" si="16"/>
        <v>0.51388888888888884</v>
      </c>
      <c r="AJ26" s="105">
        <f t="shared" si="21"/>
        <v>3.482131726034756E-2</v>
      </c>
      <c r="AK26" s="107"/>
    </row>
    <row r="27" spans="2:37" ht="16.8" x14ac:dyDescent="0.6">
      <c r="B27" s="67" t="s">
        <v>23</v>
      </c>
      <c r="C27" s="161">
        <v>2.2421524663677133</v>
      </c>
      <c r="D27" s="155">
        <v>2.21606648199446</v>
      </c>
      <c r="E27" s="156">
        <v>2.3006134969325154</v>
      </c>
      <c r="F27" s="24"/>
      <c r="G27" s="25">
        <f t="shared" si="0"/>
        <v>0.13688930847297653</v>
      </c>
      <c r="H27" s="26">
        <f t="shared" si="1"/>
        <v>-9.0549093626455246E-2</v>
      </c>
      <c r="I27" s="26">
        <f t="shared" si="5"/>
        <v>5.6569644281823539E-2</v>
      </c>
      <c r="J27" s="26">
        <f t="shared" si="2"/>
        <v>-0.1795459514559874</v>
      </c>
      <c r="K27" s="26">
        <f t="shared" si="6"/>
        <v>3.0483659908570271E-2</v>
      </c>
      <c r="L27" s="27">
        <f t="shared" si="3"/>
        <v>-0.20563193582924066</v>
      </c>
      <c r="N27" s="54"/>
      <c r="O27" s="209" t="s">
        <v>86</v>
      </c>
      <c r="P27" s="210"/>
      <c r="Q27" s="209" t="s">
        <v>87</v>
      </c>
      <c r="R27" s="211"/>
      <c r="S27" s="210" t="s">
        <v>88</v>
      </c>
      <c r="T27" s="212"/>
      <c r="V27" s="117"/>
      <c r="W27" s="118">
        <f t="shared" si="8"/>
        <v>2.3663971603234075</v>
      </c>
      <c r="X27" s="147">
        <f t="shared" si="9"/>
        <v>21</v>
      </c>
      <c r="Y27" s="148">
        <f t="shared" si="10"/>
        <v>0.56944444444444442</v>
      </c>
      <c r="Z27" s="105">
        <f t="shared" si="22"/>
        <v>0.17495994016573252</v>
      </c>
      <c r="AA27" s="116"/>
      <c r="AB27" s="118">
        <f t="shared" si="11"/>
        <v>2.3506366307541624</v>
      </c>
      <c r="AC27" s="147">
        <f t="shared" si="12"/>
        <v>19</v>
      </c>
      <c r="AD27" s="149">
        <f t="shared" si="13"/>
        <v>0.51388888888888884</v>
      </c>
      <c r="AE27" s="105">
        <f t="shared" si="20"/>
        <v>3.482131726034756E-2</v>
      </c>
      <c r="AF27" s="16"/>
      <c r="AG27" s="118">
        <f t="shared" si="14"/>
        <v>2.1802325581395348</v>
      </c>
      <c r="AH27" s="147">
        <f t="shared" si="15"/>
        <v>11</v>
      </c>
      <c r="AI27" s="149">
        <f t="shared" si="16"/>
        <v>0.29166666666666669</v>
      </c>
      <c r="AJ27" s="105">
        <f t="shared" si="21"/>
        <v>-0.54852228269809788</v>
      </c>
      <c r="AK27" s="107"/>
    </row>
    <row r="28" spans="2:37" ht="15.6" x14ac:dyDescent="0.6">
      <c r="B28" s="67" t="s">
        <v>24</v>
      </c>
      <c r="C28" s="161">
        <v>2.0625644551392233</v>
      </c>
      <c r="D28" s="155">
        <v>2.0335536349771224</v>
      </c>
      <c r="E28" s="156">
        <v>2.4464831804281344</v>
      </c>
      <c r="F28" s="24"/>
      <c r="G28" s="25">
        <f t="shared" si="0"/>
        <v>0.13068850191095716</v>
      </c>
      <c r="H28" s="26">
        <f t="shared" si="1"/>
        <v>-7.8018318520905794E-2</v>
      </c>
      <c r="I28" s="26">
        <f t="shared" si="5"/>
        <v>-0.2615945662675041</v>
      </c>
      <c r="J28" s="26">
        <f t="shared" si="2"/>
        <v>-0.5126809979430238</v>
      </c>
      <c r="K28" s="26">
        <f t="shared" si="6"/>
        <v>-0.29060538642960498</v>
      </c>
      <c r="L28" s="27">
        <f t="shared" si="3"/>
        <v>-0.54169181810512468</v>
      </c>
      <c r="N28" s="45" t="s">
        <v>72</v>
      </c>
      <c r="O28" s="225">
        <f>C41-D41</f>
        <v>6.1442338127704055E-3</v>
      </c>
      <c r="P28" s="226"/>
      <c r="Q28" s="225">
        <f>C41-E41</f>
        <v>-0.4681009835707628</v>
      </c>
      <c r="R28" s="227"/>
      <c r="S28" s="226">
        <f>D41-E41</f>
        <v>-0.4742452173835332</v>
      </c>
      <c r="T28" s="228"/>
      <c r="V28" s="117"/>
      <c r="W28" s="118">
        <f t="shared" si="8"/>
        <v>1.282188267977348</v>
      </c>
      <c r="X28" s="147">
        <f t="shared" si="9"/>
        <v>1</v>
      </c>
      <c r="Y28" s="148">
        <f t="shared" si="10"/>
        <v>1.3888888888888888E-2</v>
      </c>
      <c r="Z28" s="105">
        <f t="shared" si="22"/>
        <v>-2.2004105812100327</v>
      </c>
      <c r="AA28" s="116"/>
      <c r="AB28" s="118">
        <f t="shared" si="11"/>
        <v>1.2782275244993608</v>
      </c>
      <c r="AC28" s="147">
        <f t="shared" si="12"/>
        <v>1</v>
      </c>
      <c r="AD28" s="149">
        <f t="shared" si="13"/>
        <v>1.3888888888888888E-2</v>
      </c>
      <c r="AE28" s="105">
        <f t="shared" si="20"/>
        <v>-2.2004105812100327</v>
      </c>
      <c r="AF28" s="16"/>
      <c r="AG28" s="118">
        <f t="shared" si="14"/>
        <v>1.9408054342552159</v>
      </c>
      <c r="AH28" s="147">
        <f t="shared" si="15"/>
        <v>4</v>
      </c>
      <c r="AI28" s="149">
        <f t="shared" si="16"/>
        <v>9.7222222222222224E-2</v>
      </c>
      <c r="AJ28" s="105">
        <f t="shared" si="21"/>
        <v>-1.2975429286165541</v>
      </c>
      <c r="AK28" s="107"/>
    </row>
    <row r="29" spans="2:37" ht="15.6" x14ac:dyDescent="0.6">
      <c r="B29" s="67" t="s">
        <v>25</v>
      </c>
      <c r="C29" s="161">
        <v>2.956393200295639</v>
      </c>
      <c r="D29" s="155">
        <v>2.9542097488921715</v>
      </c>
      <c r="E29" s="156">
        <v>2.4509803921568625</v>
      </c>
      <c r="F29" s="24"/>
      <c r="G29" s="25">
        <f t="shared" si="0"/>
        <v>0.14989393884807622</v>
      </c>
      <c r="H29" s="26">
        <f t="shared" si="1"/>
        <v>-0.1533012722224365</v>
      </c>
      <c r="I29" s="26">
        <f t="shared" si="5"/>
        <v>0.62796182774661968</v>
      </c>
      <c r="J29" s="26">
        <f t="shared" si="2"/>
        <v>0.37641384013052059</v>
      </c>
      <c r="K29" s="26">
        <f t="shared" si="6"/>
        <v>0.62577837634315214</v>
      </c>
      <c r="L29" s="27">
        <f t="shared" si="3"/>
        <v>0.37423038872705305</v>
      </c>
      <c r="N29" s="46" t="s">
        <v>39</v>
      </c>
      <c r="O29" s="215">
        <f>C43-1</f>
        <v>35</v>
      </c>
      <c r="P29" s="216"/>
      <c r="Q29" s="215">
        <f>C43-1</f>
        <v>35</v>
      </c>
      <c r="R29" s="217"/>
      <c r="S29" s="216">
        <f>C43-1</f>
        <v>35</v>
      </c>
      <c r="T29" s="218"/>
      <c r="V29" s="117"/>
      <c r="W29" s="118">
        <f t="shared" si="8"/>
        <v>1.6958733747880161</v>
      </c>
      <c r="X29" s="147">
        <f t="shared" si="9"/>
        <v>6</v>
      </c>
      <c r="Y29" s="148">
        <f t="shared" si="10"/>
        <v>0.15277777777777779</v>
      </c>
      <c r="Z29" s="105">
        <f t="shared" si="22"/>
        <v>-1.024592392540099</v>
      </c>
      <c r="AA29" s="116"/>
      <c r="AB29" s="118">
        <f t="shared" si="11"/>
        <v>1.6364380199099959</v>
      </c>
      <c r="AC29" s="147">
        <f t="shared" si="12"/>
        <v>5</v>
      </c>
      <c r="AD29" s="149">
        <f t="shared" si="13"/>
        <v>0.125</v>
      </c>
      <c r="AE29" s="105">
        <f t="shared" si="20"/>
        <v>-1.1503493803760083</v>
      </c>
      <c r="AF29" s="16"/>
      <c r="AG29" s="118">
        <f t="shared" si="14"/>
        <v>1.9930244145490781</v>
      </c>
      <c r="AH29" s="147">
        <f t="shared" si="15"/>
        <v>6</v>
      </c>
      <c r="AI29" s="149">
        <f t="shared" si="16"/>
        <v>0.15277777777777779</v>
      </c>
      <c r="AJ29" s="105">
        <f t="shared" si="21"/>
        <v>-1.024592392540099</v>
      </c>
      <c r="AK29" s="107"/>
    </row>
    <row r="30" spans="2:37" ht="15.6" x14ac:dyDescent="0.6">
      <c r="B30" s="67" t="s">
        <v>26</v>
      </c>
      <c r="C30" s="161">
        <v>1.6103059581320449</v>
      </c>
      <c r="D30" s="155">
        <v>1.5487867836861124</v>
      </c>
      <c r="E30" s="156">
        <v>3.2768978700163847</v>
      </c>
      <c r="F30" s="24"/>
      <c r="G30" s="25">
        <f t="shared" si="0"/>
        <v>0.13895851363023826</v>
      </c>
      <c r="H30" s="26">
        <f t="shared" si="1"/>
        <v>-1.9995919432284071E-2</v>
      </c>
      <c r="I30" s="26">
        <f t="shared" si="5"/>
        <v>-1.5027470183835205</v>
      </c>
      <c r="J30" s="26">
        <f t="shared" si="2"/>
        <v>-1.8390602208325706</v>
      </c>
      <c r="K30" s="26">
        <f t="shared" si="6"/>
        <v>-1.564266192829453</v>
      </c>
      <c r="L30" s="27">
        <f t="shared" si="3"/>
        <v>-1.9005793952785031</v>
      </c>
      <c r="N30" s="47" t="s">
        <v>37</v>
      </c>
      <c r="O30" s="199">
        <f>STDEV(C48:C83)/SQRT(C43)</f>
        <v>1.801092626902695E-2</v>
      </c>
      <c r="P30" s="200"/>
      <c r="Q30" s="199">
        <f>STDEV(D48:D83)/SQRT(C43)</f>
        <v>0.11196358210920578</v>
      </c>
      <c r="R30" s="201"/>
      <c r="S30" s="200">
        <f>STDEV(E48:E83)/SQRT(C43)</f>
        <v>0.11190198809917362</v>
      </c>
      <c r="T30" s="202"/>
      <c r="V30" s="117"/>
      <c r="W30" s="118">
        <f t="shared" si="8"/>
        <v>2.0484807101399798</v>
      </c>
      <c r="X30" s="147">
        <f t="shared" si="9"/>
        <v>13</v>
      </c>
      <c r="Y30" s="148">
        <f t="shared" si="10"/>
        <v>0.34722222222222221</v>
      </c>
      <c r="Z30" s="105">
        <f t="shared" si="22"/>
        <v>-0.39283081364972938</v>
      </c>
      <c r="AA30" s="116"/>
      <c r="AB30" s="118">
        <f t="shared" si="11"/>
        <v>2.0964360587002098</v>
      </c>
      <c r="AC30" s="147">
        <f t="shared" si="12"/>
        <v>16</v>
      </c>
      <c r="AD30" s="149">
        <f t="shared" si="13"/>
        <v>0.43055555555555558</v>
      </c>
      <c r="AE30" s="105">
        <f t="shared" si="20"/>
        <v>-0.17495994016573252</v>
      </c>
      <c r="AF30" s="16"/>
      <c r="AG30" s="118">
        <f t="shared" si="14"/>
        <v>2.7303754266211602</v>
      </c>
      <c r="AH30" s="147">
        <f t="shared" si="15"/>
        <v>21</v>
      </c>
      <c r="AI30" s="149">
        <f t="shared" si="16"/>
        <v>0.56944444444444442</v>
      </c>
      <c r="AJ30" s="105">
        <f t="shared" si="21"/>
        <v>0.17495994016573252</v>
      </c>
      <c r="AK30" s="107"/>
    </row>
    <row r="31" spans="2:37" ht="15.6" x14ac:dyDescent="0.6">
      <c r="B31" s="67" t="s">
        <v>27</v>
      </c>
      <c r="C31" s="161">
        <v>1.5120967741935485</v>
      </c>
      <c r="D31" s="155">
        <v>1.5290519877675843</v>
      </c>
      <c r="E31" s="156">
        <v>2.8908696699590464</v>
      </c>
      <c r="F31" s="24"/>
      <c r="G31" s="25">
        <f t="shared" si="0"/>
        <v>5.9497385814343495E-2</v>
      </c>
      <c r="H31" s="26">
        <f t="shared" si="1"/>
        <v>-9.7431633982856036E-2</v>
      </c>
      <c r="I31" s="26">
        <f t="shared" si="5"/>
        <v>-1.2342294122675455</v>
      </c>
      <c r="J31" s="26">
        <f t="shared" si="2"/>
        <v>-1.5309239310265004</v>
      </c>
      <c r="K31" s="26">
        <f t="shared" si="6"/>
        <v>-1.2172741986935096</v>
      </c>
      <c r="L31" s="27">
        <f t="shared" si="3"/>
        <v>-1.5139687174524645</v>
      </c>
      <c r="N31" s="46" t="s">
        <v>38</v>
      </c>
      <c r="O31" s="229">
        <f>O28/O30</f>
        <v>0.34113924631053144</v>
      </c>
      <c r="P31" s="230"/>
      <c r="Q31" s="229">
        <f>Q28/Q30</f>
        <v>-4.1808325060035303</v>
      </c>
      <c r="R31" s="231"/>
      <c r="S31" s="230">
        <f>S28/S30</f>
        <v>-4.2380410342953994</v>
      </c>
      <c r="T31" s="232"/>
      <c r="V31" s="117"/>
      <c r="W31" s="118">
        <f t="shared" si="8"/>
        <v>2.099370188943317</v>
      </c>
      <c r="X31" s="147">
        <f t="shared" si="9"/>
        <v>16</v>
      </c>
      <c r="Y31" s="148">
        <f t="shared" si="10"/>
        <v>0.43055555555555558</v>
      </c>
      <c r="Z31" s="105">
        <f t="shared" si="22"/>
        <v>-0.17495994016573252</v>
      </c>
      <c r="AA31" s="116"/>
      <c r="AB31" s="118">
        <f t="shared" si="11"/>
        <v>2.0668274199104375</v>
      </c>
      <c r="AC31" s="147">
        <f t="shared" si="12"/>
        <v>14</v>
      </c>
      <c r="AD31" s="149">
        <f t="shared" si="13"/>
        <v>0.375</v>
      </c>
      <c r="AE31" s="105">
        <f t="shared" si="20"/>
        <v>-0.3186393639643752</v>
      </c>
      <c r="AF31" s="16"/>
      <c r="AG31" s="118">
        <f t="shared" si="14"/>
        <v>2.1149101163200563</v>
      </c>
      <c r="AH31" s="147">
        <f t="shared" si="15"/>
        <v>10</v>
      </c>
      <c r="AI31" s="149">
        <f t="shared" si="16"/>
        <v>0.2638888888888889</v>
      </c>
      <c r="AJ31" s="105">
        <f t="shared" si="21"/>
        <v>-0.6314018942397609</v>
      </c>
      <c r="AK31" s="107"/>
    </row>
    <row r="32" spans="2:37" ht="15.6" x14ac:dyDescent="0.6">
      <c r="B32" s="67" t="s">
        <v>28</v>
      </c>
      <c r="C32" s="161">
        <v>1.9292604501607717</v>
      </c>
      <c r="D32" s="155">
        <v>1.9851116625310172</v>
      </c>
      <c r="E32" s="156">
        <v>2.0979020979020979</v>
      </c>
      <c r="F32" s="24"/>
      <c r="G32" s="25">
        <f t="shared" si="0"/>
        <v>4.3404370756305433E-2</v>
      </c>
      <c r="H32" s="26">
        <f t="shared" si="1"/>
        <v>-0.16033077355608838</v>
      </c>
      <c r="I32" s="26">
        <f t="shared" si="5"/>
        <v>-6.3746542846221166E-2</v>
      </c>
      <c r="J32" s="26">
        <f t="shared" si="2"/>
        <v>-0.27905754763091051</v>
      </c>
      <c r="K32" s="26">
        <f t="shared" si="6"/>
        <v>-7.8953304759756815E-3</v>
      </c>
      <c r="L32" s="27">
        <f t="shared" si="3"/>
        <v>-0.22320633526066502</v>
      </c>
      <c r="N32" s="46" t="s">
        <v>57</v>
      </c>
      <c r="O32" s="221">
        <f>_xlfn.T.DIST.2T(ABS(O31),O29)</f>
        <v>0.73503828382734482</v>
      </c>
      <c r="P32" s="222"/>
      <c r="Q32" s="221">
        <f>_xlfn.T.DIST.2T(ABS(Q31),Q29)</f>
        <v>1.8444476732556046E-4</v>
      </c>
      <c r="R32" s="223"/>
      <c r="S32" s="222">
        <f>_xlfn.T.DIST.2T(ABS(S31),S29)</f>
        <v>1.5596490499783348E-4</v>
      </c>
      <c r="T32" s="224"/>
      <c r="V32" s="117"/>
      <c r="W32" s="118">
        <f t="shared" si="8"/>
        <v>2.2421524663677133</v>
      </c>
      <c r="X32" s="147">
        <f t="shared" si="9"/>
        <v>17</v>
      </c>
      <c r="Y32" s="148">
        <f t="shared" si="10"/>
        <v>0.45833333333333331</v>
      </c>
      <c r="Z32" s="105">
        <f t="shared" si="22"/>
        <v>-0.10463345561407539</v>
      </c>
      <c r="AA32" s="116"/>
      <c r="AB32" s="118">
        <f t="shared" si="11"/>
        <v>2.21606648199446</v>
      </c>
      <c r="AC32" s="147">
        <f t="shared" si="12"/>
        <v>17</v>
      </c>
      <c r="AD32" s="149">
        <f t="shared" si="13"/>
        <v>0.45833333333333331</v>
      </c>
      <c r="AE32" s="105">
        <f t="shared" si="20"/>
        <v>-0.10463345561407539</v>
      </c>
      <c r="AF32" s="16"/>
      <c r="AG32" s="118">
        <f t="shared" si="14"/>
        <v>2.3006134969325154</v>
      </c>
      <c r="AH32" s="147">
        <f t="shared" si="15"/>
        <v>13</v>
      </c>
      <c r="AI32" s="149">
        <f t="shared" si="16"/>
        <v>0.34722222222222221</v>
      </c>
      <c r="AJ32" s="105">
        <f t="shared" si="21"/>
        <v>-0.39283081364972938</v>
      </c>
      <c r="AK32" s="107"/>
    </row>
    <row r="33" spans="2:37" ht="15.6" x14ac:dyDescent="0.6">
      <c r="B33" s="67" t="s">
        <v>29</v>
      </c>
      <c r="C33" s="161">
        <v>2.0847810979847115</v>
      </c>
      <c r="D33" s="155">
        <v>2.0678959159055661</v>
      </c>
      <c r="E33" s="156">
        <v>2.9048656499636891</v>
      </c>
      <c r="F33" s="24"/>
      <c r="G33" s="25">
        <f t="shared" si="0"/>
        <v>0.12027997787442368</v>
      </c>
      <c r="H33" s="26">
        <f t="shared" si="1"/>
        <v>-9.1951445073779059E-2</v>
      </c>
      <c r="I33" s="26">
        <f t="shared" si="5"/>
        <v>-0.67484126948079304</v>
      </c>
      <c r="J33" s="26">
        <f t="shared" si="2"/>
        <v>-0.9729722177665403</v>
      </c>
      <c r="K33" s="26">
        <f t="shared" si="6"/>
        <v>-0.69172645155993839</v>
      </c>
      <c r="L33" s="27">
        <f t="shared" si="3"/>
        <v>-0.98985739984568566</v>
      </c>
      <c r="N33" s="46" t="s">
        <v>62</v>
      </c>
      <c r="O33" s="221">
        <f>IF((_xlfn.T.DIST.2T(ABS(O31),O29))*$N23&lt;=1,(_xlfn.T.DIST.2T(ABS(O31),O29))*$N23,1)</f>
        <v>1</v>
      </c>
      <c r="P33" s="222"/>
      <c r="Q33" s="221">
        <f>IF((_xlfn.T.DIST.2T(ABS(Q31),Q29))*$N23&lt;=1,(_xlfn.T.DIST.2T(ABS(Q31),Q29))*$N23,1)</f>
        <v>5.5333430197668134E-4</v>
      </c>
      <c r="R33" s="223"/>
      <c r="S33" s="222">
        <f>IF((_xlfn.T.DIST.2T(ABS(S31),S29))*$N23&lt;=1,(_xlfn.T.DIST.2T(ABS(S31),S29))*$N23,1)</f>
        <v>4.6789471499350044E-4</v>
      </c>
      <c r="T33" s="224"/>
      <c r="V33" s="117"/>
      <c r="W33" s="118">
        <f t="shared" si="8"/>
        <v>2.0625644551392233</v>
      </c>
      <c r="X33" s="147">
        <f t="shared" si="9"/>
        <v>14</v>
      </c>
      <c r="Y33" s="148">
        <f t="shared" si="10"/>
        <v>0.375</v>
      </c>
      <c r="Z33" s="105">
        <f t="shared" si="22"/>
        <v>-0.3186393639643752</v>
      </c>
      <c r="AA33" s="116"/>
      <c r="AB33" s="118">
        <f t="shared" si="11"/>
        <v>2.0335536349771224</v>
      </c>
      <c r="AC33" s="147">
        <f t="shared" si="12"/>
        <v>12</v>
      </c>
      <c r="AD33" s="149">
        <f t="shared" si="13"/>
        <v>0.31944444444444442</v>
      </c>
      <c r="AE33" s="105">
        <f t="shared" si="20"/>
        <v>-0.46925288381280222</v>
      </c>
      <c r="AF33" s="16"/>
      <c r="AG33" s="118">
        <f t="shared" si="14"/>
        <v>2.4464831804281344</v>
      </c>
      <c r="AH33" s="147">
        <f t="shared" si="15"/>
        <v>15</v>
      </c>
      <c r="AI33" s="149">
        <f t="shared" si="16"/>
        <v>0.40277777777777779</v>
      </c>
      <c r="AJ33" s="105">
        <f t="shared" si="21"/>
        <v>-0.24616364666135951</v>
      </c>
      <c r="AK33" s="107"/>
    </row>
    <row r="34" spans="2:37" ht="15.6" x14ac:dyDescent="0.6">
      <c r="B34" s="67" t="s">
        <v>30</v>
      </c>
      <c r="C34" s="161">
        <v>2.3645320197044337</v>
      </c>
      <c r="D34" s="155">
        <v>2.358490566037736</v>
      </c>
      <c r="E34" s="156">
        <v>1.9766101136550815</v>
      </c>
      <c r="F34" s="24"/>
      <c r="G34" s="25">
        <f t="shared" si="0"/>
        <v>0.12396598196858477</v>
      </c>
      <c r="H34" s="26">
        <f t="shared" si="1"/>
        <v>-0.1180896287563411</v>
      </c>
      <c r="I34" s="26">
        <f t="shared" si="5"/>
        <v>0.48675241173210626</v>
      </c>
      <c r="J34" s="26">
        <f t="shared" si="2"/>
        <v>0.28388979480434795</v>
      </c>
      <c r="K34" s="26">
        <f t="shared" si="6"/>
        <v>0.48071095806540853</v>
      </c>
      <c r="L34" s="27">
        <f t="shared" si="3"/>
        <v>0.27784834113765022</v>
      </c>
      <c r="N34" s="47" t="s">
        <v>58</v>
      </c>
      <c r="O34" s="199">
        <f>O28-_xlfn.T.INV.2T($N20,O29)*O30</f>
        <v>-3.0419890401113592E-2</v>
      </c>
      <c r="P34" s="200"/>
      <c r="Q34" s="199">
        <f>Q28-_xlfn.T.INV.2T($N20,Q29)*Q30</f>
        <v>-0.69539913928596975</v>
      </c>
      <c r="R34" s="201"/>
      <c r="S34" s="200">
        <f>S28-_xlfn.T.INV.2T($N20,S29)*S30</f>
        <v>-0.70141833061064118</v>
      </c>
      <c r="T34" s="202"/>
      <c r="V34" s="117"/>
      <c r="W34" s="118">
        <f t="shared" si="8"/>
        <v>2.956393200295639</v>
      </c>
      <c r="X34" s="147">
        <f t="shared" si="9"/>
        <v>30</v>
      </c>
      <c r="Y34" s="148">
        <f t="shared" si="10"/>
        <v>0.81944444444444442</v>
      </c>
      <c r="Z34" s="105">
        <f t="shared" si="22"/>
        <v>0.91324992668360727</v>
      </c>
      <c r="AA34" s="16"/>
      <c r="AB34" s="118">
        <f t="shared" si="11"/>
        <v>2.9542097488921715</v>
      </c>
      <c r="AC34" s="147">
        <f t="shared" si="12"/>
        <v>30</v>
      </c>
      <c r="AD34" s="149">
        <f t="shared" si="13"/>
        <v>0.81944444444444442</v>
      </c>
      <c r="AE34" s="105">
        <f t="shared" si="20"/>
        <v>0.91324992668360727</v>
      </c>
      <c r="AF34" s="16"/>
      <c r="AG34" s="118">
        <f t="shared" si="14"/>
        <v>2.4509803921568625</v>
      </c>
      <c r="AH34" s="147">
        <f t="shared" si="15"/>
        <v>16</v>
      </c>
      <c r="AI34" s="149">
        <f t="shared" si="16"/>
        <v>0.43055555555555558</v>
      </c>
      <c r="AJ34" s="105">
        <f t="shared" si="21"/>
        <v>-0.17495994016573252</v>
      </c>
      <c r="AK34" s="107"/>
    </row>
    <row r="35" spans="2:37" ht="15.6" x14ac:dyDescent="0.6">
      <c r="B35" s="67" t="s">
        <v>31</v>
      </c>
      <c r="C35" s="161">
        <v>1.6790261648244018</v>
      </c>
      <c r="D35" s="155">
        <v>1.7817371937639201</v>
      </c>
      <c r="E35" s="156">
        <v>2.0851433536055604</v>
      </c>
      <c r="F35" s="24"/>
      <c r="G35" s="25">
        <f t="shared" si="0"/>
        <v>-1.3624169251322149E-2</v>
      </c>
      <c r="H35" s="26">
        <f t="shared" si="1"/>
        <v>-0.19648667071656689</v>
      </c>
      <c r="I35" s="26">
        <f t="shared" si="5"/>
        <v>-0.30186002110088039</v>
      </c>
      <c r="J35" s="26">
        <f t="shared" si="2"/>
        <v>-0.51586157581303005</v>
      </c>
      <c r="K35" s="26">
        <f t="shared" si="6"/>
        <v>-0.19914899216136206</v>
      </c>
      <c r="L35" s="27">
        <f t="shared" si="3"/>
        <v>-0.41315054687351171</v>
      </c>
      <c r="N35" s="47" t="s">
        <v>59</v>
      </c>
      <c r="O35" s="199">
        <f>O28+_xlfn.T.INV.2T($N20,O29)*O30</f>
        <v>4.2708358026654403E-2</v>
      </c>
      <c r="P35" s="200"/>
      <c r="Q35" s="199">
        <f>Q28+_xlfn.T.INV.2T($N20,Q29)*Q30</f>
        <v>-0.24080282785555579</v>
      </c>
      <c r="R35" s="201"/>
      <c r="S35" s="200">
        <f>S28+_xlfn.T.INV.2T($N20,S29)*S30</f>
        <v>-0.24707210415642522</v>
      </c>
      <c r="T35" s="202"/>
      <c r="V35" s="117"/>
      <c r="W35" s="118">
        <f t="shared" si="8"/>
        <v>1.6103059581320449</v>
      </c>
      <c r="X35" s="147">
        <f t="shared" si="9"/>
        <v>4</v>
      </c>
      <c r="Y35" s="148">
        <f t="shared" si="10"/>
        <v>9.7222222222222224E-2</v>
      </c>
      <c r="Z35" s="105">
        <f t="shared" si="22"/>
        <v>-1.2975429286165541</v>
      </c>
      <c r="AA35" s="16"/>
      <c r="AB35" s="118">
        <f t="shared" si="11"/>
        <v>1.5487867836861124</v>
      </c>
      <c r="AC35" s="147">
        <f t="shared" si="12"/>
        <v>4</v>
      </c>
      <c r="AD35" s="149">
        <f t="shared" si="13"/>
        <v>9.7222222222222224E-2</v>
      </c>
      <c r="AE35" s="105">
        <f t="shared" si="20"/>
        <v>-1.2975429286165541</v>
      </c>
      <c r="AF35" s="16"/>
      <c r="AG35" s="118">
        <f t="shared" si="14"/>
        <v>3.2768978700163847</v>
      </c>
      <c r="AH35" s="147">
        <f t="shared" si="15"/>
        <v>29</v>
      </c>
      <c r="AI35" s="149">
        <f t="shared" si="16"/>
        <v>0.79166666666666663</v>
      </c>
      <c r="AJ35" s="105">
        <f t="shared" si="21"/>
        <v>0.81221780149991241</v>
      </c>
      <c r="AK35" s="107"/>
    </row>
    <row r="36" spans="2:37" ht="15.6" x14ac:dyDescent="0.6">
      <c r="B36" s="67" t="s">
        <v>32</v>
      </c>
      <c r="C36" s="161">
        <v>2.0134228187919461</v>
      </c>
      <c r="D36" s="155">
        <v>1.9601437438745508</v>
      </c>
      <c r="E36" s="156">
        <v>1.7157563625965113</v>
      </c>
      <c r="F36" s="24"/>
      <c r="G36" s="25">
        <f>C36-(1-$N$17/100)*D36</f>
        <v>0.15128626211112284</v>
      </c>
      <c r="H36" s="26">
        <f>C36-D36/(1-$N$17/100)</f>
        <v>-4.9886385286528778E-2</v>
      </c>
      <c r="I36" s="26">
        <f>C36-(1-$N$17/100)*E36</f>
        <v>0.38345427432526047</v>
      </c>
      <c r="J36" s="26">
        <f>C36-E36/(1-$N$17/100)</f>
        <v>0.2073634897429868</v>
      </c>
      <c r="K36" s="26">
        <f>D36-(1-$N$17/100)*E36</f>
        <v>0.33017519940786522</v>
      </c>
      <c r="L36" s="27">
        <f>D36-E36/(1-$N$17/100)</f>
        <v>0.15408441482559154</v>
      </c>
      <c r="N36" s="47" t="s">
        <v>60</v>
      </c>
      <c r="O36" s="199">
        <f>O28-_xlfn.T.INV.2T($N20/$N23,O29)*O30</f>
        <v>-3.9144994417711083E-2</v>
      </c>
      <c r="P36" s="200"/>
      <c r="Q36" s="199">
        <f>Q28-_xlfn.T.INV.2T($N20/$N23,Q29)*Q30</f>
        <v>-0.74963809875878828</v>
      </c>
      <c r="R36" s="201"/>
      <c r="S36" s="200">
        <f>S28-_xlfn.T.INV.2T($N20/$N23,S29)*S30</f>
        <v>-0.75562745185435909</v>
      </c>
      <c r="T36" s="202"/>
      <c r="V36" s="117"/>
      <c r="W36" s="118">
        <f t="shared" si="8"/>
        <v>1.5120967741935485</v>
      </c>
      <c r="X36" s="147">
        <f t="shared" si="9"/>
        <v>2</v>
      </c>
      <c r="Y36" s="148">
        <f t="shared" si="10"/>
        <v>4.1666666666666664E-2</v>
      </c>
      <c r="Z36" s="105">
        <f t="shared" si="22"/>
        <v>-1.7316643961222451</v>
      </c>
      <c r="AA36" s="16"/>
      <c r="AB36" s="118">
        <f t="shared" si="11"/>
        <v>1.5290519877675843</v>
      </c>
      <c r="AC36" s="147">
        <f t="shared" si="12"/>
        <v>3</v>
      </c>
      <c r="AD36" s="149">
        <f t="shared" si="13"/>
        <v>6.9444444444444448E-2</v>
      </c>
      <c r="AE36" s="105">
        <f t="shared" si="20"/>
        <v>-1.4799413890351922</v>
      </c>
      <c r="AF36" s="16"/>
      <c r="AG36" s="118">
        <f t="shared" si="14"/>
        <v>2.8908696699590464</v>
      </c>
      <c r="AH36" s="147">
        <f t="shared" si="15"/>
        <v>23</v>
      </c>
      <c r="AI36" s="149">
        <f t="shared" si="16"/>
        <v>0.625</v>
      </c>
      <c r="AJ36" s="105">
        <f t="shared" si="21"/>
        <v>0.3186393639643752</v>
      </c>
      <c r="AK36" s="107"/>
    </row>
    <row r="37" spans="2:37" ht="15.9" thickBot="1" x14ac:dyDescent="0.65">
      <c r="B37" s="67" t="s">
        <v>33</v>
      </c>
      <c r="C37" s="161">
        <v>2.3871096081161722</v>
      </c>
      <c r="D37" s="155">
        <v>2.3976023976023977</v>
      </c>
      <c r="E37" s="156">
        <v>2.9347028613352899</v>
      </c>
      <c r="F37" s="24"/>
      <c r="G37" s="25">
        <f>C37-(1-$N$17/100)*D37</f>
        <v>0.10938733039389437</v>
      </c>
      <c r="H37" s="26">
        <f>C37-D37/(1-$N$17/100)</f>
        <v>-0.13668238936003618</v>
      </c>
      <c r="I37" s="26">
        <f>C37-(1-$N$17/100)*E37</f>
        <v>-0.40085811015235295</v>
      </c>
      <c r="J37" s="26">
        <f>C37-E37/(1-$N$17/100)</f>
        <v>-0.70205129855255421</v>
      </c>
      <c r="K37" s="26">
        <f>D37-(1-$N$17/100)*E37</f>
        <v>-0.3903653206661275</v>
      </c>
      <c r="L37" s="27">
        <f>D37-E37/(1-$N$17/100)</f>
        <v>-0.69155850906632876</v>
      </c>
      <c r="N37" s="48" t="s">
        <v>61</v>
      </c>
      <c r="O37" s="195">
        <f>O28+_xlfn.T.INV.2T($N20/$N23,O29)*O30</f>
        <v>5.1433462043251894E-2</v>
      </c>
      <c r="P37" s="196"/>
      <c r="Q37" s="195">
        <f>Q28+_xlfn.T.INV.2T($N20/$N23,Q29)*Q30</f>
        <v>-0.18656386838273731</v>
      </c>
      <c r="R37" s="197"/>
      <c r="S37" s="196">
        <f>S28+_xlfn.T.INV.2T($N20/$N23,S29)*S30</f>
        <v>-0.19286298291270737</v>
      </c>
      <c r="T37" s="198"/>
      <c r="V37" s="117"/>
      <c r="W37" s="118">
        <f t="shared" si="8"/>
        <v>1.9292604501607717</v>
      </c>
      <c r="X37" s="147">
        <f t="shared" si="9"/>
        <v>10</v>
      </c>
      <c r="Y37" s="148">
        <f t="shared" si="10"/>
        <v>0.2638888888888889</v>
      </c>
      <c r="Z37" s="105">
        <f t="shared" si="22"/>
        <v>-0.6314018942397609</v>
      </c>
      <c r="AA37" s="16"/>
      <c r="AB37" s="118">
        <f t="shared" si="11"/>
        <v>1.9851116625310172</v>
      </c>
      <c r="AC37" s="147">
        <f t="shared" si="12"/>
        <v>11</v>
      </c>
      <c r="AD37" s="149">
        <f t="shared" si="13"/>
        <v>0.29166666666666669</v>
      </c>
      <c r="AE37" s="105">
        <f t="shared" si="20"/>
        <v>-0.54852228269809788</v>
      </c>
      <c r="AF37" s="16"/>
      <c r="AG37" s="118">
        <f t="shared" si="14"/>
        <v>2.0979020979020979</v>
      </c>
      <c r="AH37" s="147">
        <f t="shared" si="15"/>
        <v>9</v>
      </c>
      <c r="AI37" s="149">
        <f t="shared" si="16"/>
        <v>0.2361111111111111</v>
      </c>
      <c r="AJ37" s="105">
        <f t="shared" si="21"/>
        <v>-0.71886805282271549</v>
      </c>
      <c r="AK37" s="107"/>
    </row>
    <row r="38" spans="2:37" ht="15.6" x14ac:dyDescent="0.6">
      <c r="B38" s="67" t="s">
        <v>34</v>
      </c>
      <c r="C38" s="161">
        <v>1.5255530129672006</v>
      </c>
      <c r="D38" s="155">
        <v>1.4785608674223756</v>
      </c>
      <c r="E38" s="156">
        <v>1.7452006980802794</v>
      </c>
      <c r="F38" s="24"/>
      <c r="G38" s="25">
        <f>C38-(1-$N$17/100)*D38</f>
        <v>0.12092018891594392</v>
      </c>
      <c r="H38" s="26">
        <f>C38-D38/(1-$N$17/100)</f>
        <v>-3.0826847477405384E-2</v>
      </c>
      <c r="I38" s="26">
        <f>C38-(1-$N$17/100)*E38</f>
        <v>-0.13238765020906484</v>
      </c>
      <c r="J38" s="26">
        <f>C38-E38/(1-$N$17/100)</f>
        <v>-0.31150035343309357</v>
      </c>
      <c r="K38" s="26">
        <f>D38-(1-$N$17/100)*E38</f>
        <v>-0.17937979575388985</v>
      </c>
      <c r="L38" s="27">
        <f>D38-E38/(1-$N$17/100)</f>
        <v>-0.35849249897791857</v>
      </c>
      <c r="V38" s="53"/>
      <c r="W38" s="118">
        <f t="shared" si="8"/>
        <v>2.0847810979847115</v>
      </c>
      <c r="X38" s="147">
        <f t="shared" si="9"/>
        <v>15</v>
      </c>
      <c r="Y38" s="148">
        <f t="shared" si="10"/>
        <v>0.40277777777777779</v>
      </c>
      <c r="Z38" s="105">
        <f t="shared" si="22"/>
        <v>-0.24616364666135951</v>
      </c>
      <c r="AB38" s="118">
        <f t="shared" si="11"/>
        <v>2.0678959159055661</v>
      </c>
      <c r="AC38" s="147">
        <f t="shared" si="12"/>
        <v>15</v>
      </c>
      <c r="AD38" s="149">
        <f t="shared" si="13"/>
        <v>0.40277777777777779</v>
      </c>
      <c r="AE38" s="105">
        <f t="shared" si="20"/>
        <v>-0.24616364666135951</v>
      </c>
      <c r="AG38" s="118">
        <f t="shared" si="14"/>
        <v>2.9048656499636891</v>
      </c>
      <c r="AH38" s="147">
        <f t="shared" si="15"/>
        <v>24</v>
      </c>
      <c r="AI38" s="149">
        <f t="shared" si="16"/>
        <v>0.65277777777777779</v>
      </c>
      <c r="AJ38" s="105">
        <f t="shared" si="21"/>
        <v>0.39283081364972938</v>
      </c>
      <c r="AK38" s="77"/>
    </row>
    <row r="39" spans="2:37" ht="15.9" thickBot="1" x14ac:dyDescent="0.65">
      <c r="B39" s="68" t="s">
        <v>35</v>
      </c>
      <c r="C39" s="157">
        <v>2.2705771050141914</v>
      </c>
      <c r="D39" s="158">
        <v>2.2383883603805259</v>
      </c>
      <c r="E39" s="159">
        <v>4.3494019572308806</v>
      </c>
      <c r="F39" s="24"/>
      <c r="G39" s="28">
        <f>C39-(1-$N$17/100)*D39</f>
        <v>0.14410816265269188</v>
      </c>
      <c r="H39" s="29">
        <f>C39-D39/(1-$N$17/100)</f>
        <v>-8.5621169070572822E-2</v>
      </c>
      <c r="I39" s="29">
        <f>C39-(1-$N$17/100)*E39</f>
        <v>-1.861354754355145</v>
      </c>
      <c r="J39" s="29">
        <f>C39-E39/(1-$N$17/100)</f>
        <v>-2.3077407447025253</v>
      </c>
      <c r="K39" s="29">
        <f>D39-(1-$N$17/100)*E39</f>
        <v>-1.8935434989888105</v>
      </c>
      <c r="L39" s="30">
        <f t="shared" si="3"/>
        <v>-2.3399294893361908</v>
      </c>
      <c r="O39" s="65"/>
      <c r="V39" s="53"/>
      <c r="W39" s="118">
        <f t="shared" si="8"/>
        <v>2.3645320197044337</v>
      </c>
      <c r="X39" s="147">
        <f t="shared" si="9"/>
        <v>20</v>
      </c>
      <c r="Y39" s="148">
        <f t="shared" si="10"/>
        <v>0.54166666666666663</v>
      </c>
      <c r="Z39" s="105">
        <f t="shared" si="22"/>
        <v>0.10463345561407525</v>
      </c>
      <c r="AB39" s="118">
        <f t="shared" si="11"/>
        <v>2.358490566037736</v>
      </c>
      <c r="AC39" s="147">
        <f t="shared" si="12"/>
        <v>21</v>
      </c>
      <c r="AD39" s="149">
        <f t="shared" si="13"/>
        <v>0.56944444444444442</v>
      </c>
      <c r="AE39" s="105">
        <f t="shared" si="20"/>
        <v>0.17495994016573252</v>
      </c>
      <c r="AG39" s="118">
        <f t="shared" si="14"/>
        <v>1.9766101136550815</v>
      </c>
      <c r="AH39" s="147">
        <f t="shared" si="15"/>
        <v>5</v>
      </c>
      <c r="AI39" s="149">
        <f t="shared" si="16"/>
        <v>0.125</v>
      </c>
      <c r="AJ39" s="105">
        <f t="shared" si="21"/>
        <v>-1.1503493803760083</v>
      </c>
      <c r="AK39" s="77"/>
    </row>
    <row r="40" spans="2:37" ht="15.9" thickBot="1" x14ac:dyDescent="0.65">
      <c r="B40" s="15"/>
      <c r="C40" s="17"/>
      <c r="D40" s="17"/>
      <c r="E40" s="17"/>
      <c r="F40" s="7"/>
      <c r="G40" s="31"/>
      <c r="H40" s="31"/>
      <c r="I40" s="31"/>
      <c r="J40" s="31"/>
      <c r="K40" s="31"/>
      <c r="L40" s="31"/>
      <c r="V40" s="53"/>
      <c r="W40" s="118">
        <f t="shared" si="8"/>
        <v>1.6790261648244018</v>
      </c>
      <c r="X40" s="147">
        <f t="shared" si="9"/>
        <v>5</v>
      </c>
      <c r="Y40" s="148">
        <f t="shared" si="10"/>
        <v>0.125</v>
      </c>
      <c r="Z40" s="105">
        <f t="shared" si="22"/>
        <v>-1.1503493803760083</v>
      </c>
      <c r="AB40" s="118">
        <f t="shared" si="11"/>
        <v>1.7817371937639201</v>
      </c>
      <c r="AC40" s="147">
        <f t="shared" si="12"/>
        <v>6</v>
      </c>
      <c r="AD40" s="149">
        <f t="shared" si="13"/>
        <v>0.15277777777777779</v>
      </c>
      <c r="AE40" s="105">
        <f t="shared" si="20"/>
        <v>-1.024592392540099</v>
      </c>
      <c r="AG40" s="118">
        <f t="shared" si="14"/>
        <v>2.0851433536055604</v>
      </c>
      <c r="AH40" s="147">
        <f t="shared" si="15"/>
        <v>7</v>
      </c>
      <c r="AI40" s="149">
        <f t="shared" si="16"/>
        <v>0.18055555555555555</v>
      </c>
      <c r="AJ40" s="105">
        <f t="shared" si="21"/>
        <v>-0.91324992668360727</v>
      </c>
      <c r="AK40" s="77"/>
    </row>
    <row r="41" spans="2:37" ht="15.6" x14ac:dyDescent="0.6">
      <c r="B41" s="42" t="s">
        <v>49</v>
      </c>
      <c r="C41" s="20">
        <f>AVERAGE(C4:C39)</f>
        <v>2.3463991963386381</v>
      </c>
      <c r="D41" s="20">
        <f>AVERAGE(D4:D39)</f>
        <v>2.3402549625258677</v>
      </c>
      <c r="E41" s="21">
        <f>AVERAGE(E4:E39)</f>
        <v>2.8145001799094009</v>
      </c>
      <c r="F41" s="12"/>
      <c r="G41" s="32">
        <f t="shared" ref="G41:L41" si="23">AVERAGE(G4:G39)</f>
        <v>0.12315698193906312</v>
      </c>
      <c r="H41" s="20">
        <f t="shared" si="23"/>
        <v>-0.11702708000438156</v>
      </c>
      <c r="I41" s="20">
        <f t="shared" si="23"/>
        <v>-0.32737597457529272</v>
      </c>
      <c r="J41" s="20">
        <f t="shared" si="23"/>
        <v>-0.61623257198704717</v>
      </c>
      <c r="K41" s="20">
        <f t="shared" si="23"/>
        <v>-0.33352020838806223</v>
      </c>
      <c r="L41" s="21">
        <f t="shared" si="23"/>
        <v>-0.62237680579981691</v>
      </c>
      <c r="V41" s="53"/>
      <c r="W41" s="118">
        <f t="shared" si="8"/>
        <v>2.0134228187919461</v>
      </c>
      <c r="X41" s="147">
        <f t="shared" si="9"/>
        <v>12</v>
      </c>
      <c r="Y41" s="148">
        <f t="shared" si="10"/>
        <v>0.31944444444444442</v>
      </c>
      <c r="Z41" s="105">
        <f t="shared" si="22"/>
        <v>-0.46925288381280222</v>
      </c>
      <c r="AB41" s="118">
        <f t="shared" si="11"/>
        <v>1.9601437438745508</v>
      </c>
      <c r="AC41" s="147">
        <f t="shared" si="12"/>
        <v>10</v>
      </c>
      <c r="AD41" s="149">
        <f t="shared" si="13"/>
        <v>0.2638888888888889</v>
      </c>
      <c r="AE41" s="105">
        <f t="shared" si="20"/>
        <v>-0.6314018942397609</v>
      </c>
      <c r="AG41" s="118">
        <f t="shared" si="14"/>
        <v>1.7157563625965113</v>
      </c>
      <c r="AH41" s="147">
        <f t="shared" si="15"/>
        <v>1</v>
      </c>
      <c r="AI41" s="149">
        <f t="shared" si="16"/>
        <v>1.3888888888888888E-2</v>
      </c>
      <c r="AJ41" s="105">
        <f t="shared" si="21"/>
        <v>-2.2004105812100327</v>
      </c>
      <c r="AK41" s="77"/>
    </row>
    <row r="42" spans="2:37" ht="15.6" x14ac:dyDescent="0.6">
      <c r="B42" s="43" t="s">
        <v>36</v>
      </c>
      <c r="C42" s="22">
        <f>STDEV(C4:C39)</f>
        <v>0.60809519650509936</v>
      </c>
      <c r="D42" s="22">
        <f>STDEV(D4:D39)</f>
        <v>0.57864840178644616</v>
      </c>
      <c r="E42" s="23">
        <f>STDEV(E4:E39)</f>
        <v>0.92284398755236985</v>
      </c>
      <c r="F42" s="13"/>
      <c r="G42" s="33">
        <f t="shared" ref="G42:L42" si="24">STDEV(G4:G39)</f>
        <v>0.11695568046781733</v>
      </c>
      <c r="H42" s="22">
        <f t="shared" si="24"/>
        <v>0.10668210040880334</v>
      </c>
      <c r="I42" s="22">
        <f t="shared" si="24"/>
        <v>0.63777887616033901</v>
      </c>
      <c r="J42" s="22">
        <f t="shared" si="24"/>
        <v>0.7090576380213548</v>
      </c>
      <c r="K42" s="22">
        <f t="shared" si="24"/>
        <v>0.63603697133622172</v>
      </c>
      <c r="L42" s="23">
        <f t="shared" si="24"/>
        <v>0.70998553808573606</v>
      </c>
      <c r="V42" s="53"/>
      <c r="W42" s="118">
        <f t="shared" si="8"/>
        <v>2.3871096081161722</v>
      </c>
      <c r="X42" s="147">
        <f t="shared" si="9"/>
        <v>22</v>
      </c>
      <c r="Y42" s="148">
        <f t="shared" si="10"/>
        <v>0.59722222222222221</v>
      </c>
      <c r="Z42" s="105">
        <f>_xlfn.NORM.S.INV(Y42)</f>
        <v>0.24616364666135951</v>
      </c>
      <c r="AB42" s="118">
        <f t="shared" si="11"/>
        <v>2.3976023976023977</v>
      </c>
      <c r="AC42" s="147">
        <f t="shared" si="12"/>
        <v>22</v>
      </c>
      <c r="AD42" s="149">
        <f t="shared" si="13"/>
        <v>0.59722222222222221</v>
      </c>
      <c r="AE42" s="105">
        <f t="shared" si="20"/>
        <v>0.24616364666135951</v>
      </c>
      <c r="AG42" s="118">
        <f t="shared" si="14"/>
        <v>2.9347028613352899</v>
      </c>
      <c r="AH42" s="147">
        <f t="shared" si="15"/>
        <v>25</v>
      </c>
      <c r="AI42" s="149">
        <f t="shared" si="16"/>
        <v>0.68055555555555558</v>
      </c>
      <c r="AJ42" s="105">
        <f t="shared" si="21"/>
        <v>0.46925288381280222</v>
      </c>
      <c r="AK42" s="77"/>
    </row>
    <row r="43" spans="2:37" ht="15.9" thickBot="1" x14ac:dyDescent="0.65">
      <c r="B43" s="44" t="s">
        <v>48</v>
      </c>
      <c r="C43" s="19">
        <f>COUNT(C4:C39)</f>
        <v>36</v>
      </c>
      <c r="D43" s="62"/>
      <c r="E43" s="63"/>
      <c r="F43" s="14"/>
      <c r="G43" s="61"/>
      <c r="H43" s="62"/>
      <c r="I43" s="62"/>
      <c r="J43" s="62"/>
      <c r="K43" s="62"/>
      <c r="L43" s="63"/>
      <c r="V43" s="53"/>
      <c r="W43" s="118">
        <f t="shared" si="8"/>
        <v>1.5255530129672006</v>
      </c>
      <c r="X43" s="147">
        <f t="shared" si="9"/>
        <v>3</v>
      </c>
      <c r="Y43" s="148">
        <f t="shared" si="10"/>
        <v>6.9444444444444448E-2</v>
      </c>
      <c r="Z43" s="105">
        <f>_xlfn.NORM.S.INV(Y43)</f>
        <v>-1.4799413890351922</v>
      </c>
      <c r="AB43" s="118">
        <f t="shared" si="11"/>
        <v>1.4785608674223756</v>
      </c>
      <c r="AC43" s="147">
        <f t="shared" si="12"/>
        <v>2</v>
      </c>
      <c r="AD43" s="149">
        <f t="shared" si="13"/>
        <v>4.1666666666666664E-2</v>
      </c>
      <c r="AE43" s="105">
        <f>_xlfn.NORM.S.INV(AD43)</f>
        <v>-1.7316643961222451</v>
      </c>
      <c r="AG43" s="118">
        <f t="shared" si="14"/>
        <v>1.7452006980802794</v>
      </c>
      <c r="AH43" s="147">
        <f t="shared" si="15"/>
        <v>2</v>
      </c>
      <c r="AI43" s="149">
        <f t="shared" si="16"/>
        <v>4.1666666666666664E-2</v>
      </c>
      <c r="AJ43" s="105">
        <f t="shared" si="21"/>
        <v>-1.7316643961222451</v>
      </c>
      <c r="AK43" s="77"/>
    </row>
    <row r="44" spans="2:37" ht="15.9" thickBot="1" x14ac:dyDescent="0.65">
      <c r="B44" s="6"/>
      <c r="C44" s="9"/>
      <c r="D44" s="9"/>
      <c r="E44" s="9"/>
      <c r="F44" s="6"/>
      <c r="G44" s="11"/>
      <c r="H44" s="11"/>
      <c r="I44" s="11"/>
      <c r="J44" s="11"/>
      <c r="K44" s="11"/>
      <c r="L44" s="11"/>
      <c r="V44" s="53"/>
      <c r="W44" s="119">
        <f t="shared" si="8"/>
        <v>2.2705771050141914</v>
      </c>
      <c r="X44" s="108">
        <f t="shared" si="9"/>
        <v>18</v>
      </c>
      <c r="Y44" s="111">
        <f t="shared" si="10"/>
        <v>0.4861111111111111</v>
      </c>
      <c r="Z44" s="110">
        <f>_xlfn.NORM.S.INV(Y44)</f>
        <v>-3.4821317260347699E-2</v>
      </c>
      <c r="AB44" s="119">
        <f t="shared" si="11"/>
        <v>2.2383883603805259</v>
      </c>
      <c r="AC44" s="108">
        <f t="shared" si="12"/>
        <v>18</v>
      </c>
      <c r="AD44" s="109">
        <f t="shared" si="13"/>
        <v>0.4861111111111111</v>
      </c>
      <c r="AE44" s="110">
        <f>_xlfn.NORM.S.INV(AD44)</f>
        <v>-3.4821317260347699E-2</v>
      </c>
      <c r="AG44" s="119">
        <f t="shared" si="14"/>
        <v>4.3494019572308806</v>
      </c>
      <c r="AH44" s="108">
        <f t="shared" si="15"/>
        <v>34</v>
      </c>
      <c r="AI44" s="109">
        <f t="shared" si="16"/>
        <v>0.93055555555555558</v>
      </c>
      <c r="AJ44" s="110">
        <f>_xlfn.NORM.S.INV(AI44)</f>
        <v>1.4799413890351927</v>
      </c>
      <c r="AK44" s="77"/>
    </row>
    <row r="45" spans="2:37" ht="15.6" x14ac:dyDescent="0.6">
      <c r="B45" s="42" t="s">
        <v>84</v>
      </c>
      <c r="C45" s="20">
        <f>MEDIAN(C4:C39)</f>
        <v>2.2790171075966881</v>
      </c>
      <c r="D45" s="20">
        <f t="shared" ref="D45:E45" si="25">MEDIAN(D4:D39)</f>
        <v>2.2945124955673442</v>
      </c>
      <c r="E45" s="21">
        <f t="shared" si="25"/>
        <v>2.6163831277087608</v>
      </c>
      <c r="F45" s="12"/>
      <c r="G45" s="32">
        <f>MEDIAN(G4:G39)</f>
        <v>0.12150943128511138</v>
      </c>
      <c r="H45" s="20">
        <f t="shared" ref="H45:J45" si="26">MEDIAN(H4:H39)</f>
        <v>-0.1026944109108624</v>
      </c>
      <c r="I45" s="20">
        <f t="shared" si="26"/>
        <v>-0.1770143839519579</v>
      </c>
      <c r="J45" s="20">
        <f t="shared" si="26"/>
        <v>-0.43900345823878395</v>
      </c>
      <c r="K45" s="20">
        <f>MEDIAN(K4:K39)</f>
        <v>-0.18926439395762595</v>
      </c>
      <c r="L45" s="21">
        <f>MEDIAN(L4:L39)</f>
        <v>-0.4317993300860925</v>
      </c>
      <c r="V45" s="53"/>
      <c r="AK45" s="77"/>
    </row>
    <row r="46" spans="2:37" ht="15.9" thickBot="1" x14ac:dyDescent="0.65">
      <c r="B46" s="123" t="s">
        <v>85</v>
      </c>
      <c r="C46" s="121">
        <f>QUARTILE(C4:C39,3)-QUARTILE(C4:C39,1)</f>
        <v>0.76837252848471493</v>
      </c>
      <c r="D46" s="121">
        <f>QUARTILE(D4:D39,3)-QUARTILE(D4:D39,1)</f>
        <v>0.82970365342247243</v>
      </c>
      <c r="E46" s="122">
        <f>QUARTILE(E4:E39,3)-QUARTILE(E4:E39,1)</f>
        <v>1.0798945858991433</v>
      </c>
      <c r="F46" s="13"/>
      <c r="G46" s="120">
        <f t="shared" ref="G46:L46" si="27">QUARTILE(G4:G39,3)-QUARTILE(G4:G39,1)</f>
        <v>7.619154633751074E-2</v>
      </c>
      <c r="H46" s="121">
        <f t="shared" si="27"/>
        <v>0.10963271843926997</v>
      </c>
      <c r="I46" s="121">
        <f t="shared" si="27"/>
        <v>0.65431522185328661</v>
      </c>
      <c r="J46" s="121">
        <f t="shared" si="27"/>
        <v>0.66795327696810214</v>
      </c>
      <c r="K46" s="121">
        <f t="shared" si="27"/>
        <v>0.58472625232193898</v>
      </c>
      <c r="L46" s="122">
        <f t="shared" si="27"/>
        <v>0.61371777434711583</v>
      </c>
      <c r="V46" s="53"/>
      <c r="AK46" s="77"/>
    </row>
    <row r="47" spans="2:37" ht="15.9" thickBot="1" x14ac:dyDescent="0.65">
      <c r="B47" s="6"/>
      <c r="C47" s="9"/>
      <c r="D47" s="9"/>
      <c r="E47" s="9"/>
      <c r="F47" s="6"/>
      <c r="G47" s="11"/>
      <c r="H47" s="11"/>
      <c r="I47" s="11"/>
      <c r="J47" s="11"/>
      <c r="K47" s="11"/>
      <c r="L47" s="11"/>
      <c r="V47" s="53"/>
      <c r="AK47" s="77"/>
    </row>
    <row r="48" spans="2:37" ht="15.6" x14ac:dyDescent="0.6">
      <c r="B48" s="9"/>
      <c r="C48" s="174">
        <f t="shared" ref="C48:C83" si="28">C4-D4</f>
        <v>0.11553406526851795</v>
      </c>
      <c r="D48" s="175">
        <f t="shared" ref="D48:D83" si="29">C4-E4</f>
        <v>0.23705337889920175</v>
      </c>
      <c r="E48" s="176">
        <f t="shared" ref="E48:E83" si="30">D4-E4</f>
        <v>0.1215193136306838</v>
      </c>
      <c r="F48" s="9"/>
      <c r="V48" s="53"/>
      <c r="AK48" s="77"/>
    </row>
    <row r="49" spans="2:37" ht="15.6" x14ac:dyDescent="0.6">
      <c r="B49" s="9"/>
      <c r="C49" s="177">
        <f t="shared" si="28"/>
        <v>-2.780459762923293E-4</v>
      </c>
      <c r="D49" s="64">
        <f t="shared" si="29"/>
        <v>-0.10837570440526645</v>
      </c>
      <c r="E49" s="178">
        <f t="shared" si="30"/>
        <v>-0.10809765842897412</v>
      </c>
      <c r="F49" s="9"/>
      <c r="V49" s="53"/>
      <c r="AK49" s="77"/>
    </row>
    <row r="50" spans="2:37" ht="15.6" x14ac:dyDescent="0.6">
      <c r="B50" s="11"/>
      <c r="C50" s="177">
        <f t="shared" si="28"/>
        <v>-6.7077839158887764E-2</v>
      </c>
      <c r="D50" s="64">
        <f t="shared" si="29"/>
        <v>-0.48237234286361841</v>
      </c>
      <c r="E50" s="178">
        <f t="shared" si="30"/>
        <v>-0.41529450370473064</v>
      </c>
      <c r="F50" s="11"/>
      <c r="V50" s="53"/>
      <c r="AK50" s="77"/>
    </row>
    <row r="51" spans="2:37" ht="15.6" x14ac:dyDescent="0.6">
      <c r="B51" s="11"/>
      <c r="C51" s="177">
        <f t="shared" si="28"/>
        <v>-0.14420124594792449</v>
      </c>
      <c r="D51" s="64">
        <f t="shared" si="29"/>
        <v>-0.6771167698049263</v>
      </c>
      <c r="E51" s="178">
        <f t="shared" si="30"/>
        <v>-0.5329155238570018</v>
      </c>
      <c r="F51" s="11"/>
      <c r="V51" s="53"/>
      <c r="AK51" s="77"/>
    </row>
    <row r="52" spans="2:37" ht="15.6" x14ac:dyDescent="0.6">
      <c r="B52" s="7"/>
      <c r="C52" s="177">
        <f t="shared" si="28"/>
        <v>0.24991943884755408</v>
      </c>
      <c r="D52" s="64">
        <f t="shared" si="29"/>
        <v>-1.7250382645813911</v>
      </c>
      <c r="E52" s="178">
        <f t="shared" si="30"/>
        <v>-1.9749577034289452</v>
      </c>
      <c r="F52" s="34"/>
      <c r="V52" s="53"/>
      <c r="AK52" s="77"/>
    </row>
    <row r="53" spans="2:37" ht="15.6" x14ac:dyDescent="0.6">
      <c r="B53" s="11"/>
      <c r="C53" s="177">
        <f t="shared" si="28"/>
        <v>0.41183268671850026</v>
      </c>
      <c r="D53" s="64">
        <f t="shared" si="29"/>
        <v>-0.11893966760786201</v>
      </c>
      <c r="E53" s="178">
        <f t="shared" si="30"/>
        <v>-0.53077235432636227</v>
      </c>
      <c r="F53" s="11"/>
      <c r="V53" s="53"/>
      <c r="AK53" s="77"/>
    </row>
    <row r="54" spans="2:37" ht="15.6" x14ac:dyDescent="0.6">
      <c r="C54" s="177">
        <f t="shared" si="28"/>
        <v>-4.130001915617898E-2</v>
      </c>
      <c r="D54" s="64">
        <f t="shared" si="29"/>
        <v>-2.223164938549917</v>
      </c>
      <c r="E54" s="178">
        <f t="shared" si="30"/>
        <v>-2.1818649193937381</v>
      </c>
      <c r="F54" s="11"/>
      <c r="V54" s="53"/>
      <c r="AK54" s="77"/>
    </row>
    <row r="55" spans="2:37" ht="15.6" x14ac:dyDescent="0.6">
      <c r="C55" s="177">
        <f t="shared" si="28"/>
        <v>-0.23908698336872636</v>
      </c>
      <c r="D55" s="64">
        <f t="shared" si="29"/>
        <v>-1.0933548805418964</v>
      </c>
      <c r="E55" s="178">
        <f t="shared" si="30"/>
        <v>-0.85426789717317009</v>
      </c>
      <c r="F55" s="5"/>
      <c r="V55" s="53"/>
      <c r="AK55" s="77"/>
    </row>
    <row r="56" spans="2:37" ht="15.6" x14ac:dyDescent="0.6">
      <c r="C56" s="177">
        <f t="shared" si="28"/>
        <v>8.0397826441827913E-2</v>
      </c>
      <c r="D56" s="64">
        <f t="shared" si="29"/>
        <v>8.7212016215972188E-2</v>
      </c>
      <c r="E56" s="178">
        <f t="shared" si="30"/>
        <v>6.8141897741442747E-3</v>
      </c>
      <c r="F56" s="5"/>
      <c r="V56" s="53"/>
      <c r="AK56" s="77"/>
    </row>
    <row r="57" spans="2:37" ht="15.6" x14ac:dyDescent="0.6">
      <c r="C57" s="177">
        <f t="shared" si="28"/>
        <v>8.5873028140590613E-3</v>
      </c>
      <c r="D57" s="64">
        <f t="shared" si="29"/>
        <v>-0.13268729288929126</v>
      </c>
      <c r="E57" s="178">
        <f t="shared" si="30"/>
        <v>-0.14127459570335033</v>
      </c>
      <c r="F57" s="9"/>
      <c r="V57" s="53"/>
      <c r="AK57" s="77"/>
    </row>
    <row r="58" spans="2:37" ht="15.6" x14ac:dyDescent="0.6">
      <c r="C58" s="177">
        <f t="shared" si="28"/>
        <v>-4.6202058263825396E-2</v>
      </c>
      <c r="D58" s="64">
        <f t="shared" si="29"/>
        <v>-0.32222903172034956</v>
      </c>
      <c r="E58" s="178">
        <f t="shared" si="30"/>
        <v>-0.27602697345652416</v>
      </c>
      <c r="V58" s="53"/>
      <c r="AK58" s="77"/>
    </row>
    <row r="59" spans="2:37" ht="15.6" x14ac:dyDescent="0.6">
      <c r="C59" s="177">
        <f t="shared" si="28"/>
        <v>6.5158302174400884E-2</v>
      </c>
      <c r="D59" s="64">
        <f t="shared" si="29"/>
        <v>5.4932260163961466E-2</v>
      </c>
      <c r="E59" s="178">
        <f t="shared" si="30"/>
        <v>-1.0226042010439418E-2</v>
      </c>
      <c r="V59" s="53"/>
      <c r="AK59" s="77"/>
    </row>
    <row r="60" spans="2:37" ht="15.6" x14ac:dyDescent="0.6">
      <c r="C60" s="177">
        <f t="shared" si="28"/>
        <v>1.7258860312357349E-2</v>
      </c>
      <c r="D60" s="64">
        <f t="shared" si="29"/>
        <v>-0.21582405681296546</v>
      </c>
      <c r="E60" s="178">
        <f t="shared" si="30"/>
        <v>-0.23308291712532281</v>
      </c>
      <c r="V60" s="53"/>
      <c r="AK60" s="77"/>
    </row>
    <row r="61" spans="2:37" ht="15.6" x14ac:dyDescent="0.6">
      <c r="C61" s="177">
        <f t="shared" si="28"/>
        <v>-1.7773953684712573E-2</v>
      </c>
      <c r="D61" s="64">
        <f t="shared" si="29"/>
        <v>-1.067675206508969</v>
      </c>
      <c r="E61" s="178">
        <f t="shared" si="30"/>
        <v>-1.0499012528242564</v>
      </c>
      <c r="V61" s="53"/>
      <c r="AK61" s="77"/>
    </row>
    <row r="62" spans="2:37" ht="15.6" x14ac:dyDescent="0.6">
      <c r="C62" s="177">
        <f t="shared" si="28"/>
        <v>-4.3410906556163198E-2</v>
      </c>
      <c r="D62" s="64">
        <f t="shared" si="29"/>
        <v>-3.7751647998682802E-2</v>
      </c>
      <c r="E62" s="178">
        <f t="shared" si="30"/>
        <v>5.6592585574803955E-3</v>
      </c>
      <c r="V62" s="53"/>
      <c r="AK62" s="77"/>
    </row>
    <row r="63" spans="2:37" ht="15.9" thickBot="1" x14ac:dyDescent="0.65">
      <c r="C63" s="177">
        <f t="shared" si="28"/>
        <v>-3.0115789418817762E-2</v>
      </c>
      <c r="D63" s="64">
        <f t="shared" si="29"/>
        <v>9.6977026427662594E-3</v>
      </c>
      <c r="E63" s="178">
        <f t="shared" si="30"/>
        <v>3.9813492061584022E-2</v>
      </c>
      <c r="V63" s="51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78"/>
    </row>
    <row r="64" spans="2:37" ht="15.6" x14ac:dyDescent="0.6">
      <c r="C64" s="177">
        <f t="shared" si="28"/>
        <v>-0.12218144403768294</v>
      </c>
      <c r="D64" s="64">
        <f t="shared" si="29"/>
        <v>-0.33778900664426725</v>
      </c>
      <c r="E64" s="178">
        <f t="shared" si="30"/>
        <v>-0.21560756260658431</v>
      </c>
    </row>
    <row r="65" spans="3:5" ht="15.6" x14ac:dyDescent="0.6">
      <c r="C65" s="177">
        <f t="shared" si="28"/>
        <v>-0.12778761500266245</v>
      </c>
      <c r="D65" s="64">
        <f t="shared" si="29"/>
        <v>-0.69352113565665019</v>
      </c>
      <c r="E65" s="178">
        <f t="shared" si="30"/>
        <v>-0.56573352065398774</v>
      </c>
    </row>
    <row r="66" spans="3:5" ht="15.6" x14ac:dyDescent="0.6">
      <c r="C66" s="177">
        <f t="shared" si="28"/>
        <v>1.5760529569245119E-2</v>
      </c>
      <c r="D66" s="64">
        <f t="shared" si="29"/>
        <v>0.18616460218387276</v>
      </c>
      <c r="E66" s="178">
        <f t="shared" si="30"/>
        <v>0.17040407261462764</v>
      </c>
    </row>
    <row r="67" spans="3:5" ht="15.6" x14ac:dyDescent="0.6">
      <c r="C67" s="177">
        <f t="shared" si="28"/>
        <v>3.9607434779871387E-3</v>
      </c>
      <c r="D67" s="64">
        <f t="shared" si="29"/>
        <v>-0.65861716627786793</v>
      </c>
      <c r="E67" s="178">
        <f t="shared" si="30"/>
        <v>-0.66257790975585507</v>
      </c>
    </row>
    <row r="68" spans="3:5" ht="15.6" x14ac:dyDescent="0.6">
      <c r="C68" s="177">
        <f t="shared" si="28"/>
        <v>5.9435354878020208E-2</v>
      </c>
      <c r="D68" s="64">
        <f t="shared" si="29"/>
        <v>-0.29715103976106194</v>
      </c>
      <c r="E68" s="178">
        <f t="shared" si="30"/>
        <v>-0.35658639463908215</v>
      </c>
    </row>
    <row r="69" spans="3:5" ht="15.6" x14ac:dyDescent="0.6">
      <c r="C69" s="177">
        <f t="shared" si="28"/>
        <v>-4.7955348560229982E-2</v>
      </c>
      <c r="D69" s="64">
        <f t="shared" si="29"/>
        <v>-0.68189471648118039</v>
      </c>
      <c r="E69" s="178">
        <f t="shared" si="30"/>
        <v>-0.6339393679209504</v>
      </c>
    </row>
    <row r="70" spans="3:5" ht="15.6" x14ac:dyDescent="0.6">
      <c r="C70" s="177">
        <f t="shared" si="28"/>
        <v>3.2542769032879448E-2</v>
      </c>
      <c r="D70" s="64">
        <f t="shared" si="29"/>
        <v>-1.5539927376739371E-2</v>
      </c>
      <c r="E70" s="178">
        <f t="shared" si="30"/>
        <v>-4.8082696409618819E-2</v>
      </c>
    </row>
    <row r="71" spans="3:5" ht="15.6" x14ac:dyDescent="0.6">
      <c r="C71" s="177">
        <f t="shared" si="28"/>
        <v>2.6085984373253268E-2</v>
      </c>
      <c r="D71" s="64">
        <f t="shared" si="29"/>
        <v>-5.8461030564802119E-2</v>
      </c>
      <c r="E71" s="178">
        <f t="shared" si="30"/>
        <v>-8.4547014938055387E-2</v>
      </c>
    </row>
    <row r="72" spans="3:5" ht="15.6" x14ac:dyDescent="0.6">
      <c r="C72" s="177">
        <f t="shared" si="28"/>
        <v>2.9010820162100881E-2</v>
      </c>
      <c r="D72" s="64">
        <f t="shared" si="29"/>
        <v>-0.38391872528891113</v>
      </c>
      <c r="E72" s="178">
        <f t="shared" si="30"/>
        <v>-0.41292954545101201</v>
      </c>
    </row>
    <row r="73" spans="3:5" ht="15.6" x14ac:dyDescent="0.6">
      <c r="C73" s="177">
        <f t="shared" si="28"/>
        <v>2.1834514034675401E-3</v>
      </c>
      <c r="D73" s="64">
        <f t="shared" si="29"/>
        <v>0.50541280813877654</v>
      </c>
      <c r="E73" s="178">
        <f t="shared" si="30"/>
        <v>0.503229356735309</v>
      </c>
    </row>
    <row r="74" spans="3:5" ht="15.6" x14ac:dyDescent="0.6">
      <c r="C74" s="177">
        <f t="shared" si="28"/>
        <v>6.1519174445932467E-2</v>
      </c>
      <c r="D74" s="64">
        <f t="shared" si="29"/>
        <v>-1.6665919118843397</v>
      </c>
      <c r="E74" s="178">
        <f t="shared" si="30"/>
        <v>-1.7281110863302722</v>
      </c>
    </row>
    <row r="75" spans="3:5" ht="15.6" x14ac:dyDescent="0.6">
      <c r="C75" s="177">
        <f t="shared" si="28"/>
        <v>-1.6955213574035843E-2</v>
      </c>
      <c r="D75" s="64">
        <f t="shared" si="29"/>
        <v>-1.3787728957654979</v>
      </c>
      <c r="E75" s="178">
        <f t="shared" si="30"/>
        <v>-1.361817682191462</v>
      </c>
    </row>
    <row r="76" spans="3:5" ht="15.6" x14ac:dyDescent="0.6">
      <c r="C76" s="177">
        <f t="shared" si="28"/>
        <v>-5.5851212370245484E-2</v>
      </c>
      <c r="D76" s="64">
        <f t="shared" si="29"/>
        <v>-0.16864164774132617</v>
      </c>
      <c r="E76" s="178">
        <f t="shared" si="30"/>
        <v>-0.11279043537108069</v>
      </c>
    </row>
    <row r="77" spans="3:5" ht="15.6" x14ac:dyDescent="0.6">
      <c r="C77" s="177">
        <f t="shared" si="28"/>
        <v>1.6885182079145356E-2</v>
      </c>
      <c r="D77" s="64">
        <f t="shared" si="29"/>
        <v>-0.82008455197897767</v>
      </c>
      <c r="E77" s="178">
        <f t="shared" si="30"/>
        <v>-0.83696973405812303</v>
      </c>
    </row>
    <row r="78" spans="3:5" ht="15.6" x14ac:dyDescent="0.6">
      <c r="C78" s="177">
        <f t="shared" si="28"/>
        <v>6.041453666697727E-3</v>
      </c>
      <c r="D78" s="64">
        <f t="shared" si="29"/>
        <v>0.38792190604935217</v>
      </c>
      <c r="E78" s="178">
        <f t="shared" si="30"/>
        <v>0.38188045238265445</v>
      </c>
    </row>
    <row r="79" spans="3:5" ht="15.6" x14ac:dyDescent="0.6">
      <c r="C79" s="177">
        <f t="shared" si="28"/>
        <v>-0.10271102893951833</v>
      </c>
      <c r="D79" s="64">
        <f t="shared" si="29"/>
        <v>-0.40611718878115854</v>
      </c>
      <c r="E79" s="178">
        <f t="shared" si="30"/>
        <v>-0.30340615984164021</v>
      </c>
    </row>
    <row r="80" spans="3:5" ht="15.6" x14ac:dyDescent="0.6">
      <c r="C80" s="177">
        <f t="shared" si="28"/>
        <v>5.3279074917395253E-2</v>
      </c>
      <c r="D80" s="64">
        <f t="shared" si="29"/>
        <v>0.29766645619543475</v>
      </c>
      <c r="E80" s="178">
        <f t="shared" si="30"/>
        <v>0.24438738127803949</v>
      </c>
    </row>
    <row r="81" spans="3:5" ht="15.6" x14ac:dyDescent="0.6">
      <c r="C81" s="177">
        <f t="shared" si="28"/>
        <v>-1.0492789486225451E-2</v>
      </c>
      <c r="D81" s="64">
        <f t="shared" si="29"/>
        <v>-0.54759325321911767</v>
      </c>
      <c r="E81" s="178">
        <f t="shared" si="30"/>
        <v>-0.53710046373289222</v>
      </c>
    </row>
    <row r="82" spans="3:5" ht="15.6" x14ac:dyDescent="0.6">
      <c r="C82" s="177">
        <f t="shared" si="28"/>
        <v>4.6992145544825004E-2</v>
      </c>
      <c r="D82" s="64">
        <f t="shared" si="29"/>
        <v>-0.21964768511307886</v>
      </c>
      <c r="E82" s="178">
        <f t="shared" si="30"/>
        <v>-0.26663983065790386</v>
      </c>
    </row>
    <row r="83" spans="3:5" ht="15.9" thickBot="1" x14ac:dyDescent="0.65">
      <c r="C83" s="179">
        <f t="shared" si="28"/>
        <v>3.21887446336655E-2</v>
      </c>
      <c r="D83" s="180">
        <f t="shared" si="29"/>
        <v>-2.0788248522166892</v>
      </c>
      <c r="E83" s="181">
        <f t="shared" si="30"/>
        <v>-2.1110135968503547</v>
      </c>
    </row>
    <row r="84" spans="3:5" ht="15.6" x14ac:dyDescent="0.6">
      <c r="C84" s="24"/>
    </row>
    <row r="85" spans="3:5" ht="15.6" x14ac:dyDescent="0.6">
      <c r="C85" s="24"/>
    </row>
    <row r="86" spans="3:5" ht="15.6" x14ac:dyDescent="0.6">
      <c r="C86" s="24"/>
    </row>
    <row r="87" spans="3:5" ht="15.6" x14ac:dyDescent="0.6">
      <c r="C87" s="24"/>
    </row>
    <row r="88" spans="3:5" ht="15.6" x14ac:dyDescent="0.6">
      <c r="C88" s="24"/>
    </row>
    <row r="89" spans="3:5" ht="15.6" x14ac:dyDescent="0.6">
      <c r="C89" s="24"/>
    </row>
    <row r="90" spans="3:5" ht="15.6" x14ac:dyDescent="0.6">
      <c r="C90" s="24"/>
    </row>
    <row r="91" spans="3:5" ht="15.6" x14ac:dyDescent="0.6">
      <c r="C91" s="24"/>
    </row>
    <row r="92" spans="3:5" ht="15.6" x14ac:dyDescent="0.6">
      <c r="C92" s="24"/>
    </row>
    <row r="93" spans="3:5" ht="15.6" x14ac:dyDescent="0.6">
      <c r="C93" s="24"/>
    </row>
    <row r="94" spans="3:5" ht="15.6" x14ac:dyDescent="0.6">
      <c r="C94" s="24"/>
    </row>
    <row r="95" spans="3:5" ht="15.6" x14ac:dyDescent="0.6">
      <c r="C95" s="24"/>
    </row>
    <row r="96" spans="3:5" ht="15.6" x14ac:dyDescent="0.6">
      <c r="C96" s="24"/>
    </row>
    <row r="97" spans="3:3" ht="15.6" x14ac:dyDescent="0.6">
      <c r="C97" s="24"/>
    </row>
    <row r="98" spans="3:3" ht="15.6" x14ac:dyDescent="0.6">
      <c r="C98" s="24"/>
    </row>
    <row r="99" spans="3:3" ht="15.6" x14ac:dyDescent="0.6">
      <c r="C99" s="24"/>
    </row>
    <row r="100" spans="3:3" ht="15.6" x14ac:dyDescent="0.6">
      <c r="C100" s="24"/>
    </row>
    <row r="101" spans="3:3" ht="15.6" x14ac:dyDescent="0.6">
      <c r="C101" s="24"/>
    </row>
    <row r="102" spans="3:3" ht="15.6" x14ac:dyDescent="0.6">
      <c r="C102" s="24"/>
    </row>
    <row r="103" spans="3:3" ht="15.6" x14ac:dyDescent="0.6">
      <c r="C103" s="24"/>
    </row>
    <row r="104" spans="3:3" ht="15.6" x14ac:dyDescent="0.6">
      <c r="C104" s="24"/>
    </row>
    <row r="105" spans="3:3" ht="15.6" x14ac:dyDescent="0.6">
      <c r="C105" s="24"/>
    </row>
    <row r="106" spans="3:3" ht="15.6" x14ac:dyDescent="0.6">
      <c r="C106" s="24"/>
    </row>
    <row r="107" spans="3:3" ht="15.6" x14ac:dyDescent="0.6">
      <c r="C107" s="24"/>
    </row>
    <row r="108" spans="3:3" ht="15.6" x14ac:dyDescent="0.6">
      <c r="C108" s="24"/>
    </row>
    <row r="109" spans="3:3" ht="15.6" x14ac:dyDescent="0.6">
      <c r="C109" s="24"/>
    </row>
    <row r="110" spans="3:3" ht="15.6" x14ac:dyDescent="0.6">
      <c r="C110" s="24"/>
    </row>
    <row r="111" spans="3:3" ht="15.6" x14ac:dyDescent="0.6">
      <c r="C111" s="24"/>
    </row>
    <row r="112" spans="3:3" ht="15.6" x14ac:dyDescent="0.6">
      <c r="C112" s="24"/>
    </row>
    <row r="113" spans="3:3" ht="15.6" x14ac:dyDescent="0.6">
      <c r="C113" s="24"/>
    </row>
    <row r="114" spans="3:3" ht="15.6" x14ac:dyDescent="0.6">
      <c r="C114" s="24"/>
    </row>
    <row r="115" spans="3:3" ht="15.6" x14ac:dyDescent="0.6">
      <c r="C115" s="24"/>
    </row>
    <row r="116" spans="3:3" ht="15.6" x14ac:dyDescent="0.6">
      <c r="C116" s="24"/>
    </row>
    <row r="117" spans="3:3" ht="15.6" x14ac:dyDescent="0.6">
      <c r="C117" s="24"/>
    </row>
    <row r="118" spans="3:3" ht="15.6" x14ac:dyDescent="0.6">
      <c r="C118" s="24"/>
    </row>
    <row r="119" spans="3:3" ht="15.6" x14ac:dyDescent="0.6">
      <c r="C119" s="24"/>
    </row>
    <row r="120" spans="3:3" ht="15.6" x14ac:dyDescent="0.6">
      <c r="C120" s="24"/>
    </row>
    <row r="121" spans="3:3" ht="15.6" x14ac:dyDescent="0.6">
      <c r="C121" s="24"/>
    </row>
    <row r="122" spans="3:3" ht="15.6" x14ac:dyDescent="0.6">
      <c r="C122" s="24"/>
    </row>
    <row r="123" spans="3:3" ht="15.6" x14ac:dyDescent="0.6">
      <c r="C123" s="24"/>
    </row>
    <row r="124" spans="3:3" ht="15.6" x14ac:dyDescent="0.6">
      <c r="C124" s="24"/>
    </row>
    <row r="125" spans="3:3" ht="15.6" x14ac:dyDescent="0.6">
      <c r="C125" s="24"/>
    </row>
    <row r="126" spans="3:3" ht="15.6" x14ac:dyDescent="0.6">
      <c r="C126" s="24"/>
    </row>
    <row r="127" spans="3:3" ht="15.6" x14ac:dyDescent="0.6">
      <c r="C127" s="24"/>
    </row>
    <row r="128" spans="3:3" ht="15.6" x14ac:dyDescent="0.6">
      <c r="C128" s="24"/>
    </row>
    <row r="129" spans="3:3" ht="15.6" x14ac:dyDescent="0.6">
      <c r="C129" s="24"/>
    </row>
    <row r="130" spans="3:3" ht="15.6" x14ac:dyDescent="0.6">
      <c r="C130" s="24"/>
    </row>
    <row r="131" spans="3:3" ht="15.6" x14ac:dyDescent="0.6">
      <c r="C131" s="24"/>
    </row>
    <row r="132" spans="3:3" ht="15.6" x14ac:dyDescent="0.6">
      <c r="C132" s="24"/>
    </row>
    <row r="133" spans="3:3" ht="15.6" x14ac:dyDescent="0.6">
      <c r="C133" s="24"/>
    </row>
    <row r="134" spans="3:3" ht="15.6" x14ac:dyDescent="0.6">
      <c r="C134" s="24"/>
    </row>
    <row r="135" spans="3:3" ht="15.6" x14ac:dyDescent="0.6">
      <c r="C135" s="24"/>
    </row>
    <row r="136" spans="3:3" ht="15.6" x14ac:dyDescent="0.6">
      <c r="C136" s="24"/>
    </row>
    <row r="137" spans="3:3" ht="15.6" x14ac:dyDescent="0.6">
      <c r="C137" s="24"/>
    </row>
    <row r="138" spans="3:3" ht="15.6" x14ac:dyDescent="0.6">
      <c r="C138" s="24"/>
    </row>
    <row r="139" spans="3:3" ht="15.6" x14ac:dyDescent="0.6">
      <c r="C139" s="24"/>
    </row>
    <row r="140" spans="3:3" ht="15.6" x14ac:dyDescent="0.6">
      <c r="C140" s="24"/>
    </row>
    <row r="141" spans="3:3" ht="15.6" x14ac:dyDescent="0.6">
      <c r="C141" s="24"/>
    </row>
    <row r="142" spans="3:3" ht="15.6" x14ac:dyDescent="0.6">
      <c r="C142" s="24"/>
    </row>
    <row r="143" spans="3:3" ht="15.6" x14ac:dyDescent="0.6">
      <c r="C143" s="24"/>
    </row>
    <row r="144" spans="3:3" ht="15.6" x14ac:dyDescent="0.6">
      <c r="C144" s="24"/>
    </row>
    <row r="145" spans="3:3" ht="15.6" x14ac:dyDescent="0.6">
      <c r="C145" s="24"/>
    </row>
    <row r="146" spans="3:3" ht="15.6" x14ac:dyDescent="0.6">
      <c r="C146" s="24"/>
    </row>
    <row r="147" spans="3:3" ht="15.6" x14ac:dyDescent="0.6">
      <c r="C147" s="24"/>
    </row>
    <row r="148" spans="3:3" ht="15.6" x14ac:dyDescent="0.6">
      <c r="C148" s="24"/>
    </row>
    <row r="149" spans="3:3" ht="15.6" x14ac:dyDescent="0.6">
      <c r="C149" s="24"/>
    </row>
    <row r="150" spans="3:3" ht="15.6" x14ac:dyDescent="0.6">
      <c r="C150" s="24"/>
    </row>
    <row r="151" spans="3:3" ht="15.6" x14ac:dyDescent="0.6">
      <c r="C151" s="24"/>
    </row>
    <row r="152" spans="3:3" ht="15.6" x14ac:dyDescent="0.6">
      <c r="C152" s="24"/>
    </row>
    <row r="153" spans="3:3" ht="15.6" x14ac:dyDescent="0.6">
      <c r="C153" s="24"/>
    </row>
    <row r="154" spans="3:3" ht="15.6" x14ac:dyDescent="0.6">
      <c r="C154" s="24"/>
    </row>
    <row r="155" spans="3:3" ht="15.6" x14ac:dyDescent="0.6">
      <c r="C155" s="24"/>
    </row>
    <row r="156" spans="3:3" ht="15.6" x14ac:dyDescent="0.6">
      <c r="C156" s="24"/>
    </row>
    <row r="157" spans="3:3" ht="15.6" x14ac:dyDescent="0.6">
      <c r="C157" s="24"/>
    </row>
    <row r="158" spans="3:3" ht="15.6" x14ac:dyDescent="0.6">
      <c r="C158" s="24"/>
    </row>
    <row r="159" spans="3:3" ht="15.6" x14ac:dyDescent="0.6">
      <c r="C159" s="24"/>
    </row>
    <row r="160" spans="3:3" ht="15.6" x14ac:dyDescent="0.6">
      <c r="C160" s="24"/>
    </row>
    <row r="161" spans="3:3" ht="15.6" x14ac:dyDescent="0.6">
      <c r="C161" s="24"/>
    </row>
    <row r="162" spans="3:3" ht="15.6" x14ac:dyDescent="0.6">
      <c r="C162" s="24"/>
    </row>
    <row r="163" spans="3:3" ht="15.6" x14ac:dyDescent="0.6">
      <c r="C163" s="24"/>
    </row>
    <row r="164" spans="3:3" ht="15.6" x14ac:dyDescent="0.6">
      <c r="C164" s="24"/>
    </row>
    <row r="165" spans="3:3" ht="15.6" x14ac:dyDescent="0.6">
      <c r="C165" s="24"/>
    </row>
    <row r="166" spans="3:3" ht="15.6" x14ac:dyDescent="0.6">
      <c r="C166" s="24"/>
    </row>
    <row r="167" spans="3:3" ht="15.6" x14ac:dyDescent="0.6">
      <c r="C167" s="24"/>
    </row>
    <row r="168" spans="3:3" ht="15.6" x14ac:dyDescent="0.6">
      <c r="C168" s="24"/>
    </row>
    <row r="169" spans="3:3" ht="15.6" x14ac:dyDescent="0.6">
      <c r="C169" s="24"/>
    </row>
    <row r="170" spans="3:3" ht="15.6" x14ac:dyDescent="0.6">
      <c r="C170" s="24"/>
    </row>
    <row r="171" spans="3:3" ht="15.6" x14ac:dyDescent="0.6">
      <c r="C171" s="24"/>
    </row>
    <row r="172" spans="3:3" ht="15.6" x14ac:dyDescent="0.6">
      <c r="C172" s="24"/>
    </row>
    <row r="173" spans="3:3" ht="15.6" x14ac:dyDescent="0.6">
      <c r="C173" s="24"/>
    </row>
    <row r="174" spans="3:3" ht="15.6" x14ac:dyDescent="0.6">
      <c r="C174" s="24"/>
    </row>
    <row r="175" spans="3:3" ht="15.6" x14ac:dyDescent="0.6">
      <c r="C175" s="24"/>
    </row>
    <row r="176" spans="3:3" ht="15.6" x14ac:dyDescent="0.6">
      <c r="C176" s="24"/>
    </row>
    <row r="177" spans="3:3" ht="15.6" x14ac:dyDescent="0.6">
      <c r="C177" s="24"/>
    </row>
    <row r="178" spans="3:3" ht="15.6" x14ac:dyDescent="0.6">
      <c r="C178" s="24"/>
    </row>
    <row r="179" spans="3:3" ht="15.6" x14ac:dyDescent="0.6">
      <c r="C179" s="24"/>
    </row>
    <row r="180" spans="3:3" ht="15.6" x14ac:dyDescent="0.6">
      <c r="C180" s="24"/>
    </row>
    <row r="181" spans="3:3" ht="15.6" x14ac:dyDescent="0.6">
      <c r="C181" s="24"/>
    </row>
    <row r="182" spans="3:3" ht="15.6" x14ac:dyDescent="0.6">
      <c r="C182" s="24"/>
    </row>
    <row r="183" spans="3:3" ht="15.6" x14ac:dyDescent="0.6">
      <c r="C183" s="24"/>
    </row>
    <row r="184" spans="3:3" ht="15.6" x14ac:dyDescent="0.6">
      <c r="C184" s="24"/>
    </row>
    <row r="185" spans="3:3" ht="15.6" x14ac:dyDescent="0.6">
      <c r="C185" s="24"/>
    </row>
    <row r="186" spans="3:3" ht="15.6" x14ac:dyDescent="0.6">
      <c r="C186" s="24"/>
    </row>
    <row r="187" spans="3:3" ht="15.6" x14ac:dyDescent="0.6">
      <c r="C187" s="24"/>
    </row>
    <row r="188" spans="3:3" ht="15.6" x14ac:dyDescent="0.6">
      <c r="C188" s="24"/>
    </row>
    <row r="189" spans="3:3" ht="15.6" x14ac:dyDescent="0.6">
      <c r="C189" s="24"/>
    </row>
    <row r="190" spans="3:3" ht="15.6" x14ac:dyDescent="0.6">
      <c r="C190" s="24"/>
    </row>
    <row r="191" spans="3:3" ht="15.6" x14ac:dyDescent="0.6">
      <c r="C191" s="24"/>
    </row>
    <row r="192" spans="3:3" ht="15.6" x14ac:dyDescent="0.6">
      <c r="C192" s="24"/>
    </row>
    <row r="193" spans="3:3" ht="15.6" x14ac:dyDescent="0.6">
      <c r="C193" s="24"/>
    </row>
    <row r="194" spans="3:3" ht="15.6" x14ac:dyDescent="0.6">
      <c r="C194" s="24"/>
    </row>
    <row r="195" spans="3:3" ht="15.6" x14ac:dyDescent="0.6">
      <c r="C195" s="24"/>
    </row>
    <row r="196" spans="3:3" ht="15.6" x14ac:dyDescent="0.6">
      <c r="C196" s="24"/>
    </row>
    <row r="197" spans="3:3" ht="15.6" x14ac:dyDescent="0.6">
      <c r="C197" s="24"/>
    </row>
    <row r="198" spans="3:3" ht="15.6" x14ac:dyDescent="0.6">
      <c r="C198" s="24"/>
    </row>
    <row r="199" spans="3:3" ht="15.6" x14ac:dyDescent="0.6">
      <c r="C199" s="24"/>
    </row>
    <row r="200" spans="3:3" ht="15.6" x14ac:dyDescent="0.6">
      <c r="C200" s="24"/>
    </row>
    <row r="201" spans="3:3" ht="15.6" x14ac:dyDescent="0.6">
      <c r="C201" s="24"/>
    </row>
    <row r="202" spans="3:3" ht="15.6" x14ac:dyDescent="0.6">
      <c r="C202" s="24"/>
    </row>
    <row r="203" spans="3:3" ht="15.6" x14ac:dyDescent="0.6">
      <c r="C203" s="24"/>
    </row>
    <row r="204" spans="3:3" ht="15.6" x14ac:dyDescent="0.6">
      <c r="C204" s="24"/>
    </row>
    <row r="205" spans="3:3" ht="15.6" x14ac:dyDescent="0.6">
      <c r="C205" s="24"/>
    </row>
    <row r="206" spans="3:3" ht="15.6" x14ac:dyDescent="0.6">
      <c r="C206" s="24"/>
    </row>
    <row r="207" spans="3:3" ht="15.6" x14ac:dyDescent="0.6">
      <c r="C207" s="24"/>
    </row>
    <row r="208" spans="3:3" ht="15.6" x14ac:dyDescent="0.6">
      <c r="C208" s="24"/>
    </row>
    <row r="209" spans="3:3" ht="15.6" x14ac:dyDescent="0.6">
      <c r="C209" s="24"/>
    </row>
    <row r="210" spans="3:3" ht="15.6" x14ac:dyDescent="0.6">
      <c r="C210" s="24"/>
    </row>
    <row r="211" spans="3:3" ht="15.6" x14ac:dyDescent="0.6">
      <c r="C211" s="24"/>
    </row>
    <row r="212" spans="3:3" ht="15.6" x14ac:dyDescent="0.6">
      <c r="C212" s="24"/>
    </row>
    <row r="213" spans="3:3" ht="15.6" x14ac:dyDescent="0.6">
      <c r="C213" s="24"/>
    </row>
    <row r="214" spans="3:3" ht="15.6" x14ac:dyDescent="0.6">
      <c r="C214" s="24"/>
    </row>
    <row r="215" spans="3:3" ht="15.6" x14ac:dyDescent="0.6">
      <c r="C215" s="24"/>
    </row>
    <row r="216" spans="3:3" ht="15.6" x14ac:dyDescent="0.6">
      <c r="C216" s="24"/>
    </row>
    <row r="217" spans="3:3" ht="15.6" x14ac:dyDescent="0.6">
      <c r="C217" s="24"/>
    </row>
    <row r="218" spans="3:3" ht="15.6" x14ac:dyDescent="0.6">
      <c r="C218" s="24"/>
    </row>
  </sheetData>
  <mergeCells count="40">
    <mergeCell ref="O37:P37"/>
    <mergeCell ref="Q37:R37"/>
    <mergeCell ref="S37:T37"/>
    <mergeCell ref="O35:P35"/>
    <mergeCell ref="Q35:R35"/>
    <mergeCell ref="S35:T35"/>
    <mergeCell ref="O36:P36"/>
    <mergeCell ref="Q36:R36"/>
    <mergeCell ref="S36:T36"/>
    <mergeCell ref="O34:P34"/>
    <mergeCell ref="Q34:R34"/>
    <mergeCell ref="S34:T34"/>
    <mergeCell ref="O33:P33"/>
    <mergeCell ref="Q33:R33"/>
    <mergeCell ref="S33:T33"/>
    <mergeCell ref="O32:P32"/>
    <mergeCell ref="Q32:R32"/>
    <mergeCell ref="S32:T32"/>
    <mergeCell ref="O29:P29"/>
    <mergeCell ref="Q29:R29"/>
    <mergeCell ref="S29:T29"/>
    <mergeCell ref="O30:P30"/>
    <mergeCell ref="Q30:R30"/>
    <mergeCell ref="S30:T30"/>
    <mergeCell ref="O31:P31"/>
    <mergeCell ref="Q31:R31"/>
    <mergeCell ref="S31:T31"/>
    <mergeCell ref="AB3:AE5"/>
    <mergeCell ref="W7:Z7"/>
    <mergeCell ref="AB7:AE7"/>
    <mergeCell ref="AG7:AJ7"/>
    <mergeCell ref="C2:E2"/>
    <mergeCell ref="N2:T2"/>
    <mergeCell ref="N26:T26"/>
    <mergeCell ref="O27:P27"/>
    <mergeCell ref="Q27:R27"/>
    <mergeCell ref="S27:T27"/>
    <mergeCell ref="O28:P28"/>
    <mergeCell ref="Q28:R28"/>
    <mergeCell ref="S28:T2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F36BB-E23E-42DA-A69F-CD8F79B10EC4}">
  <dimension ref="B1:V63"/>
  <sheetViews>
    <sheetView workbookViewId="0">
      <selection activeCell="K15" sqref="K15:L15"/>
    </sheetView>
  </sheetViews>
  <sheetFormatPr defaultRowHeight="14.4" x14ac:dyDescent="0.55000000000000004"/>
  <cols>
    <col min="3" max="3" width="26.68359375" bestFit="1" customWidth="1"/>
    <col min="4" max="4" width="21.3671875" bestFit="1" customWidth="1"/>
    <col min="7" max="7" width="8.5234375" customWidth="1"/>
    <col min="11" max="11" width="11.578125" bestFit="1" customWidth="1"/>
    <col min="12" max="12" width="10.20703125" customWidth="1"/>
    <col min="13" max="13" width="10.3671875" customWidth="1"/>
  </cols>
  <sheetData>
    <row r="1" spans="2:15" ht="14.7" thickBot="1" x14ac:dyDescent="0.6"/>
    <row r="2" spans="2:15" ht="15.9" thickBot="1" x14ac:dyDescent="0.65">
      <c r="B2" s="235" t="s">
        <v>47</v>
      </c>
      <c r="C2" s="233" t="s">
        <v>97</v>
      </c>
      <c r="D2" s="234"/>
      <c r="F2" s="4"/>
      <c r="G2" s="74"/>
      <c r="H2" s="74"/>
      <c r="I2" s="74"/>
      <c r="J2" s="74"/>
      <c r="K2" s="74"/>
      <c r="L2" s="74"/>
      <c r="M2" s="74"/>
      <c r="N2" s="74"/>
      <c r="O2" s="76"/>
    </row>
    <row r="3" spans="2:15" ht="15.9" thickBot="1" x14ac:dyDescent="0.65">
      <c r="B3" s="236"/>
      <c r="C3" s="69" t="s">
        <v>43</v>
      </c>
      <c r="D3" s="70" t="s">
        <v>44</v>
      </c>
      <c r="F3" s="53"/>
      <c r="G3" s="249" t="s">
        <v>74</v>
      </c>
      <c r="H3" s="250"/>
      <c r="I3" s="250"/>
      <c r="J3" s="250"/>
      <c r="K3" s="250"/>
      <c r="L3" s="250"/>
      <c r="M3" s="251"/>
      <c r="O3" s="77"/>
    </row>
    <row r="4" spans="2:15" ht="15.9" thickBot="1" x14ac:dyDescent="0.65">
      <c r="B4" s="71" t="s">
        <v>0</v>
      </c>
      <c r="C4" s="143">
        <v>25.35</v>
      </c>
      <c r="D4" s="144">
        <v>15.5</v>
      </c>
      <c r="F4" s="53"/>
      <c r="G4" s="82"/>
      <c r="H4" s="82"/>
      <c r="I4" s="82"/>
      <c r="J4" s="82"/>
      <c r="K4" s="82"/>
      <c r="L4" s="82"/>
      <c r="M4" s="82"/>
      <c r="O4" s="77"/>
    </row>
    <row r="5" spans="2:15" ht="15.6" x14ac:dyDescent="0.6">
      <c r="B5" s="71" t="s">
        <v>1</v>
      </c>
      <c r="C5" s="143">
        <v>12.45</v>
      </c>
      <c r="D5" s="144">
        <v>35.200000000000003</v>
      </c>
      <c r="F5" s="53"/>
      <c r="G5" s="256" t="s">
        <v>43</v>
      </c>
      <c r="H5" s="257"/>
      <c r="I5" s="257"/>
      <c r="J5" s="257"/>
      <c r="K5" s="257"/>
      <c r="L5" s="257"/>
      <c r="M5" s="258"/>
      <c r="O5" s="77"/>
    </row>
    <row r="6" spans="2:15" ht="15.6" x14ac:dyDescent="0.6">
      <c r="B6" s="71" t="s">
        <v>2</v>
      </c>
      <c r="C6" s="143">
        <v>2.0499999999999998</v>
      </c>
      <c r="D6" s="144">
        <v>5.9499999999999993</v>
      </c>
      <c r="F6" s="53"/>
      <c r="G6" s="83" t="s">
        <v>72</v>
      </c>
      <c r="H6" s="167" t="s">
        <v>39</v>
      </c>
      <c r="I6" s="169" t="s">
        <v>37</v>
      </c>
      <c r="J6" s="167" t="s">
        <v>38</v>
      </c>
      <c r="K6" s="167" t="s">
        <v>40</v>
      </c>
      <c r="L6" s="167" t="s">
        <v>41</v>
      </c>
      <c r="M6" s="84" t="s">
        <v>42</v>
      </c>
      <c r="O6" s="77"/>
    </row>
    <row r="7" spans="2:15" ht="15.9" thickBot="1" x14ac:dyDescent="0.65">
      <c r="B7" s="71" t="s">
        <v>3</v>
      </c>
      <c r="C7" s="143">
        <v>9.8999999999999986</v>
      </c>
      <c r="D7" s="144">
        <v>53.3</v>
      </c>
      <c r="F7" s="53"/>
      <c r="G7" s="132">
        <f>C41-G15</f>
        <v>12.313888888888888</v>
      </c>
      <c r="H7" s="168">
        <f>C43-1</f>
        <v>35</v>
      </c>
      <c r="I7" s="141">
        <f>C42/SQRT(C43)</f>
        <v>2.2832208967025802</v>
      </c>
      <c r="J7" s="141">
        <f>G7/I7</f>
        <v>5.393209613083239</v>
      </c>
      <c r="K7" s="170">
        <f>IF(_xlfn.T.DIST.RT(J7,H7)*2&lt;=1,_xlfn.T.DIST.RT(J7,H7)*2,1)</f>
        <v>4.8743464637498136E-6</v>
      </c>
      <c r="L7" s="171">
        <f>G7-_xlfn.T.INV.2T(G18,H7)*I7</f>
        <v>7.6787040445461212</v>
      </c>
      <c r="M7" s="133">
        <f>G7+_xlfn.T.INV.2T(G18,H7)*I7</f>
        <v>16.949073733231657</v>
      </c>
      <c r="O7" s="77"/>
    </row>
    <row r="8" spans="2:15" ht="15.9" thickBot="1" x14ac:dyDescent="0.65">
      <c r="B8" s="71" t="s">
        <v>4</v>
      </c>
      <c r="C8" s="143">
        <v>6.65</v>
      </c>
      <c r="D8" s="144">
        <v>7.45</v>
      </c>
      <c r="F8" s="53"/>
      <c r="G8" s="82"/>
      <c r="H8" s="82"/>
      <c r="I8" s="82"/>
      <c r="J8" s="82"/>
      <c r="K8" s="82"/>
      <c r="L8" s="82"/>
      <c r="M8" s="82"/>
      <c r="O8" s="77"/>
    </row>
    <row r="9" spans="2:15" ht="15.6" x14ac:dyDescent="0.6">
      <c r="B9" s="71" t="s">
        <v>5</v>
      </c>
      <c r="C9" s="143">
        <v>48.05</v>
      </c>
      <c r="D9" s="144">
        <v>29.549999999999997</v>
      </c>
      <c r="F9" s="53"/>
      <c r="G9" s="256" t="s">
        <v>44</v>
      </c>
      <c r="H9" s="257"/>
      <c r="I9" s="257"/>
      <c r="J9" s="257"/>
      <c r="K9" s="257"/>
      <c r="L9" s="257"/>
      <c r="M9" s="258"/>
      <c r="O9" s="77"/>
    </row>
    <row r="10" spans="2:15" ht="15.6" x14ac:dyDescent="0.6">
      <c r="B10" s="71" t="s">
        <v>6</v>
      </c>
      <c r="C10" s="143">
        <v>8.15</v>
      </c>
      <c r="D10" s="144">
        <v>6.05</v>
      </c>
      <c r="F10" s="53"/>
      <c r="G10" s="172" t="s">
        <v>72</v>
      </c>
      <c r="H10" s="167" t="s">
        <v>39</v>
      </c>
      <c r="I10" s="169" t="s">
        <v>37</v>
      </c>
      <c r="J10" s="167" t="s">
        <v>38</v>
      </c>
      <c r="K10" s="167" t="s">
        <v>40</v>
      </c>
      <c r="L10" s="167" t="s">
        <v>41</v>
      </c>
      <c r="M10" s="84" t="s">
        <v>42</v>
      </c>
      <c r="O10" s="77"/>
    </row>
    <row r="11" spans="2:15" ht="15.9" thickBot="1" x14ac:dyDescent="0.65">
      <c r="B11" s="71" t="s">
        <v>7</v>
      </c>
      <c r="C11" s="143">
        <v>7.6999999999999993</v>
      </c>
      <c r="D11" s="144">
        <v>7.25</v>
      </c>
      <c r="E11" s="73"/>
      <c r="F11" s="53"/>
      <c r="G11" s="173">
        <f>D41-G15</f>
        <v>13.813888888888886</v>
      </c>
      <c r="H11" s="168">
        <f>C43-1</f>
        <v>35</v>
      </c>
      <c r="I11" s="141">
        <f>D42/SQRT(C43)</f>
        <v>2.018409922567832</v>
      </c>
      <c r="J11" s="141">
        <f>G11/I11</f>
        <v>6.8439461847842988</v>
      </c>
      <c r="K11" s="170">
        <f>IF(_xlfn.T.DIST.RT(J11,H11)*2&lt;=1,_xlfn.T.DIST.RT(J11,H11)*2,1)</f>
        <v>6.080243292541462E-8</v>
      </c>
      <c r="L11" s="171">
        <f>G11-_xlfn.T.INV.2T(G18,H11)*I11</f>
        <v>9.7162989026247679</v>
      </c>
      <c r="M11" s="133">
        <f>G11+_xlfn.T.INV.2T(G18,H11)*I11</f>
        <v>17.911478875153005</v>
      </c>
      <c r="O11" s="77"/>
    </row>
    <row r="12" spans="2:15" ht="15.6" x14ac:dyDescent="0.6">
      <c r="B12" s="71" t="s">
        <v>8</v>
      </c>
      <c r="C12" s="143">
        <v>11.3</v>
      </c>
      <c r="D12" s="144">
        <v>31.05</v>
      </c>
      <c r="F12" s="75"/>
      <c r="O12" s="77"/>
    </row>
    <row r="13" spans="2:15" ht="15.9" thickBot="1" x14ac:dyDescent="0.65">
      <c r="B13" s="71" t="s">
        <v>9</v>
      </c>
      <c r="C13" s="143">
        <v>54.1</v>
      </c>
      <c r="D13" s="144">
        <v>28.1</v>
      </c>
      <c r="F13" s="53"/>
      <c r="O13" s="77"/>
    </row>
    <row r="14" spans="2:15" ht="15.6" x14ac:dyDescent="0.6">
      <c r="B14" s="71" t="s">
        <v>10</v>
      </c>
      <c r="C14" s="143">
        <v>19.399999999999999</v>
      </c>
      <c r="D14" s="144">
        <v>11.5</v>
      </c>
      <c r="F14" s="53"/>
      <c r="G14" s="237" t="s">
        <v>67</v>
      </c>
      <c r="H14" s="238"/>
      <c r="I14" s="239"/>
      <c r="K14" s="163"/>
      <c r="L14" s="164"/>
      <c r="M14" s="165" t="s">
        <v>43</v>
      </c>
      <c r="N14" s="166" t="s">
        <v>44</v>
      </c>
      <c r="O14" s="77"/>
    </row>
    <row r="15" spans="2:15" ht="15.9" thickBot="1" x14ac:dyDescent="0.65">
      <c r="B15" s="71" t="s">
        <v>11</v>
      </c>
      <c r="C15" s="143">
        <v>46.75</v>
      </c>
      <c r="D15" s="144">
        <v>18.350000000000001</v>
      </c>
      <c r="F15" s="53"/>
      <c r="G15" s="240">
        <v>3</v>
      </c>
      <c r="H15" s="241"/>
      <c r="I15" s="242"/>
      <c r="K15" s="252" t="s">
        <v>68</v>
      </c>
      <c r="L15" s="253"/>
      <c r="M15" s="85">
        <f>_xlfn.T.DIST(G7/C42,H7,TRUE)</f>
        <v>0.81256728253673927</v>
      </c>
      <c r="N15" s="86">
        <f>_xlfn.T.DIST(G11/D42,H11,TRUE)</f>
        <v>0.8691211613785691</v>
      </c>
      <c r="O15" s="77"/>
    </row>
    <row r="16" spans="2:15" ht="15.9" thickBot="1" x14ac:dyDescent="0.65">
      <c r="B16" s="71" t="s">
        <v>12</v>
      </c>
      <c r="C16" s="143">
        <v>31.2</v>
      </c>
      <c r="D16" s="144">
        <v>7.5</v>
      </c>
      <c r="F16" s="53"/>
      <c r="K16" s="252" t="s">
        <v>41</v>
      </c>
      <c r="L16" s="253"/>
      <c r="M16" s="85">
        <f>_xlfn.T.DIST(L7/C42,H7,TRUE)</f>
        <v>0.71065121403950327</v>
      </c>
      <c r="N16" s="86">
        <f>_xlfn.T.DIST(L11/D42,H11,TRUE)</f>
        <v>0.78610495894856369</v>
      </c>
      <c r="O16" s="77"/>
    </row>
    <row r="17" spans="2:22" ht="15.9" thickBot="1" x14ac:dyDescent="0.65">
      <c r="B17" s="71" t="s">
        <v>13</v>
      </c>
      <c r="C17" s="143">
        <v>15.2</v>
      </c>
      <c r="D17" s="144">
        <v>10.65</v>
      </c>
      <c r="F17" s="53"/>
      <c r="G17" s="243" t="s">
        <v>64</v>
      </c>
      <c r="H17" s="244"/>
      <c r="I17" s="245"/>
      <c r="K17" s="254" t="s">
        <v>42</v>
      </c>
      <c r="L17" s="255"/>
      <c r="M17" s="87">
        <f>_xlfn.T.DIST(M7/C42,H7,TRUE)</f>
        <v>0.88787880869863844</v>
      </c>
      <c r="N17" s="88">
        <f>_xlfn.T.DIST(M11/D42,H11,TRUE)</f>
        <v>0.92595871427895726</v>
      </c>
      <c r="O17" s="77"/>
    </row>
    <row r="18" spans="2:22" ht="15.9" thickBot="1" x14ac:dyDescent="0.65">
      <c r="B18" s="71" t="s">
        <v>14</v>
      </c>
      <c r="C18" s="143">
        <v>17.8</v>
      </c>
      <c r="D18" s="144">
        <v>5</v>
      </c>
      <c r="F18" s="53"/>
      <c r="G18" s="246">
        <v>0.05</v>
      </c>
      <c r="H18" s="247"/>
      <c r="I18" s="248"/>
      <c r="O18" s="77"/>
    </row>
    <row r="19" spans="2:22" ht="15.9" thickBot="1" x14ac:dyDescent="0.65">
      <c r="B19" s="71" t="s">
        <v>15</v>
      </c>
      <c r="C19" s="143">
        <v>27.6</v>
      </c>
      <c r="D19" s="144">
        <v>3.05</v>
      </c>
      <c r="F19" s="51"/>
      <c r="G19" s="49"/>
      <c r="H19" s="49"/>
      <c r="I19" s="49"/>
      <c r="J19" s="49"/>
      <c r="K19" s="49"/>
      <c r="L19" s="49"/>
      <c r="M19" s="49"/>
      <c r="N19" s="49"/>
      <c r="O19" s="78"/>
    </row>
    <row r="20" spans="2:22" ht="15.9" thickBot="1" x14ac:dyDescent="0.65">
      <c r="B20" s="71" t="s">
        <v>16</v>
      </c>
      <c r="C20" s="143">
        <v>1.05</v>
      </c>
      <c r="D20" s="144">
        <v>3.8000000000000003</v>
      </c>
    </row>
    <row r="21" spans="2:22" ht="15.9" thickBot="1" x14ac:dyDescent="0.65">
      <c r="B21" s="71" t="s">
        <v>17</v>
      </c>
      <c r="C21" s="143">
        <v>0.6</v>
      </c>
      <c r="D21" s="144">
        <v>35.4</v>
      </c>
      <c r="F21" s="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6"/>
    </row>
    <row r="22" spans="2:22" ht="15.6" x14ac:dyDescent="0.6">
      <c r="B22" s="71" t="s">
        <v>18</v>
      </c>
      <c r="C22" s="143">
        <v>31.349999999999998</v>
      </c>
      <c r="D22" s="144">
        <v>20.25</v>
      </c>
      <c r="F22" s="53"/>
      <c r="G22" s="114"/>
      <c r="I22" s="186" t="s">
        <v>98</v>
      </c>
      <c r="J22" s="187"/>
      <c r="K22" s="187"/>
      <c r="L22" s="187"/>
      <c r="M22" s="188"/>
      <c r="V22" s="77"/>
    </row>
    <row r="23" spans="2:22" ht="15.9" thickBot="1" x14ac:dyDescent="0.65">
      <c r="B23" s="71" t="s">
        <v>19</v>
      </c>
      <c r="C23" s="143">
        <v>12.299999999999999</v>
      </c>
      <c r="D23" s="144">
        <v>12.05</v>
      </c>
      <c r="F23" s="53"/>
      <c r="G23" s="128"/>
      <c r="I23" s="192"/>
      <c r="J23" s="193"/>
      <c r="K23" s="193"/>
      <c r="L23" s="193"/>
      <c r="M23" s="194"/>
      <c r="V23" s="77"/>
    </row>
    <row r="24" spans="2:22" ht="15.9" thickBot="1" x14ac:dyDescent="0.65">
      <c r="B24" s="71" t="s">
        <v>20</v>
      </c>
      <c r="C24" s="143">
        <v>18.850000000000001</v>
      </c>
      <c r="D24" s="144">
        <v>12.2</v>
      </c>
      <c r="F24" s="53"/>
      <c r="G24" s="128"/>
      <c r="H24" s="128"/>
      <c r="I24" s="128"/>
      <c r="J24" s="128"/>
      <c r="V24" s="77"/>
    </row>
    <row r="25" spans="2:22" ht="15.6" x14ac:dyDescent="0.6">
      <c r="B25" s="71" t="s">
        <v>21</v>
      </c>
      <c r="C25" s="143">
        <v>28.9</v>
      </c>
      <c r="D25" s="144">
        <v>34.5</v>
      </c>
      <c r="F25" s="53"/>
      <c r="G25" s="183" t="s">
        <v>43</v>
      </c>
      <c r="H25" s="184"/>
      <c r="I25" s="184"/>
      <c r="J25" s="185"/>
      <c r="L25" s="183" t="s">
        <v>44</v>
      </c>
      <c r="M25" s="184"/>
      <c r="N25" s="184"/>
      <c r="O25" s="185"/>
      <c r="V25" s="77"/>
    </row>
    <row r="26" spans="2:22" ht="15.6" x14ac:dyDescent="0.6">
      <c r="B26" s="71" t="s">
        <v>22</v>
      </c>
      <c r="C26" s="143">
        <v>8.6499999999999986</v>
      </c>
      <c r="D26" s="144">
        <v>9.3000000000000007</v>
      </c>
      <c r="F26" s="53"/>
      <c r="G26" s="99" t="s">
        <v>76</v>
      </c>
      <c r="H26" s="100" t="s">
        <v>77</v>
      </c>
      <c r="I26" s="100" t="s">
        <v>78</v>
      </c>
      <c r="J26" s="101" t="s">
        <v>79</v>
      </c>
      <c r="L26" s="99" t="s">
        <v>76</v>
      </c>
      <c r="M26" s="100" t="s">
        <v>77</v>
      </c>
      <c r="N26" s="100" t="s">
        <v>78</v>
      </c>
      <c r="O26" s="101" t="s">
        <v>79</v>
      </c>
      <c r="V26" s="77"/>
    </row>
    <row r="27" spans="2:22" ht="15.6" x14ac:dyDescent="0.6">
      <c r="B27" s="71" t="s">
        <v>23</v>
      </c>
      <c r="C27" s="143">
        <v>10</v>
      </c>
      <c r="D27" s="144">
        <v>3.9000000000000004</v>
      </c>
      <c r="F27" s="53"/>
      <c r="G27" s="129">
        <f t="shared" ref="G27:G62" si="0">C4</f>
        <v>25.35</v>
      </c>
      <c r="H27" s="147">
        <f t="shared" ref="H27:H62" si="1">_xlfn.RANK.AVG(G27, $G$27:$G$62, 1)</f>
        <v>29</v>
      </c>
      <c r="I27" s="148">
        <f t="shared" ref="I27:I62" si="2">(H27-0.5)/COUNT($H$27:$H$62)</f>
        <v>0.79166666666666663</v>
      </c>
      <c r="J27" s="105">
        <f>_xlfn.NORM.S.INV(I27)</f>
        <v>0.81221780149991241</v>
      </c>
      <c r="L27" s="129">
        <f t="shared" ref="L27:L62" si="3">D4</f>
        <v>15.5</v>
      </c>
      <c r="M27" s="147">
        <f t="shared" ref="M27:M62" si="4">_xlfn.RANK.AVG(L27, $L$27:$L$62, 1)</f>
        <v>21</v>
      </c>
      <c r="N27" s="148">
        <f t="shared" ref="N27:N62" si="5">(M27-0.5)/COUNT($M$27:$M$62)</f>
        <v>0.56944444444444442</v>
      </c>
      <c r="O27" s="105">
        <f>_xlfn.NORM.S.INV(N27)</f>
        <v>0.17495994016573252</v>
      </c>
      <c r="V27" s="77"/>
    </row>
    <row r="28" spans="2:22" ht="15.6" x14ac:dyDescent="0.6">
      <c r="B28" s="71" t="s">
        <v>24</v>
      </c>
      <c r="C28" s="143">
        <v>16.55</v>
      </c>
      <c r="D28" s="144">
        <v>22.4</v>
      </c>
      <c r="F28" s="53"/>
      <c r="G28" s="129">
        <f t="shared" si="0"/>
        <v>12.45</v>
      </c>
      <c r="H28" s="147">
        <f t="shared" si="1"/>
        <v>22</v>
      </c>
      <c r="I28" s="148">
        <f t="shared" si="2"/>
        <v>0.59722222222222221</v>
      </c>
      <c r="J28" s="105">
        <f>_xlfn.NORM.S.INV(I28)</f>
        <v>0.24616364666135951</v>
      </c>
      <c r="L28" s="129">
        <f t="shared" si="3"/>
        <v>35.200000000000003</v>
      </c>
      <c r="M28" s="147">
        <f t="shared" si="4"/>
        <v>34</v>
      </c>
      <c r="N28" s="148">
        <f t="shared" si="5"/>
        <v>0.93055555555555558</v>
      </c>
      <c r="O28" s="105">
        <f>_xlfn.NORM.S.INV(N28)</f>
        <v>1.4799413890351927</v>
      </c>
      <c r="V28" s="77"/>
    </row>
    <row r="29" spans="2:22" ht="15.6" x14ac:dyDescent="0.6">
      <c r="B29" s="71" t="s">
        <v>25</v>
      </c>
      <c r="C29" s="143">
        <v>4</v>
      </c>
      <c r="D29" s="144">
        <v>20.299999999999997</v>
      </c>
      <c r="F29" s="53"/>
      <c r="G29" s="129">
        <f t="shared" si="0"/>
        <v>2.0499999999999998</v>
      </c>
      <c r="H29" s="147">
        <f t="shared" si="1"/>
        <v>4</v>
      </c>
      <c r="I29" s="148">
        <f t="shared" si="2"/>
        <v>9.7222222222222224E-2</v>
      </c>
      <c r="J29" s="105">
        <f>_xlfn.NORM.S.INV(I29)</f>
        <v>-1.2975429286165541</v>
      </c>
      <c r="L29" s="129">
        <f t="shared" si="3"/>
        <v>5.9499999999999993</v>
      </c>
      <c r="M29" s="147">
        <f t="shared" si="4"/>
        <v>7</v>
      </c>
      <c r="N29" s="148">
        <f t="shared" si="5"/>
        <v>0.18055555555555555</v>
      </c>
      <c r="O29" s="105">
        <f>_xlfn.NORM.S.INV(N29)</f>
        <v>-0.91324992668360727</v>
      </c>
      <c r="V29" s="77"/>
    </row>
    <row r="30" spans="2:22" ht="15.6" x14ac:dyDescent="0.6">
      <c r="B30" s="71" t="s">
        <v>26</v>
      </c>
      <c r="C30" s="143">
        <v>1.5</v>
      </c>
      <c r="D30" s="144">
        <v>14.2</v>
      </c>
      <c r="F30" s="53"/>
      <c r="G30" s="129">
        <f t="shared" si="0"/>
        <v>9.8999999999999986</v>
      </c>
      <c r="H30" s="147">
        <f t="shared" si="1"/>
        <v>17</v>
      </c>
      <c r="I30" s="148">
        <f t="shared" si="2"/>
        <v>0.45833333333333331</v>
      </c>
      <c r="J30" s="105">
        <f>_xlfn.NORM.S.INV(I30)</f>
        <v>-0.10463345561407539</v>
      </c>
      <c r="L30" s="129">
        <f t="shared" si="3"/>
        <v>53.3</v>
      </c>
      <c r="M30" s="147">
        <f t="shared" si="4"/>
        <v>36</v>
      </c>
      <c r="N30" s="148">
        <f t="shared" si="5"/>
        <v>0.98611111111111116</v>
      </c>
      <c r="O30" s="105">
        <f>_xlfn.NORM.S.INV(N30)</f>
        <v>2.2004105812100336</v>
      </c>
      <c r="V30" s="77"/>
    </row>
    <row r="31" spans="2:22" ht="15.6" x14ac:dyDescent="0.6">
      <c r="B31" s="71" t="s">
        <v>27</v>
      </c>
      <c r="C31" s="143">
        <v>2.4000000000000004</v>
      </c>
      <c r="D31" s="144">
        <v>34.299999999999997</v>
      </c>
      <c r="F31" s="53"/>
      <c r="G31" s="129">
        <f t="shared" si="0"/>
        <v>6.65</v>
      </c>
      <c r="H31" s="147">
        <f t="shared" si="1"/>
        <v>11</v>
      </c>
      <c r="I31" s="148">
        <f t="shared" si="2"/>
        <v>0.29166666666666669</v>
      </c>
      <c r="J31" s="105">
        <f t="shared" ref="J31:J40" si="6">_xlfn.NORM.S.INV(I31)</f>
        <v>-0.54852228269809788</v>
      </c>
      <c r="L31" s="129">
        <f t="shared" si="3"/>
        <v>7.45</v>
      </c>
      <c r="M31" s="147">
        <f t="shared" si="4"/>
        <v>10</v>
      </c>
      <c r="N31" s="148">
        <f t="shared" si="5"/>
        <v>0.2638888888888889</v>
      </c>
      <c r="O31" s="105">
        <f t="shared" ref="O31" si="7">_xlfn.NORM.S.INV(N31)</f>
        <v>-0.6314018942397609</v>
      </c>
      <c r="V31" s="77"/>
    </row>
    <row r="32" spans="2:22" ht="15.6" x14ac:dyDescent="0.6">
      <c r="B32" s="71" t="s">
        <v>28</v>
      </c>
      <c r="C32" s="143">
        <v>23.950000000000003</v>
      </c>
      <c r="D32" s="144">
        <v>26.1</v>
      </c>
      <c r="F32" s="53"/>
      <c r="G32" s="129">
        <f t="shared" si="0"/>
        <v>48.05</v>
      </c>
      <c r="H32" s="147">
        <f t="shared" si="1"/>
        <v>35</v>
      </c>
      <c r="I32" s="148">
        <f t="shared" si="2"/>
        <v>0.95833333333333337</v>
      </c>
      <c r="J32" s="105">
        <f>_xlfn.NORM.S.INV(I32)</f>
        <v>1.7316643961222455</v>
      </c>
      <c r="L32" s="129">
        <f t="shared" si="3"/>
        <v>29.549999999999997</v>
      </c>
      <c r="M32" s="147">
        <f t="shared" si="4"/>
        <v>30</v>
      </c>
      <c r="N32" s="148">
        <f t="shared" si="5"/>
        <v>0.81944444444444442</v>
      </c>
      <c r="O32" s="105">
        <f>_xlfn.NORM.S.INV(N32)</f>
        <v>0.91324992668360727</v>
      </c>
      <c r="V32" s="77"/>
    </row>
    <row r="33" spans="2:22" ht="15.6" x14ac:dyDescent="0.6">
      <c r="B33" s="71" t="s">
        <v>29</v>
      </c>
      <c r="C33" s="143">
        <v>5.4</v>
      </c>
      <c r="D33" s="144">
        <v>4.1500000000000004</v>
      </c>
      <c r="F33" s="53"/>
      <c r="G33" s="129">
        <f t="shared" si="0"/>
        <v>8.15</v>
      </c>
      <c r="H33" s="147">
        <f t="shared" si="1"/>
        <v>13.5</v>
      </c>
      <c r="I33" s="148">
        <f t="shared" si="2"/>
        <v>0.3611111111111111</v>
      </c>
      <c r="J33" s="105">
        <f t="shared" si="6"/>
        <v>-0.35549041783953095</v>
      </c>
      <c r="L33" s="129">
        <f t="shared" si="3"/>
        <v>6.05</v>
      </c>
      <c r="M33" s="147">
        <f t="shared" si="4"/>
        <v>8</v>
      </c>
      <c r="N33" s="148">
        <f t="shared" si="5"/>
        <v>0.20833333333333334</v>
      </c>
      <c r="O33" s="105">
        <f t="shared" ref="O33:O36" si="8">_xlfn.NORM.S.INV(N33)</f>
        <v>-0.81221780149991241</v>
      </c>
      <c r="V33" s="77"/>
    </row>
    <row r="34" spans="2:22" ht="15.6" x14ac:dyDescent="0.6">
      <c r="B34" s="71" t="s">
        <v>30</v>
      </c>
      <c r="C34" s="143">
        <v>3.5</v>
      </c>
      <c r="D34" s="144">
        <v>4.4000000000000004</v>
      </c>
      <c r="F34" s="53"/>
      <c r="G34" s="129">
        <f t="shared" si="0"/>
        <v>7.6999999999999993</v>
      </c>
      <c r="H34" s="147">
        <f t="shared" si="1"/>
        <v>12</v>
      </c>
      <c r="I34" s="148">
        <f t="shared" si="2"/>
        <v>0.31944444444444442</v>
      </c>
      <c r="J34" s="105">
        <f t="shared" si="6"/>
        <v>-0.46925288381280222</v>
      </c>
      <c r="L34" s="129">
        <f t="shared" si="3"/>
        <v>7.25</v>
      </c>
      <c r="M34" s="147">
        <f t="shared" si="4"/>
        <v>9</v>
      </c>
      <c r="N34" s="148">
        <f t="shared" si="5"/>
        <v>0.2361111111111111</v>
      </c>
      <c r="O34" s="105">
        <f t="shared" si="8"/>
        <v>-0.71886805282271549</v>
      </c>
      <c r="V34" s="77"/>
    </row>
    <row r="35" spans="2:22" ht="15.6" x14ac:dyDescent="0.6">
      <c r="B35" s="71" t="s">
        <v>31</v>
      </c>
      <c r="C35" s="143">
        <v>8.4</v>
      </c>
      <c r="D35" s="144">
        <v>12.5</v>
      </c>
      <c r="F35" s="53"/>
      <c r="G35" s="129">
        <f t="shared" si="0"/>
        <v>11.3</v>
      </c>
      <c r="H35" s="147">
        <f t="shared" si="1"/>
        <v>20</v>
      </c>
      <c r="I35" s="148">
        <f t="shared" si="2"/>
        <v>0.54166666666666663</v>
      </c>
      <c r="J35" s="105">
        <f t="shared" si="6"/>
        <v>0.10463345561407525</v>
      </c>
      <c r="L35" s="129">
        <f t="shared" si="3"/>
        <v>31.05</v>
      </c>
      <c r="M35" s="147">
        <f t="shared" si="4"/>
        <v>31</v>
      </c>
      <c r="N35" s="148">
        <f t="shared" si="5"/>
        <v>0.84722222222222221</v>
      </c>
      <c r="O35" s="105">
        <f t="shared" si="8"/>
        <v>1.024592392540099</v>
      </c>
      <c r="V35" s="77"/>
    </row>
    <row r="36" spans="2:22" ht="15.6" x14ac:dyDescent="0.6">
      <c r="B36" s="71" t="s">
        <v>32</v>
      </c>
      <c r="C36" s="143">
        <v>5.05</v>
      </c>
      <c r="D36" s="144">
        <v>8.1999999999999993</v>
      </c>
      <c r="F36" s="53"/>
      <c r="G36" s="129">
        <f t="shared" si="0"/>
        <v>54.1</v>
      </c>
      <c r="H36" s="147">
        <f t="shared" si="1"/>
        <v>36</v>
      </c>
      <c r="I36" s="148">
        <f t="shared" si="2"/>
        <v>0.98611111111111116</v>
      </c>
      <c r="J36" s="105">
        <f t="shared" si="6"/>
        <v>2.2004105812100336</v>
      </c>
      <c r="L36" s="129">
        <f t="shared" si="3"/>
        <v>28.1</v>
      </c>
      <c r="M36" s="147">
        <f t="shared" si="4"/>
        <v>29</v>
      </c>
      <c r="N36" s="148">
        <f t="shared" si="5"/>
        <v>0.79166666666666663</v>
      </c>
      <c r="O36" s="105">
        <f t="shared" si="8"/>
        <v>0.81221780149991241</v>
      </c>
      <c r="V36" s="77"/>
    </row>
    <row r="37" spans="2:22" ht="15.6" x14ac:dyDescent="0.6">
      <c r="B37" s="71" t="s">
        <v>33</v>
      </c>
      <c r="C37" s="143">
        <v>6.15</v>
      </c>
      <c r="D37" s="144">
        <v>16.899999999999999</v>
      </c>
      <c r="F37" s="53"/>
      <c r="G37" s="129">
        <f t="shared" si="0"/>
        <v>19.399999999999999</v>
      </c>
      <c r="H37" s="147">
        <f t="shared" si="1"/>
        <v>27</v>
      </c>
      <c r="I37" s="148">
        <f t="shared" si="2"/>
        <v>0.73611111111111116</v>
      </c>
      <c r="J37" s="105">
        <f>_xlfn.NORM.S.INV(I37)</f>
        <v>0.63140189423976112</v>
      </c>
      <c r="L37" s="129">
        <f t="shared" si="3"/>
        <v>11.5</v>
      </c>
      <c r="M37" s="147">
        <f t="shared" si="4"/>
        <v>16</v>
      </c>
      <c r="N37" s="148">
        <f t="shared" si="5"/>
        <v>0.43055555555555558</v>
      </c>
      <c r="O37" s="105">
        <f>_xlfn.NORM.S.INV(N37)</f>
        <v>-0.17495994016573252</v>
      </c>
      <c r="V37" s="77"/>
    </row>
    <row r="38" spans="2:22" ht="15.6" x14ac:dyDescent="0.6">
      <c r="B38" s="71" t="s">
        <v>34</v>
      </c>
      <c r="C38" s="143">
        <v>8.15</v>
      </c>
      <c r="D38" s="144">
        <v>25.1</v>
      </c>
      <c r="F38" s="53"/>
      <c r="G38" s="129">
        <f t="shared" si="0"/>
        <v>46.75</v>
      </c>
      <c r="H38" s="147">
        <f t="shared" si="1"/>
        <v>34</v>
      </c>
      <c r="I38" s="148">
        <f t="shared" si="2"/>
        <v>0.93055555555555558</v>
      </c>
      <c r="J38" s="105">
        <f t="shared" si="6"/>
        <v>1.4799413890351927</v>
      </c>
      <c r="L38" s="129">
        <f t="shared" si="3"/>
        <v>18.350000000000001</v>
      </c>
      <c r="M38" s="147">
        <f t="shared" si="4"/>
        <v>23</v>
      </c>
      <c r="N38" s="148">
        <f t="shared" si="5"/>
        <v>0.625</v>
      </c>
      <c r="O38" s="105">
        <f t="shared" ref="O38:O40" si="9">_xlfn.NORM.S.INV(N38)</f>
        <v>0.3186393639643752</v>
      </c>
      <c r="V38" s="77"/>
    </row>
    <row r="39" spans="2:22" ht="15.9" thickBot="1" x14ac:dyDescent="0.65">
      <c r="B39" s="72" t="s">
        <v>35</v>
      </c>
      <c r="C39" s="145">
        <v>10.899999999999999</v>
      </c>
      <c r="D39" s="146">
        <v>9.9</v>
      </c>
      <c r="F39" s="53"/>
      <c r="G39" s="129">
        <f t="shared" si="0"/>
        <v>31.2</v>
      </c>
      <c r="H39" s="147">
        <f t="shared" si="1"/>
        <v>32</v>
      </c>
      <c r="I39" s="148">
        <f t="shared" si="2"/>
        <v>0.875</v>
      </c>
      <c r="J39" s="105">
        <f t="shared" si="6"/>
        <v>1.1503493803760083</v>
      </c>
      <c r="L39" s="129">
        <f t="shared" si="3"/>
        <v>7.5</v>
      </c>
      <c r="M39" s="147">
        <f t="shared" si="4"/>
        <v>11</v>
      </c>
      <c r="N39" s="148">
        <f t="shared" si="5"/>
        <v>0.29166666666666669</v>
      </c>
      <c r="O39" s="105">
        <f t="shared" si="9"/>
        <v>-0.54852228269809788</v>
      </c>
      <c r="V39" s="77"/>
    </row>
    <row r="40" spans="2:22" ht="15.9" thickBot="1" x14ac:dyDescent="0.65">
      <c r="B40" s="2"/>
      <c r="C40" s="1"/>
      <c r="D40" s="3"/>
      <c r="F40" s="53"/>
      <c r="G40" s="129">
        <f t="shared" si="0"/>
        <v>15.2</v>
      </c>
      <c r="H40" s="147">
        <f t="shared" si="1"/>
        <v>23</v>
      </c>
      <c r="I40" s="148">
        <f t="shared" si="2"/>
        <v>0.625</v>
      </c>
      <c r="J40" s="105">
        <f t="shared" si="6"/>
        <v>0.3186393639643752</v>
      </c>
      <c r="L40" s="129">
        <f t="shared" si="3"/>
        <v>10.65</v>
      </c>
      <c r="M40" s="147">
        <f t="shared" si="4"/>
        <v>15</v>
      </c>
      <c r="N40" s="148">
        <f t="shared" si="5"/>
        <v>0.40277777777777779</v>
      </c>
      <c r="O40" s="105">
        <f t="shared" si="9"/>
        <v>-0.24616364666135951</v>
      </c>
      <c r="V40" s="77"/>
    </row>
    <row r="41" spans="2:22" x14ac:dyDescent="0.55000000000000004">
      <c r="B41" s="42" t="s">
        <v>49</v>
      </c>
      <c r="C41" s="18">
        <f>AVERAGE(C4:C39)</f>
        <v>15.313888888888888</v>
      </c>
      <c r="D41" s="127">
        <f>AVERAGE(D4:D39)</f>
        <v>16.813888888888886</v>
      </c>
      <c r="F41" s="53"/>
      <c r="G41" s="129">
        <f t="shared" si="0"/>
        <v>17.8</v>
      </c>
      <c r="H41" s="147">
        <f t="shared" si="1"/>
        <v>25</v>
      </c>
      <c r="I41" s="148">
        <f t="shared" si="2"/>
        <v>0.68055555555555558</v>
      </c>
      <c r="J41" s="105">
        <f>_xlfn.NORM.S.INV(I41)</f>
        <v>0.46925288381280222</v>
      </c>
      <c r="L41" s="129">
        <f t="shared" si="3"/>
        <v>5</v>
      </c>
      <c r="M41" s="147">
        <f t="shared" si="4"/>
        <v>6</v>
      </c>
      <c r="N41" s="148">
        <f t="shared" si="5"/>
        <v>0.15277777777777779</v>
      </c>
      <c r="O41" s="105">
        <f>_xlfn.NORM.S.INV(N41)</f>
        <v>-1.024592392540099</v>
      </c>
      <c r="V41" s="77"/>
    </row>
    <row r="42" spans="2:22" x14ac:dyDescent="0.55000000000000004">
      <c r="B42" s="43" t="s">
        <v>36</v>
      </c>
      <c r="C42" s="17">
        <f>STDEV(C4:C39)</f>
        <v>13.699325380215482</v>
      </c>
      <c r="D42" s="131">
        <f>STDEV(D4:D39)</f>
        <v>12.110459535406992</v>
      </c>
      <c r="F42" s="53"/>
      <c r="G42" s="129">
        <f t="shared" si="0"/>
        <v>27.6</v>
      </c>
      <c r="H42" s="147">
        <f t="shared" si="1"/>
        <v>30</v>
      </c>
      <c r="I42" s="148">
        <f t="shared" si="2"/>
        <v>0.81944444444444442</v>
      </c>
      <c r="J42" s="105">
        <f t="shared" ref="J42:J59" si="10">_xlfn.NORM.S.INV(I42)</f>
        <v>0.91324992668360727</v>
      </c>
      <c r="L42" s="129">
        <f t="shared" si="3"/>
        <v>3.05</v>
      </c>
      <c r="M42" s="147">
        <f t="shared" si="4"/>
        <v>1</v>
      </c>
      <c r="N42" s="148">
        <f t="shared" si="5"/>
        <v>1.3888888888888888E-2</v>
      </c>
      <c r="O42" s="105">
        <f t="shared" ref="O42:O59" si="11">_xlfn.NORM.S.INV(N42)</f>
        <v>-2.2004105812100327</v>
      </c>
      <c r="V42" s="77"/>
    </row>
    <row r="43" spans="2:22" ht="14.7" thickBot="1" x14ac:dyDescent="0.6">
      <c r="B43" s="44" t="s">
        <v>48</v>
      </c>
      <c r="C43" s="19">
        <f>COUNT(C4:C39)</f>
        <v>36</v>
      </c>
      <c r="D43" s="63"/>
      <c r="F43" s="53"/>
      <c r="G43" s="129">
        <f t="shared" si="0"/>
        <v>1.05</v>
      </c>
      <c r="H43" s="147">
        <f t="shared" si="1"/>
        <v>2</v>
      </c>
      <c r="I43" s="148">
        <f t="shared" si="2"/>
        <v>4.1666666666666664E-2</v>
      </c>
      <c r="J43" s="105">
        <f t="shared" si="10"/>
        <v>-1.7316643961222451</v>
      </c>
      <c r="L43" s="129">
        <f t="shared" si="3"/>
        <v>3.8000000000000003</v>
      </c>
      <c r="M43" s="147">
        <f t="shared" si="4"/>
        <v>2</v>
      </c>
      <c r="N43" s="148">
        <f t="shared" si="5"/>
        <v>4.1666666666666664E-2</v>
      </c>
      <c r="O43" s="105">
        <f t="shared" si="11"/>
        <v>-1.7316643961222451</v>
      </c>
      <c r="V43" s="77"/>
    </row>
    <row r="44" spans="2:22" ht="14.7" thickBot="1" x14ac:dyDescent="0.6">
      <c r="F44" s="53"/>
      <c r="G44" s="129">
        <f t="shared" si="0"/>
        <v>0.6</v>
      </c>
      <c r="H44" s="147">
        <f t="shared" si="1"/>
        <v>1</v>
      </c>
      <c r="I44" s="148">
        <f t="shared" si="2"/>
        <v>1.3888888888888888E-2</v>
      </c>
      <c r="J44" s="105">
        <f t="shared" si="10"/>
        <v>-2.2004105812100327</v>
      </c>
      <c r="L44" s="129">
        <f t="shared" si="3"/>
        <v>35.4</v>
      </c>
      <c r="M44" s="147">
        <f t="shared" si="4"/>
        <v>35</v>
      </c>
      <c r="N44" s="148">
        <f t="shared" si="5"/>
        <v>0.95833333333333337</v>
      </c>
      <c r="O44" s="105">
        <f t="shared" si="11"/>
        <v>1.7316643961222455</v>
      </c>
      <c r="V44" s="77"/>
    </row>
    <row r="45" spans="2:22" x14ac:dyDescent="0.55000000000000004">
      <c r="B45" s="42" t="s">
        <v>84</v>
      </c>
      <c r="C45" s="18">
        <f>MEDIAN(C4:C39)</f>
        <v>10.45</v>
      </c>
      <c r="D45" s="127">
        <f>MEDIAN(D4:D39)</f>
        <v>12.35</v>
      </c>
      <c r="E45" s="126"/>
      <c r="F45" s="53"/>
      <c r="G45" s="129">
        <f t="shared" si="0"/>
        <v>31.349999999999998</v>
      </c>
      <c r="H45" s="147">
        <f t="shared" si="1"/>
        <v>33</v>
      </c>
      <c r="I45" s="148">
        <f t="shared" si="2"/>
        <v>0.90277777777777779</v>
      </c>
      <c r="J45" s="105">
        <f t="shared" si="10"/>
        <v>1.2975429286165541</v>
      </c>
      <c r="L45" s="129">
        <f t="shared" si="3"/>
        <v>20.25</v>
      </c>
      <c r="M45" s="147">
        <f t="shared" si="4"/>
        <v>24</v>
      </c>
      <c r="N45" s="148">
        <f t="shared" si="5"/>
        <v>0.65277777777777779</v>
      </c>
      <c r="O45" s="105">
        <f t="shared" si="11"/>
        <v>0.39283081364972938</v>
      </c>
      <c r="V45" s="77"/>
    </row>
    <row r="46" spans="2:22" ht="14.7" thickBot="1" x14ac:dyDescent="0.6">
      <c r="B46" s="123" t="s">
        <v>85</v>
      </c>
      <c r="C46" s="124">
        <f>QUARTILE(C4:C39,3)-QUARTILE(C4:C39,1)</f>
        <v>14.575000000000001</v>
      </c>
      <c r="D46" s="125">
        <f>QUARTILE(D4:D39,3)-QUARTILE(D4:D39,1)</f>
        <v>17.950000000000003</v>
      </c>
      <c r="E46" s="17"/>
      <c r="F46" s="53"/>
      <c r="G46" s="129">
        <f t="shared" si="0"/>
        <v>12.299999999999999</v>
      </c>
      <c r="H46" s="147">
        <f t="shared" si="1"/>
        <v>21</v>
      </c>
      <c r="I46" s="148">
        <f t="shared" si="2"/>
        <v>0.56944444444444442</v>
      </c>
      <c r="J46" s="105">
        <f t="shared" si="10"/>
        <v>0.17495994016573252</v>
      </c>
      <c r="L46" s="129">
        <f t="shared" si="3"/>
        <v>12.05</v>
      </c>
      <c r="M46" s="147">
        <f t="shared" si="4"/>
        <v>17</v>
      </c>
      <c r="N46" s="148">
        <f t="shared" si="5"/>
        <v>0.45833333333333331</v>
      </c>
      <c r="O46" s="105">
        <f t="shared" si="11"/>
        <v>-0.10463345561407539</v>
      </c>
      <c r="V46" s="77"/>
    </row>
    <row r="47" spans="2:22" x14ac:dyDescent="0.55000000000000004">
      <c r="F47" s="53"/>
      <c r="G47" s="129">
        <f t="shared" si="0"/>
        <v>18.850000000000001</v>
      </c>
      <c r="H47" s="147">
        <f t="shared" si="1"/>
        <v>26</v>
      </c>
      <c r="I47" s="148">
        <f t="shared" si="2"/>
        <v>0.70833333333333337</v>
      </c>
      <c r="J47" s="105">
        <f t="shared" si="10"/>
        <v>0.54852228269809822</v>
      </c>
      <c r="L47" s="129">
        <f t="shared" si="3"/>
        <v>12.2</v>
      </c>
      <c r="M47" s="147">
        <f t="shared" si="4"/>
        <v>18</v>
      </c>
      <c r="N47" s="148">
        <f t="shared" si="5"/>
        <v>0.4861111111111111</v>
      </c>
      <c r="O47" s="105">
        <f t="shared" si="11"/>
        <v>-3.4821317260347699E-2</v>
      </c>
      <c r="V47" s="77"/>
    </row>
    <row r="48" spans="2:22" x14ac:dyDescent="0.55000000000000004">
      <c r="F48" s="53"/>
      <c r="G48" s="129">
        <f t="shared" si="0"/>
        <v>28.9</v>
      </c>
      <c r="H48" s="147">
        <f t="shared" si="1"/>
        <v>31</v>
      </c>
      <c r="I48" s="148">
        <f t="shared" si="2"/>
        <v>0.84722222222222221</v>
      </c>
      <c r="J48" s="105">
        <f t="shared" si="10"/>
        <v>1.024592392540099</v>
      </c>
      <c r="L48" s="129">
        <f t="shared" si="3"/>
        <v>34.5</v>
      </c>
      <c r="M48" s="147">
        <f t="shared" si="4"/>
        <v>33</v>
      </c>
      <c r="N48" s="148">
        <f t="shared" si="5"/>
        <v>0.90277777777777779</v>
      </c>
      <c r="O48" s="105">
        <f t="shared" si="11"/>
        <v>1.2975429286165541</v>
      </c>
      <c r="V48" s="77"/>
    </row>
    <row r="49" spans="6:22" x14ac:dyDescent="0.55000000000000004">
      <c r="F49" s="53"/>
      <c r="G49" s="129">
        <f t="shared" si="0"/>
        <v>8.6499999999999986</v>
      </c>
      <c r="H49" s="147">
        <f t="shared" si="1"/>
        <v>16</v>
      </c>
      <c r="I49" s="148">
        <f t="shared" si="2"/>
        <v>0.43055555555555558</v>
      </c>
      <c r="J49" s="105">
        <f t="shared" si="10"/>
        <v>-0.17495994016573252</v>
      </c>
      <c r="L49" s="129">
        <f t="shared" si="3"/>
        <v>9.3000000000000007</v>
      </c>
      <c r="M49" s="147">
        <f t="shared" si="4"/>
        <v>13</v>
      </c>
      <c r="N49" s="148">
        <f t="shared" si="5"/>
        <v>0.34722222222222221</v>
      </c>
      <c r="O49" s="105">
        <f t="shared" si="11"/>
        <v>-0.39283081364972938</v>
      </c>
      <c r="V49" s="77"/>
    </row>
    <row r="50" spans="6:22" x14ac:dyDescent="0.55000000000000004">
      <c r="F50" s="53"/>
      <c r="G50" s="129">
        <f t="shared" si="0"/>
        <v>10</v>
      </c>
      <c r="H50" s="147">
        <f t="shared" si="1"/>
        <v>18</v>
      </c>
      <c r="I50" s="148">
        <f t="shared" si="2"/>
        <v>0.4861111111111111</v>
      </c>
      <c r="J50" s="105">
        <f t="shared" si="10"/>
        <v>-3.4821317260347699E-2</v>
      </c>
      <c r="L50" s="129">
        <f t="shared" si="3"/>
        <v>3.9000000000000004</v>
      </c>
      <c r="M50" s="147">
        <f t="shared" si="4"/>
        <v>3</v>
      </c>
      <c r="N50" s="148">
        <f t="shared" si="5"/>
        <v>6.9444444444444448E-2</v>
      </c>
      <c r="O50" s="105">
        <f t="shared" si="11"/>
        <v>-1.4799413890351922</v>
      </c>
      <c r="V50" s="77"/>
    </row>
    <row r="51" spans="6:22" x14ac:dyDescent="0.55000000000000004">
      <c r="F51" s="53"/>
      <c r="G51" s="129">
        <f t="shared" si="0"/>
        <v>16.55</v>
      </c>
      <c r="H51" s="147">
        <f t="shared" si="1"/>
        <v>24</v>
      </c>
      <c r="I51" s="148">
        <f t="shared" si="2"/>
        <v>0.65277777777777779</v>
      </c>
      <c r="J51" s="105">
        <f t="shared" si="10"/>
        <v>0.39283081364972938</v>
      </c>
      <c r="L51" s="129">
        <f t="shared" si="3"/>
        <v>22.4</v>
      </c>
      <c r="M51" s="147">
        <f t="shared" si="4"/>
        <v>26</v>
      </c>
      <c r="N51" s="148">
        <f t="shared" si="5"/>
        <v>0.70833333333333337</v>
      </c>
      <c r="O51" s="105">
        <f t="shared" si="11"/>
        <v>0.54852228269809822</v>
      </c>
      <c r="V51" s="77"/>
    </row>
    <row r="52" spans="6:22" x14ac:dyDescent="0.55000000000000004">
      <c r="F52" s="53"/>
      <c r="G52" s="129">
        <f t="shared" si="0"/>
        <v>4</v>
      </c>
      <c r="H52" s="147">
        <f t="shared" si="1"/>
        <v>7</v>
      </c>
      <c r="I52" s="148">
        <f t="shared" si="2"/>
        <v>0.18055555555555555</v>
      </c>
      <c r="J52" s="105">
        <f t="shared" si="10"/>
        <v>-0.91324992668360727</v>
      </c>
      <c r="L52" s="129">
        <f t="shared" si="3"/>
        <v>20.299999999999997</v>
      </c>
      <c r="M52" s="147">
        <f t="shared" si="4"/>
        <v>25</v>
      </c>
      <c r="N52" s="148">
        <f t="shared" si="5"/>
        <v>0.68055555555555558</v>
      </c>
      <c r="O52" s="105">
        <f t="shared" si="11"/>
        <v>0.46925288381280222</v>
      </c>
      <c r="V52" s="77"/>
    </row>
    <row r="53" spans="6:22" x14ac:dyDescent="0.55000000000000004">
      <c r="F53" s="53"/>
      <c r="G53" s="129">
        <f t="shared" si="0"/>
        <v>1.5</v>
      </c>
      <c r="H53" s="147">
        <f t="shared" si="1"/>
        <v>3</v>
      </c>
      <c r="I53" s="148">
        <f t="shared" si="2"/>
        <v>6.9444444444444448E-2</v>
      </c>
      <c r="J53" s="105">
        <f t="shared" si="10"/>
        <v>-1.4799413890351922</v>
      </c>
      <c r="L53" s="129">
        <f t="shared" si="3"/>
        <v>14.2</v>
      </c>
      <c r="M53" s="147">
        <f t="shared" si="4"/>
        <v>20</v>
      </c>
      <c r="N53" s="148">
        <f t="shared" si="5"/>
        <v>0.54166666666666663</v>
      </c>
      <c r="O53" s="105">
        <f t="shared" si="11"/>
        <v>0.10463345561407525</v>
      </c>
      <c r="V53" s="77"/>
    </row>
    <row r="54" spans="6:22" x14ac:dyDescent="0.55000000000000004">
      <c r="F54" s="53"/>
      <c r="G54" s="129">
        <f t="shared" si="0"/>
        <v>2.4000000000000004</v>
      </c>
      <c r="H54" s="147">
        <f t="shared" si="1"/>
        <v>5</v>
      </c>
      <c r="I54" s="148">
        <f t="shared" si="2"/>
        <v>0.125</v>
      </c>
      <c r="J54" s="105">
        <f t="shared" si="10"/>
        <v>-1.1503493803760083</v>
      </c>
      <c r="L54" s="129">
        <f t="shared" si="3"/>
        <v>34.299999999999997</v>
      </c>
      <c r="M54" s="147">
        <f t="shared" si="4"/>
        <v>32</v>
      </c>
      <c r="N54" s="148">
        <f t="shared" si="5"/>
        <v>0.875</v>
      </c>
      <c r="O54" s="105">
        <f t="shared" si="11"/>
        <v>1.1503493803760083</v>
      </c>
      <c r="V54" s="77"/>
    </row>
    <row r="55" spans="6:22" x14ac:dyDescent="0.55000000000000004">
      <c r="F55" s="53"/>
      <c r="G55" s="129">
        <f t="shared" si="0"/>
        <v>23.950000000000003</v>
      </c>
      <c r="H55" s="147">
        <f t="shared" si="1"/>
        <v>28</v>
      </c>
      <c r="I55" s="148">
        <f t="shared" si="2"/>
        <v>0.76388888888888884</v>
      </c>
      <c r="J55" s="105">
        <f t="shared" si="10"/>
        <v>0.71886805282271604</v>
      </c>
      <c r="L55" s="129">
        <f t="shared" si="3"/>
        <v>26.1</v>
      </c>
      <c r="M55" s="147">
        <f t="shared" si="4"/>
        <v>28</v>
      </c>
      <c r="N55" s="148">
        <f t="shared" si="5"/>
        <v>0.76388888888888884</v>
      </c>
      <c r="O55" s="105">
        <f t="shared" si="11"/>
        <v>0.71886805282271604</v>
      </c>
      <c r="V55" s="77"/>
    </row>
    <row r="56" spans="6:22" x14ac:dyDescent="0.55000000000000004">
      <c r="F56" s="53"/>
      <c r="G56" s="129">
        <f t="shared" si="0"/>
        <v>5.4</v>
      </c>
      <c r="H56" s="147">
        <f t="shared" si="1"/>
        <v>9</v>
      </c>
      <c r="I56" s="148">
        <f t="shared" si="2"/>
        <v>0.2361111111111111</v>
      </c>
      <c r="J56" s="105">
        <f t="shared" si="10"/>
        <v>-0.71886805282271549</v>
      </c>
      <c r="L56" s="129">
        <f t="shared" si="3"/>
        <v>4.1500000000000004</v>
      </c>
      <c r="M56" s="147">
        <f t="shared" si="4"/>
        <v>4</v>
      </c>
      <c r="N56" s="148">
        <f t="shared" si="5"/>
        <v>9.7222222222222224E-2</v>
      </c>
      <c r="O56" s="105">
        <f t="shared" si="11"/>
        <v>-1.2975429286165541</v>
      </c>
      <c r="V56" s="77"/>
    </row>
    <row r="57" spans="6:22" x14ac:dyDescent="0.55000000000000004">
      <c r="F57" s="53"/>
      <c r="G57" s="129">
        <f t="shared" si="0"/>
        <v>3.5</v>
      </c>
      <c r="H57" s="147">
        <f t="shared" si="1"/>
        <v>6</v>
      </c>
      <c r="I57" s="148">
        <f t="shared" si="2"/>
        <v>0.15277777777777779</v>
      </c>
      <c r="J57" s="105">
        <f t="shared" si="10"/>
        <v>-1.024592392540099</v>
      </c>
      <c r="L57" s="129">
        <f t="shared" si="3"/>
        <v>4.4000000000000004</v>
      </c>
      <c r="M57" s="147">
        <f t="shared" si="4"/>
        <v>5</v>
      </c>
      <c r="N57" s="148">
        <f t="shared" si="5"/>
        <v>0.125</v>
      </c>
      <c r="O57" s="105">
        <f>_xlfn.NORM.S.INV(N57)</f>
        <v>-1.1503493803760083</v>
      </c>
      <c r="V57" s="77"/>
    </row>
    <row r="58" spans="6:22" x14ac:dyDescent="0.55000000000000004">
      <c r="F58" s="53"/>
      <c r="G58" s="129">
        <f t="shared" si="0"/>
        <v>8.4</v>
      </c>
      <c r="H58" s="147">
        <f t="shared" si="1"/>
        <v>15</v>
      </c>
      <c r="I58" s="148">
        <f t="shared" si="2"/>
        <v>0.40277777777777779</v>
      </c>
      <c r="J58" s="105">
        <f t="shared" si="10"/>
        <v>-0.24616364666135951</v>
      </c>
      <c r="L58" s="129">
        <f t="shared" si="3"/>
        <v>12.5</v>
      </c>
      <c r="M58" s="147">
        <f t="shared" si="4"/>
        <v>19</v>
      </c>
      <c r="N58" s="148">
        <f t="shared" si="5"/>
        <v>0.51388888888888884</v>
      </c>
      <c r="O58" s="105">
        <f t="shared" si="11"/>
        <v>3.482131726034756E-2</v>
      </c>
      <c r="V58" s="77"/>
    </row>
    <row r="59" spans="6:22" x14ac:dyDescent="0.55000000000000004">
      <c r="F59" s="53"/>
      <c r="G59" s="129">
        <f t="shared" si="0"/>
        <v>5.05</v>
      </c>
      <c r="H59" s="147">
        <f t="shared" si="1"/>
        <v>8</v>
      </c>
      <c r="I59" s="148">
        <f t="shared" si="2"/>
        <v>0.20833333333333334</v>
      </c>
      <c r="J59" s="105">
        <f t="shared" si="10"/>
        <v>-0.81221780149991241</v>
      </c>
      <c r="L59" s="129">
        <f t="shared" si="3"/>
        <v>8.1999999999999993</v>
      </c>
      <c r="M59" s="147">
        <f t="shared" si="4"/>
        <v>12</v>
      </c>
      <c r="N59" s="148">
        <f t="shared" si="5"/>
        <v>0.31944444444444442</v>
      </c>
      <c r="O59" s="105">
        <f t="shared" si="11"/>
        <v>-0.46925288381280222</v>
      </c>
      <c r="V59" s="77"/>
    </row>
    <row r="60" spans="6:22" x14ac:dyDescent="0.55000000000000004">
      <c r="F60" s="53"/>
      <c r="G60" s="129">
        <f t="shared" si="0"/>
        <v>6.15</v>
      </c>
      <c r="H60" s="147">
        <f t="shared" si="1"/>
        <v>10</v>
      </c>
      <c r="I60" s="148">
        <f t="shared" si="2"/>
        <v>0.2638888888888889</v>
      </c>
      <c r="J60" s="105">
        <f>_xlfn.NORM.S.INV(I60)</f>
        <v>-0.6314018942397609</v>
      </c>
      <c r="L60" s="129">
        <f t="shared" si="3"/>
        <v>16.899999999999999</v>
      </c>
      <c r="M60" s="147">
        <f t="shared" si="4"/>
        <v>22</v>
      </c>
      <c r="N60" s="148">
        <f t="shared" si="5"/>
        <v>0.59722222222222221</v>
      </c>
      <c r="O60" s="105">
        <f>_xlfn.NORM.S.INV(N60)</f>
        <v>0.24616364666135951</v>
      </c>
      <c r="V60" s="77"/>
    </row>
    <row r="61" spans="6:22" x14ac:dyDescent="0.55000000000000004">
      <c r="F61" s="53"/>
      <c r="G61" s="129">
        <f t="shared" si="0"/>
        <v>8.15</v>
      </c>
      <c r="H61" s="147">
        <f t="shared" si="1"/>
        <v>13.5</v>
      </c>
      <c r="I61" s="148">
        <f t="shared" si="2"/>
        <v>0.3611111111111111</v>
      </c>
      <c r="J61" s="105">
        <f>_xlfn.NORM.S.INV(I61)</f>
        <v>-0.35549041783953095</v>
      </c>
      <c r="L61" s="129">
        <f t="shared" si="3"/>
        <v>25.1</v>
      </c>
      <c r="M61" s="147">
        <f t="shared" si="4"/>
        <v>27</v>
      </c>
      <c r="N61" s="148">
        <f t="shared" si="5"/>
        <v>0.73611111111111116</v>
      </c>
      <c r="O61" s="105">
        <f>_xlfn.NORM.S.INV(N61)</f>
        <v>0.63140189423976112</v>
      </c>
      <c r="V61" s="77"/>
    </row>
    <row r="62" spans="6:22" ht="14.7" thickBot="1" x14ac:dyDescent="0.6">
      <c r="F62" s="53"/>
      <c r="G62" s="130">
        <f t="shared" si="0"/>
        <v>10.899999999999999</v>
      </c>
      <c r="H62" s="108">
        <f t="shared" si="1"/>
        <v>19</v>
      </c>
      <c r="I62" s="111">
        <f t="shared" si="2"/>
        <v>0.51388888888888884</v>
      </c>
      <c r="J62" s="110">
        <f>_xlfn.NORM.S.INV(I62)</f>
        <v>3.482131726034756E-2</v>
      </c>
      <c r="L62" s="130">
        <f t="shared" si="3"/>
        <v>9.9</v>
      </c>
      <c r="M62" s="108">
        <f t="shared" si="4"/>
        <v>14</v>
      </c>
      <c r="N62" s="111">
        <f t="shared" si="5"/>
        <v>0.375</v>
      </c>
      <c r="O62" s="110">
        <f>_xlfn.NORM.S.INV(N62)</f>
        <v>-0.3186393639643752</v>
      </c>
      <c r="V62" s="77"/>
    </row>
    <row r="63" spans="6:22" ht="14.7" thickBot="1" x14ac:dyDescent="0.6">
      <c r="F63" s="51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78"/>
    </row>
  </sheetData>
  <mergeCells count="15">
    <mergeCell ref="I22:M23"/>
    <mergeCell ref="G25:J25"/>
    <mergeCell ref="L25:O25"/>
    <mergeCell ref="C2:D2"/>
    <mergeCell ref="B2:B3"/>
    <mergeCell ref="G14:I14"/>
    <mergeCell ref="G15:I15"/>
    <mergeCell ref="G17:I17"/>
    <mergeCell ref="G18:I18"/>
    <mergeCell ref="G3:M3"/>
    <mergeCell ref="K15:L15"/>
    <mergeCell ref="K16:L16"/>
    <mergeCell ref="K17:L17"/>
    <mergeCell ref="G5:M5"/>
    <mergeCell ref="G9:M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OxCap</vt:lpstr>
      <vt:lpstr>Averaging methods</vt:lpstr>
      <vt:lpstr>HHbR vs HHbB vs StO2</vt:lpstr>
      <vt:lpstr>Fold of incr. TA vs VL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 Mazzolari</dc:creator>
  <cp:lastModifiedBy>Raffaele Mazzolari</cp:lastModifiedBy>
  <dcterms:created xsi:type="dcterms:W3CDTF">2023-09-17T18:31:14Z</dcterms:created>
  <dcterms:modified xsi:type="dcterms:W3CDTF">2023-10-18T10:21:59Z</dcterms:modified>
</cp:coreProperties>
</file>