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ml.chartshapes+xml"/>
  <Override PartName="/xl/charts/chart3.xml" ContentType="application/vnd.openxmlformats-officedocument.drawingml.chart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6.xml" ContentType="application/vnd.openxmlformats-officedocument.drawingml.chartshapes+xml"/>
  <Override PartName="/xl/charts/chart5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7.xml" ContentType="application/vnd.openxmlformats-officedocument.drawingml.chartshapes+xml"/>
  <Override PartName="/xl/charts/chart6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8.xml" ContentType="application/vnd.openxmlformats-officedocument.drawingml.chartshapes+xml"/>
  <Override PartName="/xl/charts/chart7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9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ojquitt/Nextcloud/Literatur 3-min all-out/Paper/"/>
    </mc:Choice>
  </mc:AlternateContent>
  <xr:revisionPtr revIDLastSave="0" documentId="13_ncr:1_{0661C5C3-D7FA-9948-ABAC-120D07D438AB}" xr6:coauthVersionLast="47" xr6:coauthVersionMax="47" xr10:uidLastSave="{00000000-0000-0000-0000-000000000000}"/>
  <bookViews>
    <workbookView xWindow="0" yWindow="0" windowWidth="33600" windowHeight="21000" xr2:uid="{B50CD015-3A7F-724D-BD35-8C5E38DB22FA}"/>
  </bookViews>
  <sheets>
    <sheet name="Table" sheetId="1" r:id="rId1"/>
    <sheet name="data" sheetId="20" r:id="rId2"/>
    <sheet name="Vanhatalo 07 WT" sheetId="23" r:id="rId3"/>
    <sheet name="Vanhatalo 07 1T" sheetId="8" r:id="rId4"/>
    <sheet name="Baker 11 1T 180" sheetId="4" r:id="rId5"/>
    <sheet name="Baker 11 1T 90" sheetId="9" r:id="rId6"/>
    <sheet name="Karsten 13 WT" sheetId="16" r:id="rId7"/>
    <sheet name="Karsten 13 1T" sheetId="17" r:id="rId8"/>
    <sheet name="Dekerle 13 1T 100" sheetId="7" r:id="rId9"/>
    <sheet name="Dekerle 13 1T 60" sheetId="10" r:id="rId10"/>
    <sheet name="Clark 16 WT" sheetId="11" r:id="rId11"/>
    <sheet name="Clark 16 1T" sheetId="12" r:id="rId12"/>
    <sheet name="Bartram 17 WT" sheetId="13" r:id="rId13"/>
    <sheet name="Wright 17 1T iso" sheetId="18" r:id="rId14"/>
    <sheet name="Wright 17 1T lin" sheetId="19" r:id="rId15"/>
    <sheet name="Clark 19 mix fat" sheetId="14" r:id="rId16"/>
    <sheet name="Goulding 21 mix up" sheetId="25" r:id="rId17"/>
    <sheet name="Goulding 21 mix sup" sheetId="27" r:id="rId18"/>
    <sheet name="new (2)" sheetId="26" r:id="rId19"/>
    <sheet name="Fig-Tool" sheetId="15" r:id="rId20"/>
  </sheets>
  <definedNames>
    <definedName name="_xlnm._FilterDatabase" localSheetId="0" hidden="1">Table!$A$1:$AB$16</definedName>
    <definedName name="_xlnm.Print_Area" localSheetId="0">Table!$AE$1:$AN$22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18" i="1" l="1"/>
  <c r="U2" i="1"/>
  <c r="AQ10" i="1"/>
  <c r="AF7" i="1"/>
  <c r="AF9" i="1"/>
  <c r="AF10" i="1"/>
  <c r="K163" i="20"/>
  <c r="L163" i="20"/>
  <c r="F164" i="20"/>
  <c r="F163" i="20" s="1"/>
  <c r="G164" i="20"/>
  <c r="G163" i="20" s="1"/>
  <c r="H164" i="20"/>
  <c r="H163" i="20" s="1"/>
  <c r="I164" i="20"/>
  <c r="I165" i="20" s="1"/>
  <c r="J164" i="20"/>
  <c r="J165" i="20" s="1"/>
  <c r="K164" i="20"/>
  <c r="L164" i="20"/>
  <c r="K165" i="20"/>
  <c r="L165" i="20"/>
  <c r="E164" i="20"/>
  <c r="E163" i="20" s="1"/>
  <c r="U1" i="20"/>
  <c r="T1" i="20"/>
  <c r="R1" i="20"/>
  <c r="Q1" i="20"/>
  <c r="L160" i="20"/>
  <c r="K160" i="20"/>
  <c r="L159" i="20"/>
  <c r="K159" i="20"/>
  <c r="L158" i="20"/>
  <c r="K158" i="20"/>
  <c r="L157" i="20"/>
  <c r="K157" i="20"/>
  <c r="L156" i="20"/>
  <c r="K156" i="20"/>
  <c r="L155" i="20"/>
  <c r="K155" i="20"/>
  <c r="L154" i="20"/>
  <c r="K154" i="20"/>
  <c r="L153" i="20"/>
  <c r="K153" i="20"/>
  <c r="E154" i="20"/>
  <c r="F154" i="20"/>
  <c r="G154" i="20"/>
  <c r="H154" i="20"/>
  <c r="I154" i="20"/>
  <c r="J154" i="20"/>
  <c r="E155" i="20"/>
  <c r="F155" i="20"/>
  <c r="G155" i="20"/>
  <c r="H155" i="20"/>
  <c r="I155" i="20"/>
  <c r="J155" i="20"/>
  <c r="E156" i="20"/>
  <c r="F156" i="20"/>
  <c r="G156" i="20"/>
  <c r="H156" i="20"/>
  <c r="I156" i="20"/>
  <c r="J156" i="20"/>
  <c r="E157" i="20"/>
  <c r="F157" i="20"/>
  <c r="G157" i="20"/>
  <c r="H157" i="20"/>
  <c r="I157" i="20"/>
  <c r="J157" i="20"/>
  <c r="E158" i="20"/>
  <c r="F158" i="20"/>
  <c r="G158" i="20"/>
  <c r="H158" i="20"/>
  <c r="I158" i="20"/>
  <c r="J158" i="20"/>
  <c r="E159" i="20"/>
  <c r="F159" i="20"/>
  <c r="G159" i="20"/>
  <c r="H159" i="20"/>
  <c r="I159" i="20"/>
  <c r="J159" i="20"/>
  <c r="E160" i="20"/>
  <c r="F160" i="20"/>
  <c r="G160" i="20"/>
  <c r="H160" i="20"/>
  <c r="I160" i="20"/>
  <c r="J160" i="20"/>
  <c r="F153" i="20"/>
  <c r="G153" i="20"/>
  <c r="H153" i="20"/>
  <c r="I153" i="20"/>
  <c r="J153" i="20"/>
  <c r="E153" i="20"/>
  <c r="D153" i="20"/>
  <c r="D138" i="20"/>
  <c r="K140" i="20"/>
  <c r="L140" i="20"/>
  <c r="K141" i="20"/>
  <c r="L141" i="20"/>
  <c r="K142" i="20"/>
  <c r="L142" i="20"/>
  <c r="K143" i="20"/>
  <c r="L143" i="20"/>
  <c r="K144" i="20"/>
  <c r="L144" i="20"/>
  <c r="K145" i="20"/>
  <c r="L145" i="20"/>
  <c r="K146" i="20"/>
  <c r="L146" i="20"/>
  <c r="K147" i="20"/>
  <c r="L147" i="20"/>
  <c r="K148" i="20"/>
  <c r="L148" i="20"/>
  <c r="K149" i="20"/>
  <c r="L149" i="20"/>
  <c r="K150" i="20"/>
  <c r="L150" i="20"/>
  <c r="K151" i="20"/>
  <c r="L151" i="20"/>
  <c r="K152" i="20"/>
  <c r="L152" i="20"/>
  <c r="L139" i="20"/>
  <c r="K139" i="20"/>
  <c r="L138" i="20"/>
  <c r="K138" i="20"/>
  <c r="H138" i="20"/>
  <c r="I138" i="20"/>
  <c r="J138" i="20"/>
  <c r="H139" i="20"/>
  <c r="I139" i="20"/>
  <c r="J139" i="20"/>
  <c r="H140" i="20"/>
  <c r="I140" i="20"/>
  <c r="J140" i="20"/>
  <c r="H141" i="20"/>
  <c r="I141" i="20"/>
  <c r="J141" i="20"/>
  <c r="H142" i="20"/>
  <c r="I142" i="20"/>
  <c r="J142" i="20"/>
  <c r="H143" i="20"/>
  <c r="I143" i="20"/>
  <c r="J143" i="20"/>
  <c r="H144" i="20"/>
  <c r="I144" i="20"/>
  <c r="J144" i="20"/>
  <c r="H145" i="20"/>
  <c r="I145" i="20"/>
  <c r="J145" i="20"/>
  <c r="H146" i="20"/>
  <c r="I146" i="20"/>
  <c r="J146" i="20"/>
  <c r="H147" i="20"/>
  <c r="I147" i="20"/>
  <c r="J147" i="20"/>
  <c r="H148" i="20"/>
  <c r="I148" i="20"/>
  <c r="J148" i="20"/>
  <c r="H149" i="20"/>
  <c r="I149" i="20"/>
  <c r="J149" i="20"/>
  <c r="H150" i="20"/>
  <c r="I150" i="20"/>
  <c r="J150" i="20"/>
  <c r="H151" i="20"/>
  <c r="I151" i="20"/>
  <c r="J151" i="20"/>
  <c r="H152" i="20"/>
  <c r="I152" i="20"/>
  <c r="J152" i="20"/>
  <c r="F138" i="20"/>
  <c r="G138" i="20"/>
  <c r="F139" i="20"/>
  <c r="G139" i="20"/>
  <c r="F140" i="20"/>
  <c r="G140" i="20"/>
  <c r="F141" i="20"/>
  <c r="G141" i="20"/>
  <c r="F142" i="20"/>
  <c r="G142" i="20"/>
  <c r="F143" i="20"/>
  <c r="G143" i="20"/>
  <c r="F144" i="20"/>
  <c r="G144" i="20"/>
  <c r="F145" i="20"/>
  <c r="G145" i="20"/>
  <c r="F146" i="20"/>
  <c r="G146" i="20"/>
  <c r="F147" i="20"/>
  <c r="G147" i="20"/>
  <c r="F148" i="20"/>
  <c r="G148" i="20"/>
  <c r="F149" i="20"/>
  <c r="G149" i="20"/>
  <c r="F150" i="20"/>
  <c r="G150" i="20"/>
  <c r="F151" i="20"/>
  <c r="G151" i="20"/>
  <c r="F152" i="20"/>
  <c r="G152" i="20"/>
  <c r="E139" i="20"/>
  <c r="E140" i="20"/>
  <c r="E141" i="20"/>
  <c r="E142" i="20"/>
  <c r="E143" i="20"/>
  <c r="E144" i="20"/>
  <c r="E145" i="20"/>
  <c r="E146" i="20"/>
  <c r="E147" i="20"/>
  <c r="E148" i="20"/>
  <c r="E149" i="20"/>
  <c r="E150" i="20"/>
  <c r="E151" i="20"/>
  <c r="E152" i="20"/>
  <c r="E138" i="20"/>
  <c r="K3" i="20"/>
  <c r="L3" i="20"/>
  <c r="K4" i="20"/>
  <c r="L4" i="20"/>
  <c r="K5" i="20"/>
  <c r="L5" i="20"/>
  <c r="K6" i="20"/>
  <c r="L6" i="20"/>
  <c r="K7" i="20"/>
  <c r="L7" i="20"/>
  <c r="K8" i="20"/>
  <c r="L8" i="20"/>
  <c r="K9" i="20"/>
  <c r="L9" i="20"/>
  <c r="K10" i="20"/>
  <c r="L10" i="20"/>
  <c r="K11" i="20"/>
  <c r="L11" i="20"/>
  <c r="K12" i="20"/>
  <c r="L12" i="20"/>
  <c r="K13" i="20"/>
  <c r="L13" i="20"/>
  <c r="K14" i="20"/>
  <c r="L14" i="20"/>
  <c r="K15" i="20"/>
  <c r="L15" i="20"/>
  <c r="K16" i="20"/>
  <c r="L16" i="20"/>
  <c r="K17" i="20"/>
  <c r="L17" i="20"/>
  <c r="K18" i="20"/>
  <c r="L18" i="20"/>
  <c r="K19" i="20"/>
  <c r="L19" i="20"/>
  <c r="K20" i="20"/>
  <c r="L20" i="20"/>
  <c r="K21" i="20"/>
  <c r="L21" i="20"/>
  <c r="K22" i="20"/>
  <c r="L22" i="20"/>
  <c r="K23" i="20"/>
  <c r="L23" i="20"/>
  <c r="K24" i="20"/>
  <c r="L24" i="20"/>
  <c r="K25" i="20"/>
  <c r="L25" i="20"/>
  <c r="K26" i="20"/>
  <c r="L26" i="20"/>
  <c r="K27" i="20"/>
  <c r="L27" i="20"/>
  <c r="K28" i="20"/>
  <c r="L28" i="20"/>
  <c r="K29" i="20"/>
  <c r="L29" i="20"/>
  <c r="K30" i="20"/>
  <c r="L30" i="20"/>
  <c r="K31" i="20"/>
  <c r="L31" i="20"/>
  <c r="K32" i="20"/>
  <c r="L32" i="20"/>
  <c r="K33" i="20"/>
  <c r="L33" i="20"/>
  <c r="K34" i="20"/>
  <c r="L34" i="20"/>
  <c r="K35" i="20"/>
  <c r="L35" i="20"/>
  <c r="K36" i="20"/>
  <c r="L36" i="20"/>
  <c r="K37" i="20"/>
  <c r="L37" i="20"/>
  <c r="K38" i="20"/>
  <c r="L38" i="20"/>
  <c r="K39" i="20"/>
  <c r="L39" i="20"/>
  <c r="K40" i="20"/>
  <c r="L40" i="20"/>
  <c r="K41" i="20"/>
  <c r="L41" i="20"/>
  <c r="K42" i="20"/>
  <c r="L42" i="20"/>
  <c r="K43" i="20"/>
  <c r="L43" i="20"/>
  <c r="K44" i="20"/>
  <c r="L44" i="20"/>
  <c r="K45" i="20"/>
  <c r="L45" i="20"/>
  <c r="K46" i="20"/>
  <c r="L46" i="20"/>
  <c r="K47" i="20"/>
  <c r="L47" i="20"/>
  <c r="K48" i="20"/>
  <c r="L48" i="20"/>
  <c r="K49" i="20"/>
  <c r="L49" i="20"/>
  <c r="K50" i="20"/>
  <c r="L50" i="20"/>
  <c r="K51" i="20"/>
  <c r="L51" i="20"/>
  <c r="K52" i="20"/>
  <c r="L52" i="20"/>
  <c r="K53" i="20"/>
  <c r="L53" i="20"/>
  <c r="K54" i="20"/>
  <c r="L54" i="20"/>
  <c r="K55" i="20"/>
  <c r="L55" i="20"/>
  <c r="K56" i="20"/>
  <c r="L56" i="20"/>
  <c r="K57" i="20"/>
  <c r="L57" i="20"/>
  <c r="K58" i="20"/>
  <c r="L58" i="20"/>
  <c r="K59" i="20"/>
  <c r="L59" i="20"/>
  <c r="K60" i="20"/>
  <c r="L60" i="20"/>
  <c r="K61" i="20"/>
  <c r="L61" i="20"/>
  <c r="K62" i="20"/>
  <c r="L62" i="20"/>
  <c r="K63" i="20"/>
  <c r="L63" i="20"/>
  <c r="K64" i="20"/>
  <c r="L64" i="20"/>
  <c r="K65" i="20"/>
  <c r="L65" i="20"/>
  <c r="K66" i="20"/>
  <c r="L66" i="20"/>
  <c r="K67" i="20"/>
  <c r="L67" i="20"/>
  <c r="K68" i="20"/>
  <c r="L68" i="20"/>
  <c r="K69" i="20"/>
  <c r="L69" i="20"/>
  <c r="K70" i="20"/>
  <c r="L70" i="20"/>
  <c r="K71" i="20"/>
  <c r="L71" i="20"/>
  <c r="K72" i="20"/>
  <c r="L72" i="20"/>
  <c r="K73" i="20"/>
  <c r="L73" i="20"/>
  <c r="K74" i="20"/>
  <c r="L74" i="20"/>
  <c r="K75" i="20"/>
  <c r="L75" i="20"/>
  <c r="K76" i="20"/>
  <c r="L76" i="20"/>
  <c r="K77" i="20"/>
  <c r="L77" i="20"/>
  <c r="K78" i="20"/>
  <c r="L78" i="20"/>
  <c r="K79" i="20"/>
  <c r="L79" i="20"/>
  <c r="K80" i="20"/>
  <c r="L80" i="20"/>
  <c r="K81" i="20"/>
  <c r="L81" i="20"/>
  <c r="K82" i="20"/>
  <c r="L82" i="20"/>
  <c r="K83" i="20"/>
  <c r="L83" i="20"/>
  <c r="K84" i="20"/>
  <c r="L84" i="20"/>
  <c r="K85" i="20"/>
  <c r="L85" i="20"/>
  <c r="K86" i="20"/>
  <c r="L86" i="20"/>
  <c r="K87" i="20"/>
  <c r="L87" i="20"/>
  <c r="K88" i="20"/>
  <c r="L88" i="20"/>
  <c r="K89" i="20"/>
  <c r="L89" i="20"/>
  <c r="K90" i="20"/>
  <c r="L90" i="20"/>
  <c r="K91" i="20"/>
  <c r="L91" i="20"/>
  <c r="K92" i="20"/>
  <c r="L92" i="20"/>
  <c r="K93" i="20"/>
  <c r="L93" i="20"/>
  <c r="K94" i="20"/>
  <c r="L94" i="20"/>
  <c r="K95" i="20"/>
  <c r="L95" i="20"/>
  <c r="K96" i="20"/>
  <c r="L96" i="20"/>
  <c r="K97" i="20"/>
  <c r="L97" i="20"/>
  <c r="K98" i="20"/>
  <c r="L98" i="20"/>
  <c r="K99" i="20"/>
  <c r="L99" i="20"/>
  <c r="K100" i="20"/>
  <c r="L100" i="20"/>
  <c r="K101" i="20"/>
  <c r="L101" i="20"/>
  <c r="K102" i="20"/>
  <c r="L102" i="20"/>
  <c r="K103" i="20"/>
  <c r="L103" i="20"/>
  <c r="K104" i="20"/>
  <c r="L104" i="20"/>
  <c r="K105" i="20"/>
  <c r="L105" i="20"/>
  <c r="K106" i="20"/>
  <c r="L106" i="20"/>
  <c r="K107" i="20"/>
  <c r="L107" i="20"/>
  <c r="K108" i="20"/>
  <c r="L108" i="20"/>
  <c r="K109" i="20"/>
  <c r="L109" i="20"/>
  <c r="K110" i="20"/>
  <c r="L110" i="20"/>
  <c r="K111" i="20"/>
  <c r="L111" i="20"/>
  <c r="K112" i="20"/>
  <c r="L112" i="20"/>
  <c r="K113" i="20"/>
  <c r="L113" i="20"/>
  <c r="K114" i="20"/>
  <c r="L114" i="20"/>
  <c r="K115" i="20"/>
  <c r="L115" i="20"/>
  <c r="K116" i="20"/>
  <c r="L116" i="20"/>
  <c r="K117" i="20"/>
  <c r="L117" i="20"/>
  <c r="K118" i="20"/>
  <c r="L118" i="20"/>
  <c r="K119" i="20"/>
  <c r="L119" i="20"/>
  <c r="K120" i="20"/>
  <c r="L120" i="20"/>
  <c r="K121" i="20"/>
  <c r="L121" i="20"/>
  <c r="K122" i="20"/>
  <c r="L122" i="20"/>
  <c r="K123" i="20"/>
  <c r="L123" i="20"/>
  <c r="K124" i="20"/>
  <c r="L124" i="20"/>
  <c r="K125" i="20"/>
  <c r="L125" i="20"/>
  <c r="K126" i="20"/>
  <c r="L126" i="20"/>
  <c r="K127" i="20"/>
  <c r="L127" i="20"/>
  <c r="K128" i="20"/>
  <c r="L128" i="20"/>
  <c r="K129" i="20"/>
  <c r="L129" i="20"/>
  <c r="K130" i="20"/>
  <c r="L130" i="20"/>
  <c r="K131" i="20"/>
  <c r="L131" i="20"/>
  <c r="K132" i="20"/>
  <c r="L132" i="20"/>
  <c r="K133" i="20"/>
  <c r="L133" i="20"/>
  <c r="K134" i="20"/>
  <c r="L134" i="20"/>
  <c r="K135" i="20"/>
  <c r="L135" i="20"/>
  <c r="K136" i="20"/>
  <c r="L136" i="20"/>
  <c r="K137" i="20"/>
  <c r="L137" i="20"/>
  <c r="L2" i="20"/>
  <c r="K2" i="20"/>
  <c r="D124" i="20"/>
  <c r="P16" i="1"/>
  <c r="P7" i="1"/>
  <c r="AC18" i="1"/>
  <c r="AC9" i="1"/>
  <c r="AC10" i="1"/>
  <c r="G25" i="27"/>
  <c r="D25" i="27"/>
  <c r="G25" i="25"/>
  <c r="D25" i="25"/>
  <c r="P6" i="1"/>
  <c r="C7" i="1"/>
  <c r="D7" i="1"/>
  <c r="E7" i="1" s="1"/>
  <c r="C16" i="1"/>
  <c r="D16" i="1"/>
  <c r="O16" i="1" s="1"/>
  <c r="E3" i="27"/>
  <c r="F3" i="27"/>
  <c r="E4" i="27"/>
  <c r="F4" i="27"/>
  <c r="E5" i="27"/>
  <c r="F5" i="27"/>
  <c r="E6" i="27"/>
  <c r="F6" i="27"/>
  <c r="F23" i="27" s="1"/>
  <c r="E7" i="27"/>
  <c r="G7" i="27" s="1"/>
  <c r="F7" i="27"/>
  <c r="F22" i="27" s="1"/>
  <c r="E8" i="27"/>
  <c r="E22" i="27" s="1"/>
  <c r="F8" i="27"/>
  <c r="E9" i="27"/>
  <c r="F9" i="27"/>
  <c r="E10" i="27"/>
  <c r="F10" i="27"/>
  <c r="E11" i="27"/>
  <c r="G11" i="27" s="1"/>
  <c r="F11" i="27"/>
  <c r="E12" i="27"/>
  <c r="G12" i="27" s="1"/>
  <c r="F12" i="27"/>
  <c r="E13" i="27"/>
  <c r="G13" i="27" s="1"/>
  <c r="F13" i="27"/>
  <c r="E14" i="27"/>
  <c r="G14" i="27" s="1"/>
  <c r="F14" i="27"/>
  <c r="E15" i="27"/>
  <c r="F15" i="27"/>
  <c r="E16" i="27"/>
  <c r="F16" i="27"/>
  <c r="E17" i="27"/>
  <c r="F17" i="27"/>
  <c r="E18" i="27"/>
  <c r="F18" i="27"/>
  <c r="E19" i="27"/>
  <c r="G19" i="27" s="1"/>
  <c r="F19" i="27"/>
  <c r="E20" i="27"/>
  <c r="G20" i="27" s="1"/>
  <c r="F20" i="27"/>
  <c r="E21" i="27"/>
  <c r="F21" i="27"/>
  <c r="F2" i="27"/>
  <c r="E2" i="27"/>
  <c r="E3" i="25"/>
  <c r="F3" i="25"/>
  <c r="E4" i="25"/>
  <c r="G4" i="25" s="1"/>
  <c r="F4" i="25"/>
  <c r="E5" i="25"/>
  <c r="G5" i="25" s="1"/>
  <c r="F5" i="25"/>
  <c r="E6" i="25"/>
  <c r="G6" i="25" s="1"/>
  <c r="F6" i="25"/>
  <c r="F23" i="25" s="1"/>
  <c r="E7" i="25"/>
  <c r="E23" i="25" s="1"/>
  <c r="F7" i="25"/>
  <c r="F22" i="25" s="1"/>
  <c r="E8" i="25"/>
  <c r="E22" i="25" s="1"/>
  <c r="F8" i="25"/>
  <c r="G8" i="25" s="1"/>
  <c r="E9" i="25"/>
  <c r="F9" i="25"/>
  <c r="E10" i="25"/>
  <c r="F10" i="25"/>
  <c r="E11" i="25"/>
  <c r="F11" i="25"/>
  <c r="E12" i="25"/>
  <c r="F12" i="25"/>
  <c r="G12" i="25" s="1"/>
  <c r="E13" i="25"/>
  <c r="G13" i="25" s="1"/>
  <c r="F13" i="25"/>
  <c r="E14" i="25"/>
  <c r="G14" i="25" s="1"/>
  <c r="F14" i="25"/>
  <c r="E15" i="25"/>
  <c r="F15" i="25"/>
  <c r="E16" i="25"/>
  <c r="F16" i="25"/>
  <c r="G16" i="25" s="1"/>
  <c r="E17" i="25"/>
  <c r="G17" i="25" s="1"/>
  <c r="F17" i="25"/>
  <c r="E18" i="25"/>
  <c r="G18" i="25" s="1"/>
  <c r="F18" i="25"/>
  <c r="E19" i="25"/>
  <c r="F19" i="25"/>
  <c r="E20" i="25"/>
  <c r="G20" i="25" s="1"/>
  <c r="F20" i="25"/>
  <c r="E21" i="25"/>
  <c r="F21" i="25"/>
  <c r="F2" i="25"/>
  <c r="E2" i="25"/>
  <c r="CC27" i="15"/>
  <c r="CC26" i="15"/>
  <c r="CC25" i="15"/>
  <c r="CC24" i="15"/>
  <c r="CC23" i="15"/>
  <c r="CC22" i="15"/>
  <c r="CC21" i="15"/>
  <c r="CC20" i="15"/>
  <c r="CC19" i="15"/>
  <c r="CC18" i="15"/>
  <c r="CC17" i="15"/>
  <c r="CC16" i="15"/>
  <c r="CC15" i="15"/>
  <c r="CC14" i="15"/>
  <c r="CC13" i="15"/>
  <c r="CC12" i="15"/>
  <c r="CC11" i="15"/>
  <c r="CC10" i="15"/>
  <c r="CC9" i="15"/>
  <c r="CC8" i="15"/>
  <c r="BV27" i="15"/>
  <c r="BV26" i="15"/>
  <c r="BV25" i="15"/>
  <c r="BV24" i="15"/>
  <c r="BV23" i="15"/>
  <c r="BV22" i="15"/>
  <c r="BV21" i="15"/>
  <c r="BV20" i="15"/>
  <c r="BV19" i="15"/>
  <c r="BV18" i="15"/>
  <c r="BV17" i="15"/>
  <c r="BV16" i="15"/>
  <c r="BV15" i="15"/>
  <c r="BV14" i="15"/>
  <c r="BV13" i="15"/>
  <c r="BV12" i="15"/>
  <c r="BV11" i="15"/>
  <c r="BV10" i="15"/>
  <c r="BV9" i="15"/>
  <c r="BV8" i="15"/>
  <c r="CB27" i="15"/>
  <c r="CE27" i="15" s="1"/>
  <c r="CB26" i="15"/>
  <c r="CE26" i="15" s="1"/>
  <c r="CB25" i="15"/>
  <c r="CE25" i="15" s="1"/>
  <c r="CB24" i="15"/>
  <c r="CE24" i="15" s="1"/>
  <c r="CB23" i="15"/>
  <c r="CB22" i="15"/>
  <c r="CB21" i="15"/>
  <c r="CB20" i="15"/>
  <c r="CB19" i="15"/>
  <c r="CB18" i="15"/>
  <c r="CB17" i="15"/>
  <c r="CB16" i="15"/>
  <c r="CB15" i="15"/>
  <c r="CB14" i="15"/>
  <c r="CE14" i="15" s="1"/>
  <c r="CB13" i="15"/>
  <c r="CB12" i="15"/>
  <c r="CE12" i="15" s="1"/>
  <c r="CB11" i="15"/>
  <c r="CB10" i="15"/>
  <c r="CB9" i="15"/>
  <c r="CB8" i="15"/>
  <c r="BU27" i="15"/>
  <c r="BU26" i="15"/>
  <c r="BU25" i="15"/>
  <c r="BU24" i="15"/>
  <c r="BU23" i="15"/>
  <c r="BW23" i="15" s="1"/>
  <c r="BU22" i="15"/>
  <c r="BW22" i="15" s="1"/>
  <c r="BU21" i="15"/>
  <c r="BW21" i="15" s="1"/>
  <c r="BU20" i="15"/>
  <c r="BW20" i="15" s="1"/>
  <c r="BU19" i="15"/>
  <c r="BU18" i="15"/>
  <c r="BU17" i="15"/>
  <c r="BU16" i="15"/>
  <c r="BU15" i="15"/>
  <c r="BU14" i="15"/>
  <c r="BU13" i="15"/>
  <c r="BU12" i="15"/>
  <c r="BU11" i="15"/>
  <c r="BW11" i="15" s="1"/>
  <c r="BU10" i="15"/>
  <c r="BW10" i="15" s="1"/>
  <c r="BU9" i="15"/>
  <c r="BW9" i="15" s="1"/>
  <c r="BU8" i="15"/>
  <c r="BX8" i="15" s="1"/>
  <c r="D27" i="27"/>
  <c r="G21" i="27"/>
  <c r="G18" i="27"/>
  <c r="G17" i="27"/>
  <c r="G16" i="27"/>
  <c r="G15" i="27"/>
  <c r="G10" i="27"/>
  <c r="G9" i="27"/>
  <c r="G6" i="27"/>
  <c r="G5" i="27"/>
  <c r="G4" i="27"/>
  <c r="G3" i="27"/>
  <c r="G2" i="27"/>
  <c r="D21" i="27"/>
  <c r="D20" i="27"/>
  <c r="D19" i="27"/>
  <c r="D18" i="27"/>
  <c r="D17" i="27"/>
  <c r="D16" i="27"/>
  <c r="D15" i="27"/>
  <c r="D14" i="27"/>
  <c r="D13" i="27"/>
  <c r="D12" i="27"/>
  <c r="D11" i="27"/>
  <c r="D22" i="27" s="1"/>
  <c r="D10" i="27"/>
  <c r="D9" i="27"/>
  <c r="D8" i="27"/>
  <c r="D7" i="27"/>
  <c r="D6" i="27"/>
  <c r="D5" i="27"/>
  <c r="D4" i="27"/>
  <c r="D3" i="27"/>
  <c r="D2" i="27"/>
  <c r="B3" i="27"/>
  <c r="C3" i="27"/>
  <c r="B4" i="27"/>
  <c r="C4" i="27"/>
  <c r="B5" i="27"/>
  <c r="C5" i="27"/>
  <c r="B6" i="27"/>
  <c r="C6" i="27"/>
  <c r="B7" i="27"/>
  <c r="C7" i="27"/>
  <c r="B8" i="27"/>
  <c r="C8" i="27"/>
  <c r="B9" i="27"/>
  <c r="C9" i="27"/>
  <c r="C2" i="27"/>
  <c r="B2" i="27"/>
  <c r="G21" i="25"/>
  <c r="G19" i="25"/>
  <c r="G15" i="25"/>
  <c r="G11" i="25"/>
  <c r="G10" i="25"/>
  <c r="G9" i="25"/>
  <c r="G7" i="25"/>
  <c r="G3" i="25"/>
  <c r="G2" i="25"/>
  <c r="B17" i="25"/>
  <c r="C17" i="25"/>
  <c r="B16" i="25"/>
  <c r="C16" i="25"/>
  <c r="D16" i="25" s="1"/>
  <c r="D17" i="25"/>
  <c r="B14" i="25"/>
  <c r="C14" i="25"/>
  <c r="B15" i="25"/>
  <c r="C15" i="25"/>
  <c r="B3" i="25"/>
  <c r="C3" i="25"/>
  <c r="B4" i="25"/>
  <c r="C4" i="25"/>
  <c r="B5" i="25"/>
  <c r="D5" i="25" s="1"/>
  <c r="C5" i="25"/>
  <c r="B6" i="25"/>
  <c r="D6" i="25" s="1"/>
  <c r="C6" i="25"/>
  <c r="B7" i="25"/>
  <c r="D7" i="25" s="1"/>
  <c r="C7" i="25"/>
  <c r="B8" i="25"/>
  <c r="D8" i="25" s="1"/>
  <c r="C8" i="25"/>
  <c r="B9" i="25"/>
  <c r="C9" i="25"/>
  <c r="B10" i="25"/>
  <c r="C10" i="25"/>
  <c r="B11" i="25"/>
  <c r="C11" i="25"/>
  <c r="D11" i="25" s="1"/>
  <c r="B12" i="25"/>
  <c r="C12" i="25"/>
  <c r="D12" i="25" s="1"/>
  <c r="B13" i="25"/>
  <c r="C13" i="25"/>
  <c r="D13" i="25" s="1"/>
  <c r="D3" i="25"/>
  <c r="D4" i="25"/>
  <c r="D9" i="25"/>
  <c r="D10" i="25"/>
  <c r="D14" i="25"/>
  <c r="D15" i="25"/>
  <c r="D18" i="25"/>
  <c r="D19" i="25"/>
  <c r="D20" i="25"/>
  <c r="D21" i="25"/>
  <c r="D2" i="25"/>
  <c r="B2" i="25"/>
  <c r="C2" i="25"/>
  <c r="BP27" i="15"/>
  <c r="BP26" i="15"/>
  <c r="BP25" i="15"/>
  <c r="BP24" i="15"/>
  <c r="BP23" i="15"/>
  <c r="BP22" i="15"/>
  <c r="BP21" i="15"/>
  <c r="BP20" i="15"/>
  <c r="BP19" i="15"/>
  <c r="BP18" i="15"/>
  <c r="BP17" i="15"/>
  <c r="BP16" i="15"/>
  <c r="BP15" i="15"/>
  <c r="BP14" i="15"/>
  <c r="BP13" i="15"/>
  <c r="BP12" i="15"/>
  <c r="BP11" i="15"/>
  <c r="BP10" i="15"/>
  <c r="BP9" i="15"/>
  <c r="BP8" i="15"/>
  <c r="BK27" i="15"/>
  <c r="BK26" i="15"/>
  <c r="BK25" i="15"/>
  <c r="BK24" i="15"/>
  <c r="BK23" i="15"/>
  <c r="BK22" i="15"/>
  <c r="BK21" i="15"/>
  <c r="BK20" i="15"/>
  <c r="BK19" i="15"/>
  <c r="BK18" i="15"/>
  <c r="BK17" i="15"/>
  <c r="BK16" i="15"/>
  <c r="BK15" i="15"/>
  <c r="BK14" i="15"/>
  <c r="BK13" i="15"/>
  <c r="BK12" i="15"/>
  <c r="BK11" i="15"/>
  <c r="BK10" i="15"/>
  <c r="BK9" i="15"/>
  <c r="BK8" i="15"/>
  <c r="BG27" i="15"/>
  <c r="BG26" i="15"/>
  <c r="BG25" i="15"/>
  <c r="BG24" i="15"/>
  <c r="BG23" i="15"/>
  <c r="BG22" i="15"/>
  <c r="BG21" i="15"/>
  <c r="BG20" i="15"/>
  <c r="BG19" i="15"/>
  <c r="BG18" i="15"/>
  <c r="BG17" i="15"/>
  <c r="BG16" i="15"/>
  <c r="BG15" i="15"/>
  <c r="BG14" i="15"/>
  <c r="BG13" i="15"/>
  <c r="BG12" i="15"/>
  <c r="BG11" i="15"/>
  <c r="BG10" i="15"/>
  <c r="BG9" i="15"/>
  <c r="BG8" i="15"/>
  <c r="BQ27" i="15"/>
  <c r="BQ26" i="15"/>
  <c r="BQ25" i="15"/>
  <c r="BQ24" i="15"/>
  <c r="BQ23" i="15"/>
  <c r="BQ22" i="15"/>
  <c r="BQ21" i="15"/>
  <c r="BQ20" i="15"/>
  <c r="BQ19" i="15"/>
  <c r="BQ18" i="15"/>
  <c r="BQ17" i="15"/>
  <c r="BQ16" i="15"/>
  <c r="BQ15" i="15"/>
  <c r="BQ14" i="15"/>
  <c r="BQ13" i="15"/>
  <c r="BQ12" i="15"/>
  <c r="BQ11" i="15"/>
  <c r="BQ10" i="15"/>
  <c r="BQ9" i="15"/>
  <c r="BQ8" i="15"/>
  <c r="BL27" i="15"/>
  <c r="BL26" i="15"/>
  <c r="BL25" i="15"/>
  <c r="BL24" i="15"/>
  <c r="BL23" i="15"/>
  <c r="BL22" i="15"/>
  <c r="BL21" i="15"/>
  <c r="BL20" i="15"/>
  <c r="BL19" i="15"/>
  <c r="BL18" i="15"/>
  <c r="BL17" i="15"/>
  <c r="BL16" i="15"/>
  <c r="BL15" i="15"/>
  <c r="BL14" i="15"/>
  <c r="BL13" i="15"/>
  <c r="BL12" i="15"/>
  <c r="BL11" i="15"/>
  <c r="BL10" i="15"/>
  <c r="BL9" i="15"/>
  <c r="BL8" i="15"/>
  <c r="AG9" i="15"/>
  <c r="AG10" i="15"/>
  <c r="AG11" i="15"/>
  <c r="AG12" i="15"/>
  <c r="AG13" i="15"/>
  <c r="AG14" i="15"/>
  <c r="AG15" i="15"/>
  <c r="AG16" i="15"/>
  <c r="AG17" i="15"/>
  <c r="AG18" i="15"/>
  <c r="AG19" i="15"/>
  <c r="AG20" i="15"/>
  <c r="AG21" i="15"/>
  <c r="AG22" i="15"/>
  <c r="AG23" i="15"/>
  <c r="AG24" i="15"/>
  <c r="AG25" i="15"/>
  <c r="AG26" i="15"/>
  <c r="AG27" i="15"/>
  <c r="AG8" i="15"/>
  <c r="AF8" i="15"/>
  <c r="AT27" i="15"/>
  <c r="AT26" i="15"/>
  <c r="AT25" i="15"/>
  <c r="AT24" i="15"/>
  <c r="AT23" i="15"/>
  <c r="AT22" i="15"/>
  <c r="AT21" i="15"/>
  <c r="AT20" i="15"/>
  <c r="AT19" i="15"/>
  <c r="AT18" i="15"/>
  <c r="AT17" i="15"/>
  <c r="AT16" i="15"/>
  <c r="AT15" i="15"/>
  <c r="AT14" i="15"/>
  <c r="AT13" i="15"/>
  <c r="AT12" i="15"/>
  <c r="AT11" i="15"/>
  <c r="AT10" i="15"/>
  <c r="AT9" i="15"/>
  <c r="AT8" i="15"/>
  <c r="AM27" i="15"/>
  <c r="AM26" i="15"/>
  <c r="AM25" i="15"/>
  <c r="AM24" i="15"/>
  <c r="AM23" i="15"/>
  <c r="AM22" i="15"/>
  <c r="AM21" i="15"/>
  <c r="AM20" i="15"/>
  <c r="AM19" i="15"/>
  <c r="AM18" i="15"/>
  <c r="AM17" i="15"/>
  <c r="AM16" i="15"/>
  <c r="AM15" i="15"/>
  <c r="AM14" i="15"/>
  <c r="AM13" i="15"/>
  <c r="AM12" i="15"/>
  <c r="AM11" i="15"/>
  <c r="AM10" i="15"/>
  <c r="AM9" i="15"/>
  <c r="AM8" i="15"/>
  <c r="AF27" i="15"/>
  <c r="AF26" i="15"/>
  <c r="AF25" i="15"/>
  <c r="AF24" i="15"/>
  <c r="AF23" i="15"/>
  <c r="AF22" i="15"/>
  <c r="AF21" i="15"/>
  <c r="AF20" i="15"/>
  <c r="AF19" i="15"/>
  <c r="AF18" i="15"/>
  <c r="AF17" i="15"/>
  <c r="AF16" i="15"/>
  <c r="AF15" i="15"/>
  <c r="AF14" i="15"/>
  <c r="AF13" i="15"/>
  <c r="AF12" i="15"/>
  <c r="AF11" i="15"/>
  <c r="AF10" i="15"/>
  <c r="AF9" i="15"/>
  <c r="G23" i="14"/>
  <c r="D23" i="14"/>
  <c r="G22" i="14"/>
  <c r="D22" i="14"/>
  <c r="G23" i="19"/>
  <c r="D23" i="19"/>
  <c r="G22" i="19"/>
  <c r="D22" i="19"/>
  <c r="G23" i="18"/>
  <c r="D23" i="18"/>
  <c r="G22" i="18"/>
  <c r="D22" i="18"/>
  <c r="G23" i="13"/>
  <c r="F23" i="13"/>
  <c r="E23" i="13"/>
  <c r="D23" i="13"/>
  <c r="C23" i="13"/>
  <c r="B23" i="13"/>
  <c r="G22" i="13"/>
  <c r="F22" i="13"/>
  <c r="E22" i="13"/>
  <c r="D22" i="13"/>
  <c r="C22" i="13"/>
  <c r="B22" i="13"/>
  <c r="G23" i="12"/>
  <c r="F23" i="12"/>
  <c r="E23" i="12"/>
  <c r="D23" i="12"/>
  <c r="C23" i="12"/>
  <c r="B23" i="12"/>
  <c r="G22" i="12"/>
  <c r="F22" i="12"/>
  <c r="E22" i="12"/>
  <c r="D22" i="12"/>
  <c r="C22" i="12"/>
  <c r="B22" i="12"/>
  <c r="G23" i="11"/>
  <c r="F23" i="11"/>
  <c r="E23" i="11"/>
  <c r="D23" i="11"/>
  <c r="C23" i="11"/>
  <c r="B23" i="11"/>
  <c r="G22" i="11"/>
  <c r="F22" i="11"/>
  <c r="E22" i="11"/>
  <c r="D22" i="11"/>
  <c r="C22" i="11"/>
  <c r="B22" i="11"/>
  <c r="G23" i="10"/>
  <c r="F23" i="10"/>
  <c r="E23" i="10"/>
  <c r="D23" i="10"/>
  <c r="C23" i="10"/>
  <c r="B23" i="10"/>
  <c r="G22" i="10"/>
  <c r="F22" i="10"/>
  <c r="E22" i="10"/>
  <c r="D22" i="10"/>
  <c r="C22" i="10"/>
  <c r="B22" i="10"/>
  <c r="G23" i="7"/>
  <c r="F23" i="7"/>
  <c r="E23" i="7"/>
  <c r="D23" i="7"/>
  <c r="C23" i="7"/>
  <c r="B23" i="7"/>
  <c r="G22" i="7"/>
  <c r="F22" i="7"/>
  <c r="E22" i="7"/>
  <c r="D22" i="7"/>
  <c r="C22" i="7"/>
  <c r="B22" i="7"/>
  <c r="G23" i="17"/>
  <c r="D23" i="17"/>
  <c r="G22" i="17"/>
  <c r="D22" i="17"/>
  <c r="G23" i="16"/>
  <c r="D23" i="16"/>
  <c r="G22" i="16"/>
  <c r="D22" i="16"/>
  <c r="G23" i="9"/>
  <c r="F23" i="9"/>
  <c r="E23" i="9"/>
  <c r="D23" i="9"/>
  <c r="C23" i="9"/>
  <c r="B23" i="9"/>
  <c r="G22" i="9"/>
  <c r="F22" i="9"/>
  <c r="E22" i="9"/>
  <c r="D22" i="9"/>
  <c r="C22" i="9"/>
  <c r="B22" i="9"/>
  <c r="G23" i="4"/>
  <c r="F23" i="4"/>
  <c r="E23" i="4"/>
  <c r="D23" i="4"/>
  <c r="C23" i="4"/>
  <c r="B23" i="4"/>
  <c r="G22" i="4"/>
  <c r="F22" i="4"/>
  <c r="E22" i="4"/>
  <c r="D22" i="4"/>
  <c r="C22" i="4"/>
  <c r="B22" i="4"/>
  <c r="G23" i="8"/>
  <c r="F23" i="8"/>
  <c r="E23" i="8"/>
  <c r="D23" i="8"/>
  <c r="C23" i="8"/>
  <c r="B23" i="8"/>
  <c r="G22" i="8"/>
  <c r="F22" i="8"/>
  <c r="E22" i="8"/>
  <c r="D22" i="8"/>
  <c r="C22" i="8"/>
  <c r="B22" i="8"/>
  <c r="C22" i="23"/>
  <c r="D22" i="23"/>
  <c r="E22" i="23"/>
  <c r="F22" i="23"/>
  <c r="G22" i="23"/>
  <c r="C23" i="23"/>
  <c r="D23" i="23"/>
  <c r="E23" i="23"/>
  <c r="F23" i="23"/>
  <c r="G23" i="23"/>
  <c r="B23" i="23"/>
  <c r="B22" i="23"/>
  <c r="E16" i="1" l="1"/>
  <c r="G7" i="1"/>
  <c r="G16" i="1"/>
  <c r="H7" i="1"/>
  <c r="F7" i="1"/>
  <c r="I7" i="1" s="1"/>
  <c r="H16" i="1"/>
  <c r="O7" i="1"/>
  <c r="F16" i="1"/>
  <c r="I16" i="1" s="1"/>
  <c r="H165" i="20"/>
  <c r="J163" i="20"/>
  <c r="I163" i="20"/>
  <c r="F165" i="20"/>
  <c r="G165" i="20"/>
  <c r="E165" i="20"/>
  <c r="G8" i="27"/>
  <c r="E23" i="27"/>
  <c r="G23" i="27"/>
  <c r="CE15" i="15"/>
  <c r="CD13" i="15"/>
  <c r="CD20" i="15"/>
  <c r="CD9" i="15"/>
  <c r="CD21" i="15"/>
  <c r="CD8" i="15"/>
  <c r="CE10" i="15"/>
  <c r="CE22" i="15"/>
  <c r="CE11" i="15"/>
  <c r="CE23" i="15"/>
  <c r="G23" i="25"/>
  <c r="BW12" i="15"/>
  <c r="BW24" i="15"/>
  <c r="BX13" i="15"/>
  <c r="BW25" i="15"/>
  <c r="BW14" i="15"/>
  <c r="BW26" i="15"/>
  <c r="BW15" i="15"/>
  <c r="BW27" i="15"/>
  <c r="CE16" i="15"/>
  <c r="CE17" i="15"/>
  <c r="CE18" i="15"/>
  <c r="CE19" i="15"/>
  <c r="BW17" i="15"/>
  <c r="BW18" i="15"/>
  <c r="BX16" i="15"/>
  <c r="BX19" i="15"/>
  <c r="CE8" i="15"/>
  <c r="CE20" i="15"/>
  <c r="CD25" i="15"/>
  <c r="CD24" i="15"/>
  <c r="CD17" i="15"/>
  <c r="CE9" i="15"/>
  <c r="CD10" i="15"/>
  <c r="CD14" i="15"/>
  <c r="CD18" i="15"/>
  <c r="CD22" i="15"/>
  <c r="CD26" i="15"/>
  <c r="CD12" i="15"/>
  <c r="CE21" i="15"/>
  <c r="CD16" i="15"/>
  <c r="CE13" i="15"/>
  <c r="CD11" i="15"/>
  <c r="CD15" i="15"/>
  <c r="CD19" i="15"/>
  <c r="CD23" i="15"/>
  <c r="CD27" i="15"/>
  <c r="BX25" i="15"/>
  <c r="BX23" i="15"/>
  <c r="BX22" i="15"/>
  <c r="BX27" i="15"/>
  <c r="BX20" i="15"/>
  <c r="BX17" i="15"/>
  <c r="BX26" i="15"/>
  <c r="BX14" i="15"/>
  <c r="BX24" i="15"/>
  <c r="BX11" i="15"/>
  <c r="BW19" i="15"/>
  <c r="BX18" i="15"/>
  <c r="BX10" i="15"/>
  <c r="BX12" i="15"/>
  <c r="BW13" i="15"/>
  <c r="BW8" i="15"/>
  <c r="BW16" i="15"/>
  <c r="BX21" i="15"/>
  <c r="BX15" i="15"/>
  <c r="BX9" i="15"/>
  <c r="G22" i="27"/>
  <c r="E27" i="27" s="1"/>
  <c r="G30" i="27" s="1"/>
  <c r="R16" i="1" s="1"/>
  <c r="D23" i="27"/>
  <c r="G22" i="25"/>
  <c r="E27" i="25" s="1"/>
  <c r="D22" i="25"/>
  <c r="D23" i="25"/>
  <c r="B27" i="25" s="1"/>
  <c r="E30" i="27"/>
  <c r="G27" i="27"/>
  <c r="F27" i="27"/>
  <c r="B27" i="27"/>
  <c r="C19" i="27"/>
  <c r="B19" i="27"/>
  <c r="C18" i="27"/>
  <c r="B18" i="27"/>
  <c r="C17" i="27"/>
  <c r="B17" i="27"/>
  <c r="C16" i="27"/>
  <c r="B16" i="27"/>
  <c r="L2" i="27"/>
  <c r="E30" i="26"/>
  <c r="G27" i="26"/>
  <c r="F27" i="26"/>
  <c r="E27" i="26"/>
  <c r="G30" i="26" s="1"/>
  <c r="B27" i="26"/>
  <c r="C19" i="26"/>
  <c r="B19" i="26"/>
  <c r="C18" i="26"/>
  <c r="B18" i="26"/>
  <c r="C17" i="26"/>
  <c r="B17" i="26"/>
  <c r="C16" i="26"/>
  <c r="B16" i="26"/>
  <c r="L2" i="26"/>
  <c r="AQ9" i="1"/>
  <c r="AC6" i="1"/>
  <c r="P4" i="1"/>
  <c r="P3" i="1"/>
  <c r="G25" i="14"/>
  <c r="AC11" i="1" s="1"/>
  <c r="G25" i="13"/>
  <c r="AC2" i="1" s="1"/>
  <c r="D25" i="13"/>
  <c r="P2" i="1" s="1"/>
  <c r="D25" i="11"/>
  <c r="P9" i="1" s="1"/>
  <c r="G25" i="10"/>
  <c r="D25" i="10"/>
  <c r="D25" i="17"/>
  <c r="D25" i="16"/>
  <c r="G25" i="9"/>
  <c r="E30" i="25"/>
  <c r="G27" i="25"/>
  <c r="F27" i="25"/>
  <c r="E27" i="14"/>
  <c r="B27" i="14"/>
  <c r="E27" i="19"/>
  <c r="B27" i="19"/>
  <c r="E27" i="18"/>
  <c r="B27" i="18"/>
  <c r="E30" i="13"/>
  <c r="B30" i="13"/>
  <c r="G27" i="13"/>
  <c r="F27" i="13"/>
  <c r="E27" i="13"/>
  <c r="G30" i="13" s="1"/>
  <c r="D27" i="13"/>
  <c r="C27" i="13"/>
  <c r="B27" i="13"/>
  <c r="C30" i="13" s="1"/>
  <c r="E30" i="12"/>
  <c r="B30" i="12"/>
  <c r="G27" i="12"/>
  <c r="F27" i="12"/>
  <c r="E27" i="12"/>
  <c r="G30" i="12" s="1"/>
  <c r="D27" i="12"/>
  <c r="C27" i="12"/>
  <c r="B27" i="12"/>
  <c r="D30" i="12" s="1"/>
  <c r="E30" i="11"/>
  <c r="B30" i="11"/>
  <c r="G27" i="11"/>
  <c r="F27" i="11"/>
  <c r="E27" i="11"/>
  <c r="G30" i="11" s="1"/>
  <c r="D27" i="11"/>
  <c r="C27" i="11"/>
  <c r="B27" i="11"/>
  <c r="D30" i="11" s="1"/>
  <c r="E30" i="10"/>
  <c r="B30" i="10"/>
  <c r="G27" i="10"/>
  <c r="F27" i="10"/>
  <c r="E27" i="10"/>
  <c r="G30" i="10" s="1"/>
  <c r="D27" i="10"/>
  <c r="C27" i="10"/>
  <c r="B27" i="10"/>
  <c r="C30" i="10" s="1"/>
  <c r="E30" i="7"/>
  <c r="B30" i="7"/>
  <c r="G27" i="7"/>
  <c r="F27" i="7"/>
  <c r="E27" i="7"/>
  <c r="G30" i="7" s="1"/>
  <c r="D27" i="7"/>
  <c r="C27" i="7"/>
  <c r="B27" i="7"/>
  <c r="D30" i="7" s="1"/>
  <c r="E27" i="17"/>
  <c r="B27" i="17"/>
  <c r="E27" i="16"/>
  <c r="B27" i="16"/>
  <c r="E30" i="9"/>
  <c r="B30" i="9"/>
  <c r="G27" i="9"/>
  <c r="F27" i="9"/>
  <c r="E27" i="9"/>
  <c r="G30" i="9" s="1"/>
  <c r="D27" i="9"/>
  <c r="C27" i="9"/>
  <c r="B27" i="9"/>
  <c r="D30" i="9" s="1"/>
  <c r="E30" i="4"/>
  <c r="B30" i="4"/>
  <c r="G27" i="4"/>
  <c r="F27" i="4"/>
  <c r="E27" i="4"/>
  <c r="G30" i="4" s="1"/>
  <c r="D27" i="4"/>
  <c r="C27" i="4"/>
  <c r="B27" i="4"/>
  <c r="C30" i="4" s="1"/>
  <c r="E30" i="8"/>
  <c r="B30" i="8"/>
  <c r="G27" i="8"/>
  <c r="F27" i="8"/>
  <c r="E27" i="8"/>
  <c r="G30" i="8" s="1"/>
  <c r="D27" i="8"/>
  <c r="C27" i="8"/>
  <c r="B27" i="8"/>
  <c r="C30" i="8" s="1"/>
  <c r="E30" i="23"/>
  <c r="G27" i="23"/>
  <c r="F27" i="23"/>
  <c r="E27" i="23"/>
  <c r="G30" i="23" s="1"/>
  <c r="B30" i="23"/>
  <c r="D27" i="23"/>
  <c r="AB16" i="1" l="1"/>
  <c r="S16" i="1"/>
  <c r="T16" i="1"/>
  <c r="W16" i="1" s="1"/>
  <c r="G30" i="25"/>
  <c r="B30" i="26"/>
  <c r="D27" i="26"/>
  <c r="C27" i="27"/>
  <c r="C27" i="26"/>
  <c r="D30" i="26" s="1"/>
  <c r="B30" i="27"/>
  <c r="D30" i="27" s="1"/>
  <c r="B22" i="27"/>
  <c r="B23" i="27"/>
  <c r="C23" i="27"/>
  <c r="C22" i="27"/>
  <c r="D25" i="14"/>
  <c r="P10" i="1" s="1"/>
  <c r="D25" i="19"/>
  <c r="P5" i="1" s="1"/>
  <c r="G25" i="19"/>
  <c r="AC5" i="1" s="1"/>
  <c r="D25" i="18"/>
  <c r="P14" i="1" s="1"/>
  <c r="G25" i="18"/>
  <c r="AC15" i="1" s="1"/>
  <c r="G25" i="12"/>
  <c r="AC12" i="1" s="1"/>
  <c r="D25" i="12"/>
  <c r="P11" i="1" s="1"/>
  <c r="G25" i="11"/>
  <c r="AC8" i="1" s="1"/>
  <c r="D25" i="7"/>
  <c r="P8" i="1" s="1"/>
  <c r="G25" i="7"/>
  <c r="AC7" i="1" s="1"/>
  <c r="G25" i="17"/>
  <c r="AC4" i="1" s="1"/>
  <c r="G25" i="16"/>
  <c r="AC3" i="1" s="1"/>
  <c r="D25" i="9"/>
  <c r="D25" i="4"/>
  <c r="P12" i="1" s="1"/>
  <c r="G25" i="4"/>
  <c r="AC13" i="1" s="1"/>
  <c r="D25" i="8"/>
  <c r="P15" i="1" s="1"/>
  <c r="G25" i="8"/>
  <c r="AC16" i="1" s="1"/>
  <c r="G25" i="23"/>
  <c r="AC14" i="1" s="1"/>
  <c r="F30" i="23"/>
  <c r="F30" i="27"/>
  <c r="Q16" i="1" s="1"/>
  <c r="F30" i="26"/>
  <c r="C30" i="26"/>
  <c r="AC19" i="1"/>
  <c r="F30" i="25"/>
  <c r="D30" i="13"/>
  <c r="D2" i="1" s="1"/>
  <c r="E2" i="1" s="1"/>
  <c r="F30" i="13"/>
  <c r="Q2" i="1" s="1"/>
  <c r="F30" i="12"/>
  <c r="C30" i="12"/>
  <c r="C30" i="11"/>
  <c r="C9" i="1" s="1"/>
  <c r="F30" i="11"/>
  <c r="D30" i="10"/>
  <c r="D6" i="1" s="1"/>
  <c r="F30" i="10"/>
  <c r="Q6" i="1" s="1"/>
  <c r="F30" i="7"/>
  <c r="Q8" i="1" s="1"/>
  <c r="C30" i="7"/>
  <c r="C8" i="1" s="1"/>
  <c r="C30" i="9"/>
  <c r="F30" i="9"/>
  <c r="D30" i="4"/>
  <c r="F30" i="4"/>
  <c r="D30" i="8"/>
  <c r="F30" i="8"/>
  <c r="C27" i="23"/>
  <c r="B27" i="23"/>
  <c r="AQ4" i="1"/>
  <c r="AQ5" i="1"/>
  <c r="AQ6" i="1"/>
  <c r="AQ7" i="1"/>
  <c r="AQ8" i="1"/>
  <c r="AQ11" i="1"/>
  <c r="AQ12" i="1"/>
  <c r="AQ13" i="1"/>
  <c r="AQ14" i="1"/>
  <c r="AQ15" i="1"/>
  <c r="AQ16" i="1"/>
  <c r="AQ3" i="1"/>
  <c r="AQ2" i="1"/>
  <c r="AF11" i="1"/>
  <c r="AF3" i="1"/>
  <c r="AF4" i="1"/>
  <c r="AF5" i="1"/>
  <c r="AF6" i="1"/>
  <c r="AF8" i="1"/>
  <c r="AF12" i="1"/>
  <c r="AF13" i="1"/>
  <c r="AF14" i="1"/>
  <c r="AF15" i="1"/>
  <c r="AF16" i="1"/>
  <c r="AF2" i="1"/>
  <c r="R2" i="1"/>
  <c r="S2" i="1" s="1"/>
  <c r="C2" i="1"/>
  <c r="D11" i="1"/>
  <c r="Q11" i="1"/>
  <c r="R11" i="1"/>
  <c r="C11" i="1"/>
  <c r="D9" i="1"/>
  <c r="Q9" i="1"/>
  <c r="R9" i="1"/>
  <c r="R6" i="1"/>
  <c r="S6" i="1" s="1"/>
  <c r="C6" i="1"/>
  <c r="D8" i="1"/>
  <c r="R8" i="1"/>
  <c r="D12" i="1"/>
  <c r="Q12" i="1"/>
  <c r="R12" i="1"/>
  <c r="C12" i="1"/>
  <c r="R15" i="1"/>
  <c r="D15" i="1"/>
  <c r="Q15" i="1"/>
  <c r="C15" i="1"/>
  <c r="C19" i="25"/>
  <c r="B19" i="25"/>
  <c r="C18" i="25"/>
  <c r="B18" i="25"/>
  <c r="B10" i="19"/>
  <c r="B7" i="19"/>
  <c r="B10" i="18"/>
  <c r="C10" i="18"/>
  <c r="B6" i="18" s="1"/>
  <c r="B7" i="18" s="1"/>
  <c r="C6" i="19"/>
  <c r="E15" i="14" s="1"/>
  <c r="F15" i="14" s="1"/>
  <c r="E14" i="14" s="1"/>
  <c r="F14" i="14" s="1"/>
  <c r="E13" i="14" s="1"/>
  <c r="F13" i="14" s="1"/>
  <c r="E12" i="14" s="1"/>
  <c r="F12" i="14" s="1"/>
  <c r="E11" i="14" s="1"/>
  <c r="F11" i="14" s="1"/>
  <c r="E10" i="14" s="1"/>
  <c r="F10" i="14" s="1"/>
  <c r="E9" i="14" s="1"/>
  <c r="F9" i="14" s="1"/>
  <c r="E8" i="14" s="1"/>
  <c r="F8" i="14" s="1"/>
  <c r="E7" i="14" s="1"/>
  <c r="F7" i="14" s="1"/>
  <c r="E6" i="14" s="1"/>
  <c r="F6" i="14" s="1"/>
  <c r="E5" i="14" s="1"/>
  <c r="F5" i="14" s="1"/>
  <c r="E4" i="14" s="1"/>
  <c r="F4" i="14" s="1"/>
  <c r="E3" i="14" s="1"/>
  <c r="F3" i="14" s="1"/>
  <c r="E2" i="14" s="1"/>
  <c r="V16" i="1" l="1"/>
  <c r="U16" i="1"/>
  <c r="G6" i="1"/>
  <c r="H6" i="1"/>
  <c r="F6" i="1"/>
  <c r="I6" i="1" s="1"/>
  <c r="O6" i="1"/>
  <c r="C23" i="25"/>
  <c r="C22" i="25"/>
  <c r="D27" i="25"/>
  <c r="C30" i="27"/>
  <c r="B22" i="25"/>
  <c r="B23" i="25"/>
  <c r="C27" i="25"/>
  <c r="B30" i="25"/>
  <c r="C30" i="25" s="1"/>
  <c r="Q7" i="1" s="1"/>
  <c r="F2" i="14"/>
  <c r="E23" i="14"/>
  <c r="E22" i="14"/>
  <c r="E30" i="14"/>
  <c r="F30" i="14" s="1"/>
  <c r="Q10" i="1" s="1"/>
  <c r="D30" i="23"/>
  <c r="C30" i="23"/>
  <c r="D25" i="23"/>
  <c r="P13" i="1" s="1"/>
  <c r="E6" i="1"/>
  <c r="T9" i="1"/>
  <c r="W9" i="1" s="1"/>
  <c r="S9" i="1"/>
  <c r="T15" i="1"/>
  <c r="W15" i="1" s="1"/>
  <c r="S15" i="1"/>
  <c r="F9" i="1"/>
  <c r="I9" i="1" s="1"/>
  <c r="E9" i="1"/>
  <c r="F15" i="1"/>
  <c r="I15" i="1" s="1"/>
  <c r="E15" i="1"/>
  <c r="T12" i="1"/>
  <c r="W12" i="1" s="1"/>
  <c r="S12" i="1"/>
  <c r="T11" i="1"/>
  <c r="W11" i="1" s="1"/>
  <c r="S11" i="1"/>
  <c r="F12" i="1"/>
  <c r="I12" i="1" s="1"/>
  <c r="E12" i="1"/>
  <c r="F8" i="1"/>
  <c r="I8" i="1" s="1"/>
  <c r="E8" i="1"/>
  <c r="F11" i="1"/>
  <c r="I11" i="1" s="1"/>
  <c r="E11" i="1"/>
  <c r="T8" i="1"/>
  <c r="W8" i="1" s="1"/>
  <c r="S8" i="1"/>
  <c r="F2" i="1"/>
  <c r="V12" i="1"/>
  <c r="U11" i="1"/>
  <c r="V8" i="1"/>
  <c r="V9" i="1"/>
  <c r="U8" i="1"/>
  <c r="V2" i="1"/>
  <c r="V6" i="1"/>
  <c r="U9" i="1"/>
  <c r="V15" i="1"/>
  <c r="U12" i="1"/>
  <c r="V11" i="1"/>
  <c r="T2" i="1"/>
  <c r="W2" i="1" s="1"/>
  <c r="T6" i="1"/>
  <c r="W6" i="1" s="1"/>
  <c r="U15" i="1"/>
  <c r="U6" i="1"/>
  <c r="H2" i="1"/>
  <c r="AB9" i="1"/>
  <c r="AB15" i="1"/>
  <c r="O15" i="1"/>
  <c r="O12" i="1"/>
  <c r="AB8" i="1"/>
  <c r="O11" i="1"/>
  <c r="AB6" i="1"/>
  <c r="AB12" i="1"/>
  <c r="AB11" i="1"/>
  <c r="AB2" i="1"/>
  <c r="O9" i="1"/>
  <c r="O8" i="1"/>
  <c r="AL7" i="1" s="1"/>
  <c r="O2" i="1"/>
  <c r="G11" i="1"/>
  <c r="G8" i="1"/>
  <c r="H11" i="1"/>
  <c r="G15" i="1"/>
  <c r="G9" i="1"/>
  <c r="H9" i="1"/>
  <c r="H8" i="1"/>
  <c r="G12" i="1"/>
  <c r="H12" i="1"/>
  <c r="H15" i="1"/>
  <c r="G2" i="1"/>
  <c r="C13" i="1"/>
  <c r="C3" i="18"/>
  <c r="B4" i="19" s="1"/>
  <c r="C7" i="18"/>
  <c r="B8" i="18"/>
  <c r="B4" i="18" s="1"/>
  <c r="C4" i="18" s="1"/>
  <c r="B12" i="18" s="1"/>
  <c r="B5" i="19" s="1"/>
  <c r="C5" i="19" s="1"/>
  <c r="B9" i="19" s="1"/>
  <c r="B13" i="19" s="1"/>
  <c r="C13" i="19" s="1"/>
  <c r="F9" i="18" s="1"/>
  <c r="F13" i="18" s="1"/>
  <c r="B3" i="18"/>
  <c r="C2" i="18" s="1"/>
  <c r="B9" i="18"/>
  <c r="B5" i="18"/>
  <c r="C10" i="19"/>
  <c r="F6" i="18" s="1"/>
  <c r="C2" i="19" s="1"/>
  <c r="C8" i="19"/>
  <c r="E4" i="18" s="1"/>
  <c r="F12" i="18" s="1"/>
  <c r="C7" i="19"/>
  <c r="O164" i="20"/>
  <c r="O163" i="20" s="1"/>
  <c r="N164" i="20"/>
  <c r="N165" i="20" s="1"/>
  <c r="J169" i="20"/>
  <c r="J168" i="20"/>
  <c r="C12" i="19"/>
  <c r="B12" i="19"/>
  <c r="C13" i="18" s="1"/>
  <c r="E10" i="19"/>
  <c r="F3" i="18"/>
  <c r="F10" i="18"/>
  <c r="E5" i="18"/>
  <c r="F8" i="18"/>
  <c r="F12" i="19"/>
  <c r="E6" i="18"/>
  <c r="F7" i="18"/>
  <c r="F11" i="18"/>
  <c r="E11" i="18"/>
  <c r="E9" i="18"/>
  <c r="L2" i="13"/>
  <c r="L2" i="11"/>
  <c r="L2" i="10"/>
  <c r="L2" i="4"/>
  <c r="L2" i="25"/>
  <c r="L2" i="23"/>
  <c r="C4" i="19"/>
  <c r="C11" i="18"/>
  <c r="B11" i="18"/>
  <c r="B11" i="19"/>
  <c r="C11" i="19" s="1"/>
  <c r="B3" i="19"/>
  <c r="C3" i="19" s="1"/>
  <c r="D94" i="20"/>
  <c r="D65" i="20"/>
  <c r="D56" i="20"/>
  <c r="D112" i="20"/>
  <c r="D84" i="20"/>
  <c r="D74" i="20"/>
  <c r="D30" i="20"/>
  <c r="D22" i="20"/>
  <c r="D12" i="20"/>
  <c r="E7" i="19"/>
  <c r="E4" i="19"/>
  <c r="F10" i="19"/>
  <c r="E10" i="18"/>
  <c r="E2" i="18"/>
  <c r="E8" i="18"/>
  <c r="E3" i="18"/>
  <c r="E12" i="18"/>
  <c r="E12" i="19"/>
  <c r="F5" i="18"/>
  <c r="E9" i="19"/>
  <c r="E13" i="18"/>
  <c r="E7" i="18"/>
  <c r="L2" i="16"/>
  <c r="F9" i="19"/>
  <c r="F7" i="19"/>
  <c r="F4" i="19"/>
  <c r="F13" i="19"/>
  <c r="E13" i="19"/>
  <c r="F6" i="19"/>
  <c r="E6" i="19"/>
  <c r="F3" i="19"/>
  <c r="E3" i="19"/>
  <c r="F11" i="19"/>
  <c r="E11" i="19"/>
  <c r="F8" i="19"/>
  <c r="E8" i="19"/>
  <c r="F5" i="19"/>
  <c r="E5" i="19"/>
  <c r="F2" i="19"/>
  <c r="E2" i="19"/>
  <c r="F2" i="18"/>
  <c r="L2" i="17"/>
  <c r="L2" i="12"/>
  <c r="L2" i="7"/>
  <c r="L2" i="9"/>
  <c r="L2" i="8"/>
  <c r="D2" i="20"/>
  <c r="D100" i="20"/>
  <c r="D43" i="20"/>
  <c r="L2" i="14"/>
  <c r="L2" i="19"/>
  <c r="I2" i="1" l="1"/>
  <c r="C2" i="14"/>
  <c r="F23" i="14"/>
  <c r="F22" i="14"/>
  <c r="G27" i="14"/>
  <c r="F23" i="19"/>
  <c r="F22" i="19"/>
  <c r="G27" i="19"/>
  <c r="D30" i="25"/>
  <c r="E23" i="18"/>
  <c r="E22" i="18"/>
  <c r="E30" i="18"/>
  <c r="F30" i="18" s="1"/>
  <c r="Q14" i="1" s="1"/>
  <c r="E22" i="19"/>
  <c r="E23" i="19"/>
  <c r="E30" i="19"/>
  <c r="F30" i="19" s="1"/>
  <c r="Q5" i="1" s="1"/>
  <c r="F27" i="19"/>
  <c r="G30" i="19" s="1"/>
  <c r="R5" i="1" s="1"/>
  <c r="F27" i="14"/>
  <c r="G30" i="14" s="1"/>
  <c r="R10" i="1" s="1"/>
  <c r="P18" i="1"/>
  <c r="P19" i="1"/>
  <c r="AL8" i="1"/>
  <c r="AW8" i="1"/>
  <c r="O165" i="20"/>
  <c r="N163" i="20"/>
  <c r="R13" i="1"/>
  <c r="S13" i="1" s="1"/>
  <c r="R7" i="1" l="1"/>
  <c r="B19" i="14"/>
  <c r="C19" i="14" s="1"/>
  <c r="B18" i="14" s="1"/>
  <c r="C18" i="14" s="1"/>
  <c r="B17" i="14" s="1"/>
  <c r="C17" i="14" s="1"/>
  <c r="B16" i="14" s="1"/>
  <c r="C16" i="14" s="1"/>
  <c r="B15" i="14" s="1"/>
  <c r="C15" i="14" s="1"/>
  <c r="B14" i="14" s="1"/>
  <c r="C14" i="14" s="1"/>
  <c r="B13" i="14" s="1"/>
  <c r="C13" i="14" s="1"/>
  <c r="B12" i="14" s="1"/>
  <c r="C12" i="14" s="1"/>
  <c r="B11" i="14" s="1"/>
  <c r="C11" i="14" s="1"/>
  <c r="B10" i="14" s="1"/>
  <c r="C10" i="14" s="1"/>
  <c r="B9" i="14" s="1"/>
  <c r="C9" i="14" s="1"/>
  <c r="B8" i="14" s="1"/>
  <c r="C8" i="14" s="1"/>
  <c r="B7" i="14" s="1"/>
  <c r="C7" i="14" s="1"/>
  <c r="B6" i="14" s="1"/>
  <c r="C6" i="14" s="1"/>
  <c r="B5" i="14" s="1"/>
  <c r="C5" i="14" s="1"/>
  <c r="B4" i="14" s="1"/>
  <c r="C4" i="14" s="1"/>
  <c r="B3" i="14" s="1"/>
  <c r="C3" i="14" s="1"/>
  <c r="B2" i="14" s="1"/>
  <c r="D27" i="14"/>
  <c r="S10" i="1"/>
  <c r="AB10" i="1"/>
  <c r="AW10" i="1" s="1"/>
  <c r="V10" i="1"/>
  <c r="U10" i="1"/>
  <c r="T10" i="1"/>
  <c r="W10" i="1" s="1"/>
  <c r="AB5" i="1"/>
  <c r="AW2" i="1" s="1"/>
  <c r="T5" i="1"/>
  <c r="W5" i="1" s="1"/>
  <c r="S5" i="1"/>
  <c r="U5" i="1"/>
  <c r="V5" i="1"/>
  <c r="AB13" i="1"/>
  <c r="T13" i="1"/>
  <c r="L2" i="18"/>
  <c r="Q13" i="1"/>
  <c r="D13" i="1"/>
  <c r="AW13" i="1" l="1"/>
  <c r="AW9" i="1"/>
  <c r="AW16" i="1"/>
  <c r="AW5" i="1"/>
  <c r="S7" i="1"/>
  <c r="T7" i="1"/>
  <c r="W7" i="1" s="1"/>
  <c r="AB7" i="1"/>
  <c r="AW7" i="1" s="1"/>
  <c r="U7" i="1"/>
  <c r="V7" i="1"/>
  <c r="C22" i="14"/>
  <c r="C23" i="14"/>
  <c r="B8" i="19"/>
  <c r="B6" i="19" s="1"/>
  <c r="B2" i="19" s="1"/>
  <c r="B22" i="14"/>
  <c r="B23" i="14"/>
  <c r="C27" i="14"/>
  <c r="B30" i="14"/>
  <c r="C30" i="14" s="1"/>
  <c r="C10" i="1" s="1"/>
  <c r="O13" i="1"/>
  <c r="AL9" i="1" s="1"/>
  <c r="E13" i="1"/>
  <c r="V13" i="1"/>
  <c r="U13" i="1"/>
  <c r="W13" i="1"/>
  <c r="G13" i="1"/>
  <c r="F13" i="1"/>
  <c r="H13" i="1"/>
  <c r="AL13" i="1" l="1"/>
  <c r="D30" i="14"/>
  <c r="D10" i="1" s="1"/>
  <c r="C5" i="18"/>
  <c r="B13" i="18"/>
  <c r="C6" i="18" s="1"/>
  <c r="E14" i="16" s="1"/>
  <c r="E13" i="16" s="1"/>
  <c r="E12" i="16" s="1"/>
  <c r="E11" i="16" s="1"/>
  <c r="E10" i="16" s="1"/>
  <c r="E9" i="16" s="1"/>
  <c r="E8" i="16" s="1"/>
  <c r="E7" i="16" s="1"/>
  <c r="E6" i="16" s="1"/>
  <c r="E5" i="16" s="1"/>
  <c r="E4" i="16" s="1"/>
  <c r="E3" i="16" s="1"/>
  <c r="E2" i="16" s="1"/>
  <c r="B22" i="19"/>
  <c r="B23" i="19"/>
  <c r="B30" i="19"/>
  <c r="C30" i="19" s="1"/>
  <c r="C5" i="1" s="1"/>
  <c r="C9" i="18"/>
  <c r="I13" i="1"/>
  <c r="E3" i="17" l="1"/>
  <c r="E4" i="17" s="1"/>
  <c r="E5" i="17" s="1"/>
  <c r="E6" i="17" s="1"/>
  <c r="E7" i="17" s="1"/>
  <c r="E8" i="17" s="1"/>
  <c r="E9" i="17" s="1"/>
  <c r="E10" i="17" s="1"/>
  <c r="E11" i="17" s="1"/>
  <c r="E12" i="17" s="1"/>
  <c r="E13" i="17" s="1"/>
  <c r="E14" i="17" s="1"/>
  <c r="E2" i="17" s="1"/>
  <c r="E23" i="16"/>
  <c r="E22" i="16"/>
  <c r="E30" i="16"/>
  <c r="F30" i="16" s="1"/>
  <c r="Q3" i="1" s="1"/>
  <c r="E10" i="1"/>
  <c r="O10" i="1"/>
  <c r="F10" i="1"/>
  <c r="H10" i="1"/>
  <c r="G10" i="1"/>
  <c r="AL10" i="1" l="1"/>
  <c r="I10" i="1"/>
  <c r="B14" i="17"/>
  <c r="B13" i="17" s="1"/>
  <c r="B12" i="17" s="1"/>
  <c r="B11" i="17" s="1"/>
  <c r="B10" i="17" s="1"/>
  <c r="B9" i="17" s="1"/>
  <c r="B8" i="17" s="1"/>
  <c r="B7" i="17" s="1"/>
  <c r="B6" i="17" s="1"/>
  <c r="B5" i="17" s="1"/>
  <c r="B4" i="17" s="1"/>
  <c r="B3" i="17" s="1"/>
  <c r="B2" i="17" s="1"/>
  <c r="E23" i="17"/>
  <c r="E22" i="17"/>
  <c r="E30" i="17"/>
  <c r="F30" i="17" s="1"/>
  <c r="Q4" i="1" s="1"/>
  <c r="B3" i="16" l="1"/>
  <c r="B4" i="16" s="1"/>
  <c r="B5" i="16" s="1"/>
  <c r="B6" i="16" s="1"/>
  <c r="B7" i="16" s="1"/>
  <c r="B8" i="16" s="1"/>
  <c r="B9" i="16" s="1"/>
  <c r="B10" i="16" s="1"/>
  <c r="B11" i="16" s="1"/>
  <c r="B12" i="16" s="1"/>
  <c r="B13" i="16" s="1"/>
  <c r="B14" i="16" s="1"/>
  <c r="B2" i="16" s="1"/>
  <c r="B22" i="17"/>
  <c r="B23" i="17"/>
  <c r="B30" i="17"/>
  <c r="C30" i="17" s="1"/>
  <c r="C4" i="1" s="1"/>
  <c r="C9" i="19" l="1"/>
  <c r="B2" i="18"/>
  <c r="B22" i="16"/>
  <c r="B23" i="16"/>
  <c r="B30" i="16"/>
  <c r="C30" i="16" s="1"/>
  <c r="C3" i="1" s="1"/>
  <c r="F14" i="16" l="1"/>
  <c r="F13" i="16" s="1"/>
  <c r="F12" i="16" s="1"/>
  <c r="F11" i="16" s="1"/>
  <c r="F10" i="16" s="1"/>
  <c r="F9" i="16" s="1"/>
  <c r="F8" i="16" s="1"/>
  <c r="F7" i="16" s="1"/>
  <c r="F6" i="16" s="1"/>
  <c r="F5" i="16" s="1"/>
  <c r="F4" i="16" s="1"/>
  <c r="F3" i="16" s="1"/>
  <c r="F2" i="16" s="1"/>
  <c r="B22" i="18"/>
  <c r="B23" i="18"/>
  <c r="B30" i="18"/>
  <c r="C30" i="18" s="1"/>
  <c r="C14" i="1" s="1"/>
  <c r="C8" i="18"/>
  <c r="C23" i="19"/>
  <c r="C22" i="19"/>
  <c r="C27" i="19"/>
  <c r="D30" i="19" s="1"/>
  <c r="D5" i="1" s="1"/>
  <c r="D27" i="19"/>
  <c r="O5" i="1" l="1"/>
  <c r="AL2" i="1" s="1"/>
  <c r="F5" i="1"/>
  <c r="I5" i="1" s="1"/>
  <c r="E5" i="1"/>
  <c r="H5" i="1"/>
  <c r="G5" i="1"/>
  <c r="C14" i="16"/>
  <c r="C13" i="16" s="1"/>
  <c r="C12" i="16" s="1"/>
  <c r="C11" i="16" s="1"/>
  <c r="C10" i="16" s="1"/>
  <c r="C9" i="16" s="1"/>
  <c r="C8" i="16" s="1"/>
  <c r="C7" i="16" s="1"/>
  <c r="C6" i="16" s="1"/>
  <c r="C5" i="16" s="1"/>
  <c r="C4" i="16" s="1"/>
  <c r="C3" i="16" s="1"/>
  <c r="C2" i="16" s="1"/>
  <c r="F22" i="16"/>
  <c r="F23" i="16"/>
  <c r="G27" i="16"/>
  <c r="F27" i="16"/>
  <c r="G30" i="16" s="1"/>
  <c r="R3" i="1" s="1"/>
  <c r="AL16" i="1" l="1"/>
  <c r="AL5" i="1"/>
  <c r="C3" i="17"/>
  <c r="C4" i="17" s="1"/>
  <c r="C5" i="17" s="1"/>
  <c r="C6" i="17" s="1"/>
  <c r="C7" i="17" s="1"/>
  <c r="C8" i="17" s="1"/>
  <c r="C9" i="17" s="1"/>
  <c r="C10" i="17" s="1"/>
  <c r="C11" i="17" s="1"/>
  <c r="C12" i="17" s="1"/>
  <c r="C13" i="17" s="1"/>
  <c r="C14" i="17" s="1"/>
  <c r="C2" i="17" s="1"/>
  <c r="C22" i="16"/>
  <c r="C23" i="16"/>
  <c r="D27" i="16"/>
  <c r="C27" i="16"/>
  <c r="D30" i="16" s="1"/>
  <c r="D3" i="1" s="1"/>
  <c r="AB3" i="1"/>
  <c r="T3" i="1"/>
  <c r="W3" i="1" s="1"/>
  <c r="S3" i="1"/>
  <c r="V3" i="1"/>
  <c r="U3" i="1"/>
  <c r="AW12" i="1" l="1"/>
  <c r="F3" i="1"/>
  <c r="O3" i="1"/>
  <c r="E3" i="1"/>
  <c r="H3" i="1"/>
  <c r="G3" i="1"/>
  <c r="C12" i="18"/>
  <c r="F3" i="17"/>
  <c r="F4" i="17" s="1"/>
  <c r="F5" i="17" s="1"/>
  <c r="F6" i="17" s="1"/>
  <c r="F7" i="17" s="1"/>
  <c r="F8" i="17" s="1"/>
  <c r="F9" i="17" s="1"/>
  <c r="F10" i="17" s="1"/>
  <c r="F11" i="17" s="1"/>
  <c r="F12" i="17" s="1"/>
  <c r="F13" i="17" s="1"/>
  <c r="F14" i="17" s="1"/>
  <c r="F2" i="17" s="1"/>
  <c r="C23" i="17"/>
  <c r="C22" i="17"/>
  <c r="D27" i="17"/>
  <c r="C27" i="17"/>
  <c r="D30" i="17" s="1"/>
  <c r="D4" i="1" s="1"/>
  <c r="I3" i="1" l="1"/>
  <c r="F4" i="1"/>
  <c r="I4" i="1" s="1"/>
  <c r="O4" i="1"/>
  <c r="H4" i="1"/>
  <c r="G4" i="1"/>
  <c r="AL12" i="1"/>
  <c r="F23" i="17"/>
  <c r="F22" i="17"/>
  <c r="G27" i="17"/>
  <c r="F27" i="17"/>
  <c r="G30" i="17" s="1"/>
  <c r="R4" i="1" s="1"/>
  <c r="D27" i="18"/>
  <c r="C27" i="18"/>
  <c r="D30" i="18" s="1"/>
  <c r="D14" i="1" s="1"/>
  <c r="C23" i="18"/>
  <c r="C22" i="18"/>
  <c r="AL11" i="1"/>
  <c r="E4" i="1"/>
  <c r="F4" i="18"/>
  <c r="AL4" i="1" l="1"/>
  <c r="AL6" i="1"/>
  <c r="T4" i="1"/>
  <c r="W4" i="1" s="1"/>
  <c r="AB4" i="1"/>
  <c r="S4" i="1"/>
  <c r="U4" i="1"/>
  <c r="V4" i="1"/>
  <c r="AW11" i="1"/>
  <c r="E14" i="1"/>
  <c r="F14" i="1"/>
  <c r="I14" i="1" s="1"/>
  <c r="O14" i="1"/>
  <c r="AL3" i="1" s="1"/>
  <c r="H14" i="1"/>
  <c r="G14" i="1"/>
  <c r="G27" i="18"/>
  <c r="F27" i="18"/>
  <c r="G30" i="18" s="1"/>
  <c r="R14" i="1" s="1"/>
  <c r="F23" i="18"/>
  <c r="F22" i="18"/>
  <c r="C18" i="1" l="1"/>
  <c r="C20" i="1"/>
  <c r="C19" i="1"/>
  <c r="AW4" i="1"/>
  <c r="AW6" i="1"/>
  <c r="AL15" i="1"/>
  <c r="AL14" i="1"/>
  <c r="T14" i="1"/>
  <c r="W14" i="1" s="1"/>
  <c r="AB14" i="1"/>
  <c r="AW3" i="1" s="1"/>
  <c r="S14" i="1"/>
  <c r="V14" i="1"/>
  <c r="U14" i="1"/>
  <c r="Q20" i="1" l="1"/>
  <c r="AL18" i="1"/>
  <c r="C23" i="1"/>
  <c r="L2" i="1" s="1"/>
  <c r="C22" i="1"/>
  <c r="C21" i="1"/>
  <c r="Q19" i="1"/>
  <c r="AW18" i="1" s="1"/>
  <c r="AW15" i="1"/>
  <c r="AW14" i="1"/>
  <c r="Q23" i="1"/>
  <c r="Q21" i="1"/>
  <c r="Q22" i="1"/>
  <c r="J11" i="1" l="1"/>
  <c r="L6" i="1"/>
  <c r="L9" i="1"/>
  <c r="L12" i="1"/>
  <c r="L15" i="1"/>
  <c r="J6" i="1"/>
  <c r="K6" i="1" s="1"/>
  <c r="L4" i="1"/>
  <c r="L13" i="1"/>
  <c r="J7" i="1"/>
  <c r="K7" i="1" s="1"/>
  <c r="J8" i="1"/>
  <c r="M8" i="1" s="1"/>
  <c r="L8" i="1"/>
  <c r="L7" i="1"/>
  <c r="J12" i="1"/>
  <c r="K12" i="1" s="1"/>
  <c r="J16" i="1"/>
  <c r="K16" i="1" s="1"/>
  <c r="L16" i="1"/>
  <c r="L3" i="1"/>
  <c r="J3" i="1"/>
  <c r="K3" i="1" s="1"/>
  <c r="J5" i="1"/>
  <c r="K5" i="1" s="1"/>
  <c r="L5" i="1"/>
  <c r="J4" i="1"/>
  <c r="K4" i="1" s="1"/>
  <c r="J15" i="1"/>
  <c r="K15" i="1" s="1"/>
  <c r="L11" i="1"/>
  <c r="J13" i="1"/>
  <c r="K13" i="1" s="1"/>
  <c r="L10" i="1"/>
  <c r="J10" i="1"/>
  <c r="J2" i="1"/>
  <c r="L14" i="1"/>
  <c r="J9" i="1"/>
  <c r="M9" i="1" s="1"/>
  <c r="J14" i="1"/>
  <c r="K14" i="1" s="1"/>
  <c r="Z4" i="1"/>
  <c r="Z7" i="1"/>
  <c r="X4" i="1"/>
  <c r="X16" i="1"/>
  <c r="X7" i="1"/>
  <c r="Z16" i="1"/>
  <c r="M11" i="1"/>
  <c r="K11" i="1"/>
  <c r="K10" i="1"/>
  <c r="Z15" i="1"/>
  <c r="X13" i="1"/>
  <c r="X5" i="1"/>
  <c r="X6" i="1"/>
  <c r="Z2" i="1"/>
  <c r="Z11" i="1"/>
  <c r="X15" i="1"/>
  <c r="Z6" i="1"/>
  <c r="X9" i="1"/>
  <c r="X12" i="1"/>
  <c r="Z9" i="1"/>
  <c r="X2" i="1"/>
  <c r="X10" i="1"/>
  <c r="Z12" i="1"/>
  <c r="Z5" i="1"/>
  <c r="X8" i="1"/>
  <c r="Z8" i="1"/>
  <c r="X11" i="1"/>
  <c r="Z10" i="1"/>
  <c r="Z13" i="1"/>
  <c r="X3" i="1"/>
  <c r="Z3" i="1"/>
  <c r="X14" i="1"/>
  <c r="Z14" i="1"/>
  <c r="C25" i="1" l="1"/>
  <c r="C26" i="1"/>
  <c r="M7" i="1"/>
  <c r="C27" i="1"/>
  <c r="AL20" i="1" s="1"/>
  <c r="M13" i="1"/>
  <c r="K8" i="1"/>
  <c r="M5" i="1"/>
  <c r="M6" i="1"/>
  <c r="N15" i="1"/>
  <c r="M3" i="1"/>
  <c r="M4" i="1"/>
  <c r="N4" i="1"/>
  <c r="N12" i="1"/>
  <c r="N10" i="1"/>
  <c r="M12" i="1"/>
  <c r="M15" i="1"/>
  <c r="M2" i="1"/>
  <c r="K2" i="1"/>
  <c r="M16" i="1"/>
  <c r="N8" i="1"/>
  <c r="N9" i="1"/>
  <c r="N13" i="1"/>
  <c r="N7" i="1"/>
  <c r="N5" i="1"/>
  <c r="N3" i="1"/>
  <c r="M14" i="1"/>
  <c r="N2" i="1"/>
  <c r="M10" i="1"/>
  <c r="AA12" i="1"/>
  <c r="K9" i="1"/>
  <c r="N11" i="1"/>
  <c r="N6" i="1"/>
  <c r="N16" i="1"/>
  <c r="N14" i="1"/>
  <c r="AN15" i="1" s="1"/>
  <c r="AA7" i="1"/>
  <c r="Y7" i="1"/>
  <c r="AA16" i="1"/>
  <c r="Y16" i="1"/>
  <c r="Y4" i="1"/>
  <c r="AA4" i="1"/>
  <c r="Y11" i="1"/>
  <c r="AA11" i="1"/>
  <c r="Q25" i="1"/>
  <c r="Y6" i="1"/>
  <c r="AA6" i="1"/>
  <c r="AA10" i="1"/>
  <c r="AY10" i="1" s="1"/>
  <c r="Y10" i="1"/>
  <c r="Y2" i="1"/>
  <c r="AA2" i="1"/>
  <c r="Y5" i="1"/>
  <c r="AA5" i="1"/>
  <c r="AY2" i="1" s="1"/>
  <c r="Y13" i="1"/>
  <c r="AA13" i="1"/>
  <c r="Y12" i="1"/>
  <c r="Q26" i="1"/>
  <c r="Y8" i="1"/>
  <c r="AA8" i="1"/>
  <c r="Y14" i="1"/>
  <c r="AA14" i="1"/>
  <c r="Y3" i="1"/>
  <c r="AA3" i="1"/>
  <c r="Y15" i="1"/>
  <c r="AA15" i="1"/>
  <c r="Q27" i="1"/>
  <c r="Y9" i="1"/>
  <c r="AA9" i="1"/>
  <c r="AY9" i="1" s="1"/>
  <c r="AN13" i="1" l="1"/>
  <c r="AN8" i="1"/>
  <c r="AN10" i="1"/>
  <c r="AN2" i="1"/>
  <c r="AN12" i="1"/>
  <c r="AN9" i="1"/>
  <c r="AN6" i="1"/>
  <c r="AL19" i="1"/>
  <c r="AY13" i="1"/>
  <c r="AN16" i="1"/>
  <c r="AN7" i="1"/>
  <c r="AY4" i="1"/>
  <c r="AY14" i="1"/>
  <c r="AY7" i="1"/>
  <c r="AN4" i="1"/>
  <c r="AN11" i="1"/>
  <c r="AY6" i="1"/>
  <c r="AN14" i="1"/>
  <c r="AN3" i="1"/>
  <c r="AN5" i="1"/>
  <c r="AY8" i="1"/>
  <c r="AY11" i="1"/>
  <c r="AY12" i="1"/>
  <c r="AY15" i="1"/>
  <c r="AY3" i="1"/>
  <c r="AY5" i="1"/>
  <c r="AY16" i="1"/>
  <c r="AW19" i="1"/>
  <c r="AW20" i="1"/>
</calcChain>
</file>

<file path=xl/sharedStrings.xml><?xml version="1.0" encoding="utf-8"?>
<sst xmlns="http://schemas.openxmlformats.org/spreadsheetml/2006/main" count="1288" uniqueCount="156">
  <si>
    <t>Bartram et al. (2017)</t>
  </si>
  <si>
    <t>Study</t>
  </si>
  <si>
    <t>n</t>
  </si>
  <si>
    <t>r</t>
  </si>
  <si>
    <t>SEE</t>
  </si>
  <si>
    <t>isokinetic</t>
  </si>
  <si>
    <t>CP</t>
  </si>
  <si>
    <t>EP</t>
  </si>
  <si>
    <t>EP–CP</t>
  </si>
  <si>
    <t>WEP</t>
  </si>
  <si>
    <t>W'</t>
  </si>
  <si>
    <t>WEP–W'</t>
  </si>
  <si>
    <t>no.</t>
  </si>
  <si>
    <t>W</t>
  </si>
  <si>
    <t>Vanhatalo et al. (2007) WT</t>
  </si>
  <si>
    <t>Vanhatalo et al. (2007) 1/T</t>
  </si>
  <si>
    <t>Clark et al. (2016) 1/T</t>
  </si>
  <si>
    <t>Clark et al. (2016) WT</t>
  </si>
  <si>
    <t>X</t>
  </si>
  <si>
    <t>Y</t>
  </si>
  <si>
    <t>hor</t>
  </si>
  <si>
    <t>ver</t>
  </si>
  <si>
    <t>Karsten et al. (2013) 2a</t>
  </si>
  <si>
    <t>Karsten et al. (2013) 2b</t>
  </si>
  <si>
    <t>Karsten et al. (2013) 3a</t>
  </si>
  <si>
    <t>Karsten et al. (2013) 3b</t>
  </si>
  <si>
    <t>Wright et al. (2017) 1a</t>
  </si>
  <si>
    <t>Barker et al. (2011) 1/T 180</t>
  </si>
  <si>
    <t>Barker et al. (2011) 1/T 90</t>
  </si>
  <si>
    <t>Dekerle et al. (2013) 1/T 100</t>
  </si>
  <si>
    <t>Dekerle et al. (2013) 1/T 60</t>
  </si>
  <si>
    <t>Bartram et al. (2017) WT</t>
  </si>
  <si>
    <t>Wright et al. (2017) 1/T iso</t>
  </si>
  <si>
    <t>Wright et al. (2017) 1/T lin</t>
  </si>
  <si>
    <t>Wright et al. (2017) 1b</t>
  </si>
  <si>
    <t>Wright et al. (2017) 2a</t>
  </si>
  <si>
    <t>Wright et al. (2017) 2b</t>
  </si>
  <si>
    <t>Clark et al. (2019) 3a</t>
  </si>
  <si>
    <t>Clark et al. (2019) 3c</t>
  </si>
  <si>
    <r>
      <t>g</t>
    </r>
    <r>
      <rPr>
        <vertAlign val="subscript"/>
        <sz val="12"/>
        <color theme="1"/>
        <rFont val="Arial"/>
        <family val="2"/>
      </rPr>
      <t>z</t>
    </r>
  </si>
  <si>
    <t>Clark et al. (2019) mix fat</t>
  </si>
  <si>
    <t>Karsten et al. (2013) WT</t>
  </si>
  <si>
    <t>Karsten et al. (2013) IT</t>
  </si>
  <si>
    <t>iso</t>
  </si>
  <si>
    <t>linear</t>
  </si>
  <si>
    <t>lin</t>
  </si>
  <si>
    <t>1/T</t>
  </si>
  <si>
    <t>power per time approach</t>
  </si>
  <si>
    <t>WT</t>
  </si>
  <si>
    <t>work over time approach</t>
  </si>
  <si>
    <t>3-min test @ 100 rpm</t>
  </si>
  <si>
    <t>3-min test @ 60 rpm</t>
  </si>
  <si>
    <t>*</t>
  </si>
  <si>
    <t>data extracted from figures</t>
  </si>
  <si>
    <t>fat</t>
  </si>
  <si>
    <t>fatigued (mixed approach)</t>
  </si>
  <si>
    <t>180-s all-out</t>
  </si>
  <si>
    <t>90-s all-out</t>
  </si>
  <si>
    <t/>
  </si>
  <si>
    <t>Vanhatalo et al. (2007)</t>
  </si>
  <si>
    <t>Barker et al. (2011)</t>
  </si>
  <si>
    <t>1/T 180</t>
  </si>
  <si>
    <t>1/T 90</t>
  </si>
  <si>
    <t>Karsten et al. (2013)</t>
  </si>
  <si>
    <t>Dekerle et al. (2013)</t>
  </si>
  <si>
    <t xml:space="preserve"> 1/T 100</t>
  </si>
  <si>
    <t>1/T 60</t>
  </si>
  <si>
    <t>Clark et al. (2016)</t>
  </si>
  <si>
    <t>Wright et al. (2017)</t>
  </si>
  <si>
    <t>1/T lin</t>
  </si>
  <si>
    <t>Clark et al. (2019)</t>
  </si>
  <si>
    <t>mix fat</t>
  </si>
  <si>
    <t>M_CP</t>
  </si>
  <si>
    <t>M_W</t>
  </si>
  <si>
    <t>1/T 100</t>
  </si>
  <si>
    <t xml:space="preserve"> WT</t>
  </si>
  <si>
    <t>SD</t>
  </si>
  <si>
    <t>M</t>
  </si>
  <si>
    <t>J</t>
  </si>
  <si>
    <r>
      <t>V</t>
    </r>
    <r>
      <rPr>
        <vertAlign val="subscript"/>
        <sz val="12"/>
        <color theme="1"/>
        <rFont val="Arial"/>
        <family val="2"/>
      </rPr>
      <t>g</t>
    </r>
  </si>
  <si>
    <r>
      <t>d</t>
    </r>
    <r>
      <rPr>
        <vertAlign val="subscript"/>
        <sz val="12"/>
        <color theme="1"/>
        <rFont val="Arial"/>
        <family val="2"/>
      </rPr>
      <t>z</t>
    </r>
  </si>
  <si>
    <r>
      <t>g</t>
    </r>
    <r>
      <rPr>
        <b/>
        <vertAlign val="subscript"/>
        <sz val="12"/>
        <color rgb="FFFF0000"/>
        <rFont val="Arial"/>
        <family val="2"/>
      </rPr>
      <t>z</t>
    </r>
    <r>
      <rPr>
        <b/>
        <sz val="12"/>
        <color rgb="FFFF0000"/>
        <rFont val="Arial"/>
        <family val="2"/>
      </rPr>
      <t>_CP</t>
    </r>
  </si>
  <si>
    <r>
      <t>V</t>
    </r>
    <r>
      <rPr>
        <b/>
        <vertAlign val="subscript"/>
        <sz val="12"/>
        <color rgb="FFFF0000"/>
        <rFont val="Arial"/>
        <family val="2"/>
      </rPr>
      <t>z</t>
    </r>
    <r>
      <rPr>
        <b/>
        <sz val="12"/>
        <color rgb="FFFF0000"/>
        <rFont val="Arial"/>
        <family val="2"/>
      </rPr>
      <t>_CP</t>
    </r>
  </si>
  <si>
    <r>
      <t>g</t>
    </r>
    <r>
      <rPr>
        <b/>
        <vertAlign val="subscript"/>
        <sz val="12"/>
        <color theme="5"/>
        <rFont val="Arial"/>
        <family val="2"/>
      </rPr>
      <t>z</t>
    </r>
    <r>
      <rPr>
        <b/>
        <sz val="12"/>
        <color theme="5"/>
        <rFont val="Arial"/>
        <family val="2"/>
      </rPr>
      <t>_W</t>
    </r>
  </si>
  <si>
    <r>
      <t>V</t>
    </r>
    <r>
      <rPr>
        <b/>
        <vertAlign val="subscript"/>
        <sz val="12"/>
        <color theme="5"/>
        <rFont val="Arial"/>
        <family val="2"/>
      </rPr>
      <t>z</t>
    </r>
    <r>
      <rPr>
        <b/>
        <sz val="12"/>
        <color theme="5"/>
        <rFont val="Arial"/>
        <family val="2"/>
      </rPr>
      <t>_W</t>
    </r>
  </si>
  <si>
    <r>
      <t>1/V</t>
    </r>
    <r>
      <rPr>
        <vertAlign val="subscript"/>
        <sz val="12"/>
        <color rgb="FFFF0000"/>
        <rFont val="Arial"/>
        <family val="2"/>
      </rPr>
      <t>z</t>
    </r>
  </si>
  <si>
    <r>
      <t>g</t>
    </r>
    <r>
      <rPr>
        <vertAlign val="subscript"/>
        <sz val="12"/>
        <color rgb="FFFF0000"/>
        <rFont val="Arial"/>
        <family val="2"/>
      </rPr>
      <t>z</t>
    </r>
    <r>
      <rPr>
        <sz val="12"/>
        <color rgb="FFFF0000"/>
        <rFont val="Arial"/>
        <family val="2"/>
      </rPr>
      <t>/V</t>
    </r>
    <r>
      <rPr>
        <vertAlign val="subscript"/>
        <sz val="12"/>
        <color rgb="FFFF0000"/>
        <rFont val="Arial"/>
        <family val="2"/>
      </rPr>
      <t>z</t>
    </r>
  </si>
  <si>
    <r>
      <t>1/V</t>
    </r>
    <r>
      <rPr>
        <vertAlign val="subscript"/>
        <sz val="12"/>
        <color theme="5"/>
        <rFont val="Arial"/>
        <family val="2"/>
      </rPr>
      <t>z</t>
    </r>
  </si>
  <si>
    <r>
      <t>g</t>
    </r>
    <r>
      <rPr>
        <vertAlign val="subscript"/>
        <sz val="12"/>
        <color theme="5"/>
        <rFont val="Arial"/>
        <family val="2"/>
      </rPr>
      <t>z</t>
    </r>
    <r>
      <rPr>
        <sz val="12"/>
        <color theme="5"/>
        <rFont val="Arial"/>
        <family val="2"/>
      </rPr>
      <t>/V</t>
    </r>
    <r>
      <rPr>
        <vertAlign val="subscript"/>
        <sz val="12"/>
        <color theme="5"/>
        <rFont val="Arial"/>
        <family val="2"/>
      </rPr>
      <t>z</t>
    </r>
  </si>
  <si>
    <r>
      <t>fixed pooled g</t>
    </r>
    <r>
      <rPr>
        <b/>
        <vertAlign val="subscript"/>
        <sz val="12"/>
        <color theme="1"/>
        <rFont val="Arial"/>
        <family val="2"/>
      </rPr>
      <t>z</t>
    </r>
  </si>
  <si>
    <r>
      <t>g</t>
    </r>
    <r>
      <rPr>
        <vertAlign val="subscript"/>
        <sz val="12"/>
        <color rgb="FFFF0000"/>
        <rFont val="Arial"/>
        <family val="2"/>
      </rPr>
      <t>z</t>
    </r>
    <r>
      <rPr>
        <vertAlign val="superscript"/>
        <sz val="12"/>
        <color rgb="FFFF0000"/>
        <rFont val="Arial"/>
        <family val="2"/>
      </rPr>
      <t>2</t>
    </r>
    <r>
      <rPr>
        <sz val="12"/>
        <color rgb="FFFF0000"/>
        <rFont val="Arial"/>
        <family val="2"/>
      </rPr>
      <t>/V</t>
    </r>
    <r>
      <rPr>
        <vertAlign val="subscript"/>
        <sz val="12"/>
        <color rgb="FFFF0000"/>
        <rFont val="Arial"/>
        <family val="2"/>
      </rPr>
      <t>z</t>
    </r>
  </si>
  <si>
    <r>
      <t>g</t>
    </r>
    <r>
      <rPr>
        <vertAlign val="subscript"/>
        <sz val="12"/>
        <color theme="5"/>
        <rFont val="Arial"/>
        <family val="2"/>
      </rPr>
      <t>z</t>
    </r>
    <r>
      <rPr>
        <vertAlign val="superscript"/>
        <sz val="12"/>
        <color theme="5"/>
        <rFont val="Arial"/>
        <family val="2"/>
      </rPr>
      <t>2</t>
    </r>
    <r>
      <rPr>
        <sz val="12"/>
        <color theme="5"/>
        <rFont val="Arial"/>
        <family val="2"/>
      </rPr>
      <t>/V</t>
    </r>
    <r>
      <rPr>
        <vertAlign val="subscript"/>
        <sz val="12"/>
        <color theme="5"/>
        <rFont val="Arial"/>
        <family val="2"/>
      </rPr>
      <t>z</t>
    </r>
  </si>
  <si>
    <t>Q</t>
  </si>
  <si>
    <t>Homogeneity test p</t>
  </si>
  <si>
    <r>
      <t>(1/V</t>
    </r>
    <r>
      <rPr>
        <vertAlign val="subscript"/>
        <sz val="12"/>
        <color rgb="FFFF0000"/>
        <rFont val="Arial"/>
        <family val="2"/>
      </rPr>
      <t>z</t>
    </r>
    <r>
      <rPr>
        <sz val="12"/>
        <color rgb="FFFF0000"/>
        <rFont val="Arial"/>
        <family val="2"/>
      </rPr>
      <t>)</t>
    </r>
    <r>
      <rPr>
        <vertAlign val="superscript"/>
        <sz val="12"/>
        <color rgb="FFFF0000"/>
        <rFont val="Arial"/>
        <family val="2"/>
      </rPr>
      <t>2</t>
    </r>
  </si>
  <si>
    <r>
      <t>τ</t>
    </r>
    <r>
      <rPr>
        <vertAlign val="superscript"/>
        <sz val="12"/>
        <color theme="1"/>
        <rFont val="Arial"/>
        <family val="2"/>
      </rPr>
      <t>2</t>
    </r>
  </si>
  <si>
    <r>
      <t>random pooled g</t>
    </r>
    <r>
      <rPr>
        <b/>
        <vertAlign val="subscript"/>
        <sz val="12"/>
        <color theme="1"/>
        <rFont val="Arial"/>
        <family val="2"/>
      </rPr>
      <t>z</t>
    </r>
  </si>
  <si>
    <r>
      <t>1/(V</t>
    </r>
    <r>
      <rPr>
        <vertAlign val="subscript"/>
        <sz val="12"/>
        <color rgb="FFFF0000"/>
        <rFont val="Arial"/>
        <family val="2"/>
      </rPr>
      <t>z</t>
    </r>
    <r>
      <rPr>
        <sz val="12"/>
        <color rgb="FFFF0000"/>
        <rFont val="Arial"/>
        <family val="2"/>
      </rPr>
      <t>+</t>
    </r>
    <r>
      <rPr>
        <sz val="12"/>
        <color rgb="FFFF0000"/>
        <rFont val="Times New Roman"/>
        <family val="1"/>
      </rPr>
      <t>τ</t>
    </r>
    <r>
      <rPr>
        <vertAlign val="superscript"/>
        <sz val="12"/>
        <color rgb="FFFF0000"/>
        <rFont val="Arial"/>
        <family val="2"/>
      </rPr>
      <t>2</t>
    </r>
    <r>
      <rPr>
        <sz val="12"/>
        <color rgb="FFFF0000"/>
        <rFont val="Arial"/>
        <family val="2"/>
      </rPr>
      <t>)</t>
    </r>
  </si>
  <si>
    <r>
      <t>g</t>
    </r>
    <r>
      <rPr>
        <vertAlign val="subscript"/>
        <sz val="12"/>
        <color rgb="FFFF0000"/>
        <rFont val="Arial"/>
        <family val="2"/>
      </rPr>
      <t>z</t>
    </r>
    <r>
      <rPr>
        <sz val="12"/>
        <color rgb="FFFF0000"/>
        <rFont val="Arial"/>
        <family val="2"/>
      </rPr>
      <t>/(V</t>
    </r>
    <r>
      <rPr>
        <vertAlign val="subscript"/>
        <sz val="12"/>
        <color rgb="FFFF0000"/>
        <rFont val="Arial"/>
        <family val="2"/>
      </rPr>
      <t>z</t>
    </r>
    <r>
      <rPr>
        <sz val="12"/>
        <color rgb="FFFF0000"/>
        <rFont val="Arial"/>
        <family val="2"/>
      </rPr>
      <t>+</t>
    </r>
    <r>
      <rPr>
        <sz val="12"/>
        <color rgb="FFFF0000"/>
        <rFont val="Times New Roman"/>
        <family val="1"/>
      </rPr>
      <t>τ</t>
    </r>
    <r>
      <rPr>
        <vertAlign val="superscript"/>
        <sz val="12"/>
        <color rgb="FFFF0000"/>
        <rFont val="Arial"/>
        <family val="2"/>
      </rPr>
      <t>2</t>
    </r>
    <r>
      <rPr>
        <sz val="12"/>
        <color rgb="FFFF0000"/>
        <rFont val="Arial"/>
        <family val="2"/>
      </rPr>
      <t>)</t>
    </r>
  </si>
  <si>
    <t>95% CI</t>
  </si>
  <si>
    <t>w%</t>
  </si>
  <si>
    <r>
      <t>(1/V</t>
    </r>
    <r>
      <rPr>
        <vertAlign val="subscript"/>
        <sz val="12"/>
        <color theme="5"/>
        <rFont val="Arial"/>
        <family val="2"/>
      </rPr>
      <t>z</t>
    </r>
    <r>
      <rPr>
        <sz val="12"/>
        <color theme="5"/>
        <rFont val="Arial"/>
        <family val="2"/>
      </rPr>
      <t>)</t>
    </r>
    <r>
      <rPr>
        <vertAlign val="superscript"/>
        <sz val="12"/>
        <color theme="5"/>
        <rFont val="Arial"/>
        <family val="2"/>
      </rPr>
      <t>2</t>
    </r>
  </si>
  <si>
    <r>
      <t>1/(V</t>
    </r>
    <r>
      <rPr>
        <vertAlign val="subscript"/>
        <sz val="12"/>
        <color theme="5"/>
        <rFont val="Arial"/>
        <family val="2"/>
      </rPr>
      <t>z</t>
    </r>
    <r>
      <rPr>
        <sz val="12"/>
        <color theme="5"/>
        <rFont val="Arial"/>
        <family val="2"/>
      </rPr>
      <t>+</t>
    </r>
    <r>
      <rPr>
        <sz val="12"/>
        <color theme="5"/>
        <rFont val="Times New Roman"/>
        <family val="1"/>
      </rPr>
      <t>τ</t>
    </r>
    <r>
      <rPr>
        <vertAlign val="superscript"/>
        <sz val="12"/>
        <color theme="5"/>
        <rFont val="Arial"/>
        <family val="2"/>
      </rPr>
      <t>2</t>
    </r>
    <r>
      <rPr>
        <sz val="12"/>
        <color theme="5"/>
        <rFont val="Arial"/>
        <family val="2"/>
      </rPr>
      <t>)</t>
    </r>
  </si>
  <si>
    <r>
      <t>g</t>
    </r>
    <r>
      <rPr>
        <vertAlign val="subscript"/>
        <sz val="12"/>
        <color theme="5"/>
        <rFont val="Arial"/>
        <family val="2"/>
      </rPr>
      <t>z</t>
    </r>
    <r>
      <rPr>
        <sz val="12"/>
        <color theme="5"/>
        <rFont val="Arial"/>
        <family val="2"/>
      </rPr>
      <t>/(V</t>
    </r>
    <r>
      <rPr>
        <vertAlign val="subscript"/>
        <sz val="12"/>
        <color theme="5"/>
        <rFont val="Arial"/>
        <family val="2"/>
      </rPr>
      <t>z</t>
    </r>
    <r>
      <rPr>
        <sz val="12"/>
        <color theme="5"/>
        <rFont val="Arial"/>
        <family val="2"/>
      </rPr>
      <t>+</t>
    </r>
    <r>
      <rPr>
        <sz val="12"/>
        <color theme="5"/>
        <rFont val="Times New Roman"/>
        <family val="1"/>
      </rPr>
      <t>τ</t>
    </r>
    <r>
      <rPr>
        <vertAlign val="superscript"/>
        <sz val="12"/>
        <color theme="5"/>
        <rFont val="Arial"/>
        <family val="2"/>
      </rPr>
      <t>2</t>
    </r>
    <r>
      <rPr>
        <sz val="12"/>
        <color theme="5"/>
        <rFont val="Arial"/>
        <family val="2"/>
      </rPr>
      <t>)</t>
    </r>
  </si>
  <si>
    <t>95%CI</t>
  </si>
  <si>
    <t>study</t>
  </si>
  <si>
    <t>weight</t>
  </si>
  <si>
    <r>
      <t>g</t>
    </r>
    <r>
      <rPr>
        <b/>
        <vertAlign val="subscript"/>
        <sz val="10"/>
        <color theme="0" tint="-0.249977111117893"/>
        <rFont val="Arial"/>
        <family val="2"/>
      </rPr>
      <t>z</t>
    </r>
    <r>
      <rPr>
        <b/>
        <sz val="10"/>
        <color theme="0" tint="-0.249977111117893"/>
        <rFont val="Arial"/>
        <family val="2"/>
      </rPr>
      <t xml:space="preserve"> [95% CI]</t>
    </r>
  </si>
  <si>
    <r>
      <t>pooled g</t>
    </r>
    <r>
      <rPr>
        <b/>
        <vertAlign val="subscript"/>
        <sz val="12"/>
        <color rgb="FFFF0000"/>
        <rFont val="Arial"/>
        <family val="2"/>
      </rPr>
      <t>z</t>
    </r>
    <r>
      <rPr>
        <b/>
        <sz val="12"/>
        <color rgb="FFFF0000"/>
        <rFont val="Arial"/>
        <family val="2"/>
      </rPr>
      <t xml:space="preserve"> </t>
    </r>
    <r>
      <rPr>
        <sz val="12"/>
        <color rgb="FFFF0000"/>
        <rFont val="Arial"/>
        <family val="2"/>
      </rPr>
      <t>(fixed)</t>
    </r>
  </si>
  <si>
    <r>
      <t>pooled g</t>
    </r>
    <r>
      <rPr>
        <b/>
        <vertAlign val="subscript"/>
        <sz val="12"/>
        <color rgb="FFFF0000"/>
        <rFont val="Arial"/>
        <family val="2"/>
      </rPr>
      <t>z</t>
    </r>
    <r>
      <rPr>
        <b/>
        <sz val="12"/>
        <color rgb="FFFF0000"/>
        <rFont val="Arial"/>
        <family val="2"/>
      </rPr>
      <t xml:space="preserve"> </t>
    </r>
    <r>
      <rPr>
        <sz val="12"/>
        <color rgb="FFFF0000"/>
        <rFont val="Arial"/>
        <family val="2"/>
      </rPr>
      <t>(random)</t>
    </r>
  </si>
  <si>
    <r>
      <t>pooled g</t>
    </r>
    <r>
      <rPr>
        <b/>
        <vertAlign val="subscript"/>
        <sz val="12"/>
        <color theme="5"/>
        <rFont val="Arial"/>
        <family val="2"/>
      </rPr>
      <t>z</t>
    </r>
    <r>
      <rPr>
        <b/>
        <sz val="12"/>
        <color theme="5"/>
        <rFont val="Arial"/>
        <family val="2"/>
      </rPr>
      <t xml:space="preserve"> </t>
    </r>
    <r>
      <rPr>
        <sz val="12"/>
        <color theme="5"/>
        <rFont val="Arial"/>
        <family val="2"/>
      </rPr>
      <t>(fixed)</t>
    </r>
  </si>
  <si>
    <r>
      <t>pooled g</t>
    </r>
    <r>
      <rPr>
        <b/>
        <vertAlign val="subscript"/>
        <sz val="12"/>
        <color theme="5"/>
        <rFont val="Arial"/>
        <family val="2"/>
      </rPr>
      <t>z</t>
    </r>
    <r>
      <rPr>
        <b/>
        <sz val="12"/>
        <color theme="5"/>
        <rFont val="Arial"/>
        <family val="2"/>
      </rPr>
      <t xml:space="preserve"> </t>
    </r>
    <r>
      <rPr>
        <sz val="12"/>
        <color theme="5"/>
        <rFont val="Arial"/>
        <family val="2"/>
      </rPr>
      <t>(random)</t>
    </r>
  </si>
  <si>
    <t>95% PI</t>
  </si>
  <si>
    <r>
      <t>I</t>
    </r>
    <r>
      <rPr>
        <vertAlign val="superscript"/>
        <sz val="12"/>
        <color theme="1"/>
        <rFont val="Arial"/>
        <family val="2"/>
      </rPr>
      <t>2</t>
    </r>
  </si>
  <si>
    <r>
      <t>(1/(V</t>
    </r>
    <r>
      <rPr>
        <vertAlign val="subscript"/>
        <sz val="12"/>
        <color rgb="FFFF0000"/>
        <rFont val="Arial"/>
        <family val="2"/>
      </rPr>
      <t>z</t>
    </r>
    <r>
      <rPr>
        <sz val="12"/>
        <color rgb="FFFF0000"/>
        <rFont val="Arial"/>
        <family val="2"/>
      </rPr>
      <t>+</t>
    </r>
    <r>
      <rPr>
        <sz val="12"/>
        <color rgb="FFFF0000"/>
        <rFont val="Times New Roman"/>
        <family val="1"/>
      </rPr>
      <t>τ</t>
    </r>
    <r>
      <rPr>
        <vertAlign val="superscript"/>
        <sz val="12"/>
        <color rgb="FFFF0000"/>
        <rFont val="Arial"/>
        <family val="2"/>
      </rPr>
      <t>2</t>
    </r>
    <r>
      <rPr>
        <sz val="12"/>
        <color rgb="FFFF0000"/>
        <rFont val="Arial"/>
        <family val="2"/>
      </rPr>
      <t>))</t>
    </r>
    <r>
      <rPr>
        <vertAlign val="superscript"/>
        <sz val="12"/>
        <color rgb="FFFF0000"/>
        <rFont val="Arial"/>
        <family val="2"/>
      </rPr>
      <t>2</t>
    </r>
  </si>
  <si>
    <r>
      <t>g</t>
    </r>
    <r>
      <rPr>
        <vertAlign val="subscript"/>
        <sz val="12"/>
        <color rgb="FFFF0000"/>
        <rFont val="Arial"/>
        <family val="2"/>
      </rPr>
      <t>z</t>
    </r>
    <r>
      <rPr>
        <vertAlign val="superscript"/>
        <sz val="12"/>
        <color rgb="FFFF0000"/>
        <rFont val="Arial"/>
        <family val="2"/>
      </rPr>
      <t>2</t>
    </r>
    <r>
      <rPr>
        <sz val="12"/>
        <color rgb="FFFF0000"/>
        <rFont val="Arial"/>
        <family val="2"/>
      </rPr>
      <t>/(V</t>
    </r>
    <r>
      <rPr>
        <vertAlign val="subscript"/>
        <sz val="12"/>
        <color rgb="FFFF0000"/>
        <rFont val="Arial"/>
        <family val="2"/>
      </rPr>
      <t>z</t>
    </r>
    <r>
      <rPr>
        <sz val="12"/>
        <color rgb="FFFF0000"/>
        <rFont val="Arial"/>
        <family val="2"/>
      </rPr>
      <t>+</t>
    </r>
    <r>
      <rPr>
        <sz val="12"/>
        <color rgb="FFFF0000"/>
        <rFont val="Times New Roman"/>
        <family val="1"/>
      </rPr>
      <t>τ</t>
    </r>
    <r>
      <rPr>
        <vertAlign val="superscript"/>
        <sz val="12"/>
        <color rgb="FFFF0000"/>
        <rFont val="Arial"/>
        <family val="2"/>
      </rPr>
      <t>2</t>
    </r>
    <r>
      <rPr>
        <sz val="12"/>
        <color rgb="FFFF0000"/>
        <rFont val="Arial"/>
        <family val="2"/>
      </rPr>
      <t>)</t>
    </r>
  </si>
  <si>
    <r>
      <t>(1/(V</t>
    </r>
    <r>
      <rPr>
        <vertAlign val="subscript"/>
        <sz val="12"/>
        <color theme="5"/>
        <rFont val="Arial"/>
        <family val="2"/>
      </rPr>
      <t>z</t>
    </r>
    <r>
      <rPr>
        <sz val="12"/>
        <color theme="5"/>
        <rFont val="Arial"/>
        <family val="2"/>
      </rPr>
      <t>+</t>
    </r>
    <r>
      <rPr>
        <sz val="12"/>
        <color theme="5"/>
        <rFont val="Times New Roman"/>
        <family val="1"/>
      </rPr>
      <t>τ</t>
    </r>
    <r>
      <rPr>
        <vertAlign val="superscript"/>
        <sz val="12"/>
        <color theme="5"/>
        <rFont val="Arial"/>
        <family val="2"/>
      </rPr>
      <t>2</t>
    </r>
    <r>
      <rPr>
        <sz val="12"/>
        <color theme="5"/>
        <rFont val="Arial"/>
        <family val="2"/>
      </rPr>
      <t>))</t>
    </r>
    <r>
      <rPr>
        <vertAlign val="superscript"/>
        <sz val="12"/>
        <color theme="5"/>
        <rFont val="Arial"/>
        <family val="2"/>
      </rPr>
      <t>2</t>
    </r>
  </si>
  <si>
    <t>CLES</t>
  </si>
  <si>
    <t>SE_CP</t>
  </si>
  <si>
    <t>Goulding et al. (2021)</t>
  </si>
  <si>
    <t>Goulding et al. (2021) up</t>
  </si>
  <si>
    <t>Goulding et al. (2021) 2a</t>
  </si>
  <si>
    <t>Goulding et al. (2021) 4a</t>
  </si>
  <si>
    <t>WENN(ANZAHL(AC$3:AD$4;AD28)&gt;4;RUNDEN((AD28-AC$4)/(AD$4-AC$4)*(AD$3-AC$3)+AC$3;1);"")</t>
  </si>
  <si>
    <t>WENN(ANZAHL(AE$3:AF$5;AE28)&gt;4;RUNDEN((AE28-AE$5)/(AF$5-AE$5)*(AF$3-AE$3)+AE$3;1);"")</t>
  </si>
  <si>
    <t>Goulding et al. (2021) mix up</t>
  </si>
  <si>
    <t>Goulding et al. (2021) mix sup</t>
  </si>
  <si>
    <t>Goulding et al. (2021) 3a</t>
  </si>
  <si>
    <t>Goulding et al. (2021) 3b</t>
  </si>
  <si>
    <t>WENN(ANZAHL(BU28:BV28)&gt;1; BU28-(BV28/2);"")</t>
  </si>
  <si>
    <t>WENN(ANZAHL(BU28:BV28)&gt;1; BU28+(BV28/2);"")</t>
  </si>
  <si>
    <t>mix up</t>
  </si>
  <si>
    <t>RUNDEN(SUMME(G2:G16)/SUMME(F2:F16);3)</t>
  </si>
  <si>
    <t xml:space="preserve"> RUNDEN(WURZEL(1/SUMME(F2:F16))*1.96;3)</t>
  </si>
  <si>
    <t>RUNDEN((SUMME(H2:H16))-((SUMME(G2:G16)^2)/(SUMME(F2:F16)));3)</t>
  </si>
  <si>
    <t>(C20-ANZAHL(C2:C16)-1)/C20</t>
  </si>
  <si>
    <t>RUNDEN(1-CHIQU.VERT(C20;ANZAHL(C2:C16)-1;WAHR);3)</t>
  </si>
  <si>
    <t>RUNDEN(MAX(0; (C20-(ANZAHL(C2:C16)-1))/(SUMME(F2:F16)-(SUMME(I2:I16)/SUMME(F2:F16))));3)</t>
  </si>
  <si>
    <t>RUNDEN(SUMME(L2:L16)/SUMME(J2:J16);3)</t>
  </si>
  <si>
    <t xml:space="preserve"> RUNDEN(WURZEL(1/SUMME(J2:J16))*1.96;3)</t>
  </si>
  <si>
    <t>RUNDEN(TVERT(0.05;ANZAHL(C2:C16)-1;2)*WURZEL(C23+(1/SUMME(J2:J16)));3)</t>
  </si>
  <si>
    <t>Bartram et al. (2017) Wt PL5</t>
  </si>
  <si>
    <t>Goulding et al. (2021)* mix up PL2</t>
  </si>
  <si>
    <t>Clark et al. (2019) mix fat PL2</t>
  </si>
  <si>
    <t>Wright et al. (2017)* 1/T iso PL3</t>
  </si>
  <si>
    <t>Goulding et al. (2021)* mix sup PL2</t>
  </si>
  <si>
    <t>Karsten et al. (2013)* Wt PL4</t>
  </si>
  <si>
    <t>Karsten et al. (2013)* 1/t PL4</t>
  </si>
  <si>
    <t>Wright et al. (2017)* 1/t lin PL3</t>
  </si>
  <si>
    <t>Dekerle et al. (2014) 1/t 60 PL3</t>
  </si>
  <si>
    <t>Dekerle et al. (2014) 1/t 100 PL3</t>
  </si>
  <si>
    <t>Clark et al. (2016) Wt PL2</t>
  </si>
  <si>
    <t>Clark et al. (2016) 1/t PL2</t>
  </si>
  <si>
    <t>Barker et al. (2012) 1/t PL2</t>
  </si>
  <si>
    <t>Vahatalo et al. (2007) Wt PL3</t>
  </si>
  <si>
    <t>Vahatalo et al. (2007) 1/t PL3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</si>
</sst>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"/>
    <numFmt numFmtId="166" formatCode="0.0%"/>
  </numFmts>
  <fonts count="28" x14ac:knownFonts="1"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rgb="FFFF0000"/>
      <name val="Arial"/>
      <family val="2"/>
    </font>
    <font>
      <b/>
      <sz val="12"/>
      <color rgb="FFFF0000"/>
      <name val="Arial"/>
      <family val="2"/>
    </font>
    <font>
      <sz val="12"/>
      <color theme="5"/>
      <name val="Arial"/>
      <family val="2"/>
    </font>
    <font>
      <b/>
      <sz val="12"/>
      <color theme="5"/>
      <name val="Arial"/>
      <family val="2"/>
    </font>
    <font>
      <sz val="8"/>
      <name val="Calibri"/>
      <family val="2"/>
      <scheme val="minor"/>
    </font>
    <font>
      <vertAlign val="subscript"/>
      <sz val="12"/>
      <color theme="1"/>
      <name val="Arial"/>
      <family val="2"/>
    </font>
    <font>
      <sz val="12"/>
      <color rgb="FF0070C0"/>
      <name val="Arial"/>
      <family val="2"/>
    </font>
    <font>
      <sz val="12"/>
      <color rgb="FF7030A0"/>
      <name val="Arial"/>
      <family val="2"/>
    </font>
    <font>
      <i/>
      <sz val="12"/>
      <color theme="1"/>
      <name val="Arial"/>
      <family val="2"/>
    </font>
    <font>
      <b/>
      <vertAlign val="subscript"/>
      <sz val="12"/>
      <color rgb="FFFF0000"/>
      <name val="Arial"/>
      <family val="2"/>
    </font>
    <font>
      <b/>
      <vertAlign val="subscript"/>
      <sz val="12"/>
      <color theme="5"/>
      <name val="Arial"/>
      <family val="2"/>
    </font>
    <font>
      <vertAlign val="subscript"/>
      <sz val="12"/>
      <color rgb="FFFF0000"/>
      <name val="Arial"/>
      <family val="2"/>
    </font>
    <font>
      <vertAlign val="subscript"/>
      <sz val="12"/>
      <color theme="5"/>
      <name val="Arial"/>
      <family val="2"/>
    </font>
    <font>
      <b/>
      <vertAlign val="subscript"/>
      <sz val="12"/>
      <color theme="1"/>
      <name val="Arial"/>
      <family val="2"/>
    </font>
    <font>
      <vertAlign val="superscript"/>
      <sz val="12"/>
      <color rgb="FFFF0000"/>
      <name val="Arial"/>
      <family val="2"/>
    </font>
    <font>
      <vertAlign val="superscript"/>
      <sz val="12"/>
      <color theme="5"/>
      <name val="Arial"/>
      <family val="2"/>
    </font>
    <font>
      <sz val="12"/>
      <color theme="1"/>
      <name val="Times New Roman"/>
      <family val="1"/>
    </font>
    <font>
      <sz val="12"/>
      <color rgb="FFFF0000"/>
      <name val="Times New Roman"/>
      <family val="1"/>
    </font>
    <font>
      <vertAlign val="superscript"/>
      <sz val="12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theme="5"/>
      <name val="Times New Roman"/>
      <family val="1"/>
    </font>
    <font>
      <sz val="10"/>
      <color theme="0" tint="-0.249977111117893"/>
      <name val="Arial"/>
      <family val="2"/>
    </font>
    <font>
      <sz val="10"/>
      <color theme="1"/>
      <name val="Arial"/>
      <family val="2"/>
    </font>
    <font>
      <b/>
      <sz val="10"/>
      <color theme="0" tint="-0.249977111117893"/>
      <name val="Arial"/>
      <family val="2"/>
    </font>
    <font>
      <b/>
      <vertAlign val="subscript"/>
      <sz val="10"/>
      <color theme="0" tint="-0.249977111117893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22" fillId="0" borderId="0" applyFont="0" applyFill="0" applyBorder="0" applyAlignment="0" applyProtection="0"/>
  </cellStyleXfs>
  <cellXfs count="8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164" fontId="1" fillId="0" borderId="0" xfId="0" applyNumberFormat="1" applyFont="1" applyAlignment="1">
      <alignment horizontal="center"/>
    </xf>
    <xf numFmtId="0" fontId="4" fillId="0" borderId="1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165" fontId="3" fillId="0" borderId="0" xfId="0" applyNumberFormat="1" applyFont="1" applyAlignment="1">
      <alignment horizontal="center"/>
    </xf>
    <xf numFmtId="165" fontId="5" fillId="0" borderId="0" xfId="0" applyNumberFormat="1" applyFont="1" applyAlignment="1">
      <alignment horizontal="center"/>
    </xf>
    <xf numFmtId="0" fontId="1" fillId="0" borderId="4" xfId="0" applyFont="1" applyBorder="1" applyAlignment="1">
      <alignment horizontal="center"/>
    </xf>
    <xf numFmtId="164" fontId="1" fillId="0" borderId="3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  <xf numFmtId="164" fontId="1" fillId="0" borderId="2" xfId="0" applyNumberFormat="1" applyFont="1" applyBorder="1" applyAlignment="1">
      <alignment horizontal="center"/>
    </xf>
    <xf numFmtId="0" fontId="2" fillId="0" borderId="1" xfId="0" applyFont="1" applyBorder="1"/>
    <xf numFmtId="164" fontId="1" fillId="0" borderId="1" xfId="0" applyNumberFormat="1" applyFont="1" applyBorder="1" applyAlignment="1">
      <alignment horizontal="center"/>
    </xf>
    <xf numFmtId="164" fontId="1" fillId="0" borderId="4" xfId="0" applyNumberFormat="1" applyFont="1" applyBorder="1" applyAlignment="1">
      <alignment horizontal="center"/>
    </xf>
    <xf numFmtId="165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1" fillId="0" borderId="0" xfId="0" applyFont="1" applyAlignment="1">
      <alignment horizontal="right"/>
    </xf>
    <xf numFmtId="165" fontId="5" fillId="0" borderId="3" xfId="0" applyNumberFormat="1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164" fontId="3" fillId="0" borderId="0" xfId="0" applyNumberFormat="1" applyFont="1" applyAlignment="1">
      <alignment horizontal="center"/>
    </xf>
    <xf numFmtId="164" fontId="5" fillId="0" borderId="3" xfId="0" applyNumberFormat="1" applyFont="1" applyBorder="1" applyAlignment="1">
      <alignment horizontal="center"/>
    </xf>
    <xf numFmtId="164" fontId="5" fillId="0" borderId="0" xfId="0" applyNumberFormat="1" applyFont="1" applyAlignment="1">
      <alignment horizontal="center"/>
    </xf>
    <xf numFmtId="164" fontId="5" fillId="0" borderId="2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65" fontId="3" fillId="0" borderId="3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165" fontId="5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10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165" fontId="5" fillId="0" borderId="3" xfId="0" applyNumberFormat="1" applyFont="1" applyBorder="1" applyAlignment="1">
      <alignment horizontal="center" vertical="center"/>
    </xf>
    <xf numFmtId="165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19" fillId="0" borderId="0" xfId="0" applyFont="1" applyAlignment="1">
      <alignment horizontal="right" vertical="center"/>
    </xf>
    <xf numFmtId="166" fontId="3" fillId="0" borderId="0" xfId="1" applyNumberFormat="1" applyFont="1" applyAlignment="1">
      <alignment horizontal="center" vertical="center"/>
    </xf>
    <xf numFmtId="166" fontId="5" fillId="0" borderId="0" xfId="1" applyNumberFormat="1" applyFont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66" fontId="24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24" fillId="0" borderId="0" xfId="0" applyFont="1" applyAlignment="1">
      <alignment horizontal="right" vertical="center"/>
    </xf>
    <xf numFmtId="0" fontId="25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right" vertical="center"/>
    </xf>
    <xf numFmtId="166" fontId="1" fillId="0" borderId="0" xfId="1" applyNumberFormat="1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166" fontId="3" fillId="0" borderId="0" xfId="1" applyNumberFormat="1" applyFont="1" applyAlignment="1">
      <alignment horizontal="center"/>
    </xf>
    <xf numFmtId="166" fontId="5" fillId="0" borderId="0" xfId="1" applyNumberFormat="1" applyFont="1" applyAlignment="1">
      <alignment horizontal="center"/>
    </xf>
    <xf numFmtId="166" fontId="3" fillId="0" borderId="3" xfId="1" applyNumberFormat="1" applyFont="1" applyBorder="1" applyAlignment="1">
      <alignment horizontal="center" vertical="center"/>
    </xf>
    <xf numFmtId="166" fontId="5" fillId="0" borderId="3" xfId="1" applyNumberFormat="1" applyFont="1" applyBorder="1" applyAlignment="1">
      <alignment horizontal="center" vertical="center"/>
    </xf>
    <xf numFmtId="166" fontId="1" fillId="0" borderId="0" xfId="0" applyNumberFormat="1" applyFont="1" applyAlignment="1">
      <alignment horizontal="center" vertical="center"/>
    </xf>
    <xf numFmtId="166" fontId="3" fillId="0" borderId="0" xfId="0" applyNumberFormat="1" applyFont="1" applyAlignment="1">
      <alignment horizontal="center" vertical="center"/>
    </xf>
    <xf numFmtId="166" fontId="5" fillId="0" borderId="0" xfId="0" applyNumberFormat="1" applyFon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2">
    <cellStyle name="Prozent" xfId="1" builtinId="5"/>
    <cellStyle name="Standard" xfId="0" builtinId="0"/>
  </cellStyles>
  <dxfs count="0"/>
  <tableStyles count="0" defaultTableStyle="TableStyleMedium2" defaultPivotStyle="PivotStyleLight16"/>
  <colors>
    <mruColors>
      <color rgb="FFFF8AD8"/>
      <color rgb="FFFF7E7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7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8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9.xml"/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7009505965676301E-2"/>
          <c:y val="5.8428762026127457E-2"/>
          <c:w val="0.93001108015749123"/>
          <c:h val="0.86356942626876443"/>
        </c:manualLayout>
      </c:layout>
      <c:scatterChart>
        <c:scatterStyle val="lineMarker"/>
        <c:varyColors val="0"/>
        <c:ser>
          <c:idx val="0"/>
          <c:order val="0"/>
          <c:tx>
            <c:v>CP</c:v>
          </c:tx>
          <c:spPr>
            <a:ln w="19050" cap="rnd">
              <a:noFill/>
              <a:round/>
            </a:ln>
            <a:effectLst/>
          </c:spPr>
          <c:marker>
            <c:symbol val="circle"/>
            <c:size val="7"/>
            <c:spPr>
              <a:solidFill>
                <a:srgbClr val="FF7E79"/>
              </a:solidFill>
              <a:ln w="12700">
                <a:noFill/>
              </a:ln>
              <a:effectLst/>
            </c:spPr>
          </c:marker>
          <c:dPt>
            <c:idx val="0"/>
            <c:marker>
              <c:symbol val="circle"/>
              <c:size val="7"/>
              <c:spPr>
                <a:solidFill>
                  <a:srgbClr val="FF7E79"/>
                </a:solidFill>
                <a:ln w="12700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0-CB16-1C4C-B8F2-26C55E7F6F4B}"/>
              </c:ext>
            </c:extLst>
          </c:dPt>
          <c:dPt>
            <c:idx val="1"/>
            <c:marker>
              <c:symbol val="circle"/>
              <c:size val="7"/>
              <c:spPr>
                <a:solidFill>
                  <a:srgbClr val="FF7E79"/>
                </a:solidFill>
                <a:ln w="12700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1-CB16-1C4C-B8F2-26C55E7F6F4B}"/>
              </c:ext>
            </c:extLst>
          </c:dPt>
          <c:dPt>
            <c:idx val="6"/>
            <c:marker>
              <c:symbol val="circle"/>
              <c:size val="7"/>
              <c:spPr>
                <a:solidFill>
                  <a:srgbClr val="FF7E79"/>
                </a:solidFill>
                <a:ln w="12700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2-CB16-1C4C-B8F2-26C55E7F6F4B}"/>
              </c:ext>
            </c:extLst>
          </c:dPt>
          <c:dPt>
            <c:idx val="12"/>
            <c:marker>
              <c:symbol val="circle"/>
              <c:size val="7"/>
              <c:spPr>
                <a:solidFill>
                  <a:srgbClr val="FF7E79"/>
                </a:solidFill>
                <a:ln w="12700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3-CB16-1C4C-B8F2-26C55E7F6F4B}"/>
              </c:ext>
            </c:extLst>
          </c:dPt>
          <c:errBars>
            <c:errDir val="x"/>
            <c:errBarType val="both"/>
            <c:errValType val="cust"/>
            <c:noEndCap val="1"/>
            <c:plus>
              <c:numRef>
                <c:f>Table!$O$2:$O$16</c:f>
                <c:numCache>
                  <c:formatCode>General</c:formatCode>
                  <c:ptCount val="15"/>
                  <c:pt idx="0">
                    <c:v>0.78400000000000003</c:v>
                  </c:pt>
                  <c:pt idx="1">
                    <c:v>0.40200000000000002</c:v>
                  </c:pt>
                  <c:pt idx="2">
                    <c:v>0.34499999999999997</c:v>
                  </c:pt>
                  <c:pt idx="3">
                    <c:v>0.39700000000000002</c:v>
                  </c:pt>
                  <c:pt idx="4">
                    <c:v>0.34499999999999997</c:v>
                  </c:pt>
                  <c:pt idx="5">
                    <c:v>0.13900000000000001</c:v>
                  </c:pt>
                  <c:pt idx="6">
                    <c:v>0.51900000000000002</c:v>
                  </c:pt>
                  <c:pt idx="7">
                    <c:v>0.107</c:v>
                  </c:pt>
                  <c:pt idx="8">
                    <c:v>0.20599999999999999</c:v>
                  </c:pt>
                  <c:pt idx="9">
                    <c:v>0.124</c:v>
                  </c:pt>
                  <c:pt idx="10">
                    <c:v>0.59399999999999997</c:v>
                  </c:pt>
                  <c:pt idx="11">
                    <c:v>6.2E-2</c:v>
                  </c:pt>
                  <c:pt idx="12">
                    <c:v>0.32200000000000001</c:v>
                  </c:pt>
                  <c:pt idx="13">
                    <c:v>8.7999999999999995E-2</c:v>
                  </c:pt>
                  <c:pt idx="14">
                    <c:v>0.152</c:v>
                  </c:pt>
                </c:numCache>
              </c:numRef>
            </c:plus>
            <c:minus>
              <c:numRef>
                <c:f>Table!$O$2:$O$16</c:f>
                <c:numCache>
                  <c:formatCode>General</c:formatCode>
                  <c:ptCount val="15"/>
                  <c:pt idx="0">
                    <c:v>0.78400000000000003</c:v>
                  </c:pt>
                  <c:pt idx="1">
                    <c:v>0.40200000000000002</c:v>
                  </c:pt>
                  <c:pt idx="2">
                    <c:v>0.34499999999999997</c:v>
                  </c:pt>
                  <c:pt idx="3">
                    <c:v>0.39700000000000002</c:v>
                  </c:pt>
                  <c:pt idx="4">
                    <c:v>0.34499999999999997</c:v>
                  </c:pt>
                  <c:pt idx="5">
                    <c:v>0.13900000000000001</c:v>
                  </c:pt>
                  <c:pt idx="6">
                    <c:v>0.51900000000000002</c:v>
                  </c:pt>
                  <c:pt idx="7">
                    <c:v>0.107</c:v>
                  </c:pt>
                  <c:pt idx="8">
                    <c:v>0.20599999999999999</c:v>
                  </c:pt>
                  <c:pt idx="9">
                    <c:v>0.124</c:v>
                  </c:pt>
                  <c:pt idx="10">
                    <c:v>0.59399999999999997</c:v>
                  </c:pt>
                  <c:pt idx="11">
                    <c:v>6.2E-2</c:v>
                  </c:pt>
                  <c:pt idx="12">
                    <c:v>0.32200000000000001</c:v>
                  </c:pt>
                  <c:pt idx="13">
                    <c:v>8.7999999999999995E-2</c:v>
                  </c:pt>
                  <c:pt idx="14">
                    <c:v>0.152</c:v>
                  </c:pt>
                </c:numCache>
              </c:numRef>
            </c:minus>
            <c:spPr>
              <a:noFill/>
              <a:ln w="12700" cap="rnd" cmpd="sng" algn="ctr">
                <a:solidFill>
                  <a:schemeClr val="bg1">
                    <a:lumMod val="75000"/>
                  </a:schemeClr>
                </a:solidFill>
                <a:round/>
              </a:ln>
              <a:effectLst/>
            </c:spPr>
          </c:errBars>
          <c:xVal>
            <c:numRef>
              <c:f>Table!$C$2:$C$16</c:f>
              <c:numCache>
                <c:formatCode>0.000</c:formatCode>
                <c:ptCount val="15"/>
                <c:pt idx="0">
                  <c:v>1.8580000000000001</c:v>
                </c:pt>
                <c:pt idx="1">
                  <c:v>1.734</c:v>
                </c:pt>
                <c:pt idx="2">
                  <c:v>1.52</c:v>
                </c:pt>
                <c:pt idx="3">
                  <c:v>1.1659999999999999</c:v>
                </c:pt>
                <c:pt idx="4">
                  <c:v>0.60599999999999998</c:v>
                </c:pt>
                <c:pt idx="5">
                  <c:v>0.441</c:v>
                </c:pt>
                <c:pt idx="6">
                  <c:v>0.29399999999999998</c:v>
                </c:pt>
                <c:pt idx="7">
                  <c:v>0.23300000000000001</c:v>
                </c:pt>
                <c:pt idx="8">
                  <c:v>0.127</c:v>
                </c:pt>
                <c:pt idx="9">
                  <c:v>0.123</c:v>
                </c:pt>
                <c:pt idx="10">
                  <c:v>1.0999999999999999E-2</c:v>
                </c:pt>
                <c:pt idx="11">
                  <c:v>-4.3999999999999997E-2</c:v>
                </c:pt>
                <c:pt idx="12">
                  <c:v>-0.247</c:v>
                </c:pt>
                <c:pt idx="13">
                  <c:v>-0.28000000000000003</c:v>
                </c:pt>
                <c:pt idx="14">
                  <c:v>-0.34300000000000003</c:v>
                </c:pt>
              </c:numCache>
            </c:numRef>
          </c:xVal>
          <c:yVal>
            <c:numRef>
              <c:f>Table!$AD$2:$AD$16</c:f>
              <c:numCache>
                <c:formatCode>General</c:formatCode>
                <c:ptCount val="15"/>
                <c:pt idx="0">
                  <c:v>15</c:v>
                </c:pt>
                <c:pt idx="1">
                  <c:v>14</c:v>
                </c:pt>
                <c:pt idx="2">
                  <c:v>13</c:v>
                </c:pt>
                <c:pt idx="3">
                  <c:v>12</c:v>
                </c:pt>
                <c:pt idx="4">
                  <c:v>11</c:v>
                </c:pt>
                <c:pt idx="5">
                  <c:v>10</c:v>
                </c:pt>
                <c:pt idx="6">
                  <c:v>9</c:v>
                </c:pt>
                <c:pt idx="7">
                  <c:v>8</c:v>
                </c:pt>
                <c:pt idx="8">
                  <c:v>7</c:v>
                </c:pt>
                <c:pt idx="9">
                  <c:v>6</c:v>
                </c:pt>
                <c:pt idx="10">
                  <c:v>5</c:v>
                </c:pt>
                <c:pt idx="11">
                  <c:v>4</c:v>
                </c:pt>
                <c:pt idx="12">
                  <c:v>3</c:v>
                </c:pt>
                <c:pt idx="13">
                  <c:v>2</c:v>
                </c:pt>
                <c:pt idx="14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CB16-1C4C-B8F2-26C55E7F6F4B}"/>
            </c:ext>
          </c:extLst>
        </c:ser>
        <c:ser>
          <c:idx val="1"/>
          <c:order val="1"/>
          <c:tx>
            <c:v>Zero</c:v>
          </c:tx>
          <c:spPr>
            <a:ln w="12700" cap="rnd">
              <a:solidFill>
                <a:schemeClr val="tx1"/>
              </a:solidFill>
              <a:prstDash val="sysDash"/>
              <a:round/>
            </a:ln>
            <a:effectLst/>
          </c:spPr>
          <c:marker>
            <c:symbol val="none"/>
          </c:marker>
          <c:dPt>
            <c:idx val="1"/>
            <c:marker>
              <c:symbol val="none"/>
            </c:marker>
            <c:bubble3D val="0"/>
            <c:spPr>
              <a:ln w="6350" cap="rnd">
                <a:solidFill>
                  <a:schemeClr val="tx1"/>
                </a:solidFill>
                <a:prstDash val="dash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6-CB16-1C4C-B8F2-26C55E7F6F4B}"/>
              </c:ext>
            </c:extLst>
          </c:dPt>
          <c:xVal>
            <c:numLit>
              <c:formatCode>General</c:formatCode>
              <c:ptCount val="2"/>
              <c:pt idx="0">
                <c:v>0</c:v>
              </c:pt>
              <c:pt idx="1">
                <c:v>0</c:v>
              </c:pt>
            </c:numLit>
          </c:xVal>
          <c:yVal>
            <c:numLit>
              <c:formatCode>General</c:formatCode>
              <c:ptCount val="2"/>
              <c:pt idx="0">
                <c:v>-4</c:v>
              </c:pt>
              <c:pt idx="1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7-CB16-1C4C-B8F2-26C55E7F6F4B}"/>
            </c:ext>
          </c:extLst>
        </c:ser>
        <c:ser>
          <c:idx val="2"/>
          <c:order val="2"/>
          <c:tx>
            <c:v>fixed</c:v>
          </c:tx>
          <c:spPr>
            <a:ln w="25400" cap="rnd">
              <a:noFill/>
              <a:round/>
            </a:ln>
            <a:effectLst/>
          </c:spPr>
          <c:marker>
            <c:symbol val="plus"/>
            <c:size val="5"/>
            <c:spPr>
              <a:noFill/>
              <a:ln w="9525">
                <a:solidFill>
                  <a:schemeClr val="accent3"/>
                </a:solidFill>
              </a:ln>
              <a:effectLst/>
            </c:spPr>
          </c:marker>
          <c:dPt>
            <c:idx val="0"/>
            <c:marker>
              <c:symbol val="plus"/>
              <c:size val="5"/>
              <c:spPr>
                <a:noFill/>
                <a:ln w="9525">
                  <a:solidFill>
                    <a:schemeClr val="accent3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8-CB16-1C4C-B8F2-26C55E7F6F4B}"/>
              </c:ext>
            </c:extLst>
          </c:dPt>
          <c:errBars>
            <c:errDir val="x"/>
            <c:errBarType val="both"/>
            <c:errValType val="cust"/>
            <c:noEndCap val="1"/>
            <c:plus>
              <c:numRef>
                <c:f>Table!$C$19</c:f>
                <c:numCache>
                  <c:formatCode>General</c:formatCode>
                  <c:ptCount val="1"/>
                  <c:pt idx="0">
                    <c:v>3.7999999999999999E-2</c:v>
                  </c:pt>
                </c:numCache>
              </c:numRef>
            </c:plus>
            <c:minus>
              <c:numRef>
                <c:f>Table!$C$19</c:f>
                <c:numCache>
                  <c:formatCode>General</c:formatCode>
                  <c:ptCount val="1"/>
                  <c:pt idx="0">
                    <c:v>3.7999999999999999E-2</c:v>
                  </c:pt>
                </c:numCache>
              </c:numRef>
            </c:minus>
            <c:spPr>
              <a:noFill/>
              <a:ln w="0" cap="flat" cmpd="sng" algn="ctr">
                <a:solidFill>
                  <a:schemeClr val="tx1"/>
                </a:solidFill>
                <a:round/>
              </a:ln>
              <a:effectLst/>
            </c:spPr>
          </c:errBars>
          <c:xVal>
            <c:numRef>
              <c:f>Table!$C$18</c:f>
              <c:numCache>
                <c:formatCode>General</c:formatCode>
                <c:ptCount val="1"/>
                <c:pt idx="0">
                  <c:v>4.1000000000000002E-2</c:v>
                </c:pt>
              </c:numCache>
            </c:numRef>
          </c:xVal>
          <c:yVal>
            <c:numLit>
              <c:formatCode>General</c:formatCode>
              <c:ptCount val="1"/>
              <c:pt idx="0">
                <c:v>-1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9-CB16-1C4C-B8F2-26C55E7F6F4B}"/>
            </c:ext>
          </c:extLst>
        </c:ser>
        <c:ser>
          <c:idx val="3"/>
          <c:order val="3"/>
          <c:tx>
            <c:v>random</c:v>
          </c:tx>
          <c:spPr>
            <a:ln w="25400" cap="rnd">
              <a:noFill/>
              <a:round/>
            </a:ln>
            <a:effectLst/>
          </c:spPr>
          <c:marker>
            <c:symbol val="plus"/>
            <c:size val="5"/>
            <c:spPr>
              <a:noFill/>
              <a:ln w="9525">
                <a:solidFill>
                  <a:schemeClr val="tx1"/>
                </a:solidFill>
              </a:ln>
              <a:effectLst/>
            </c:spPr>
          </c:marker>
          <c:errBars>
            <c:errDir val="x"/>
            <c:errBarType val="both"/>
            <c:errValType val="cust"/>
            <c:noEndCap val="1"/>
            <c:plus>
              <c:numRef>
                <c:f>Table!$C$26</c:f>
                <c:numCache>
                  <c:formatCode>General</c:formatCode>
                  <c:ptCount val="1"/>
                  <c:pt idx="0">
                    <c:v>0.21199999999999999</c:v>
                  </c:pt>
                </c:numCache>
              </c:numRef>
            </c:plus>
            <c:minus>
              <c:numRef>
                <c:f>Table!$C$26</c:f>
                <c:numCache>
                  <c:formatCode>General</c:formatCode>
                  <c:ptCount val="1"/>
                  <c:pt idx="0">
                    <c:v>0.21199999999999999</c:v>
                  </c:pt>
                </c:numCache>
              </c:numRef>
            </c:minus>
            <c:spPr>
              <a:noFill/>
              <a:ln w="0" cap="flat" cmpd="sng" algn="ctr">
                <a:solidFill>
                  <a:schemeClr val="tx1"/>
                </a:solidFill>
                <a:round/>
              </a:ln>
              <a:effectLst/>
            </c:spPr>
          </c:errBars>
          <c:xVal>
            <c:numRef>
              <c:f>Table!$C$25</c:f>
              <c:numCache>
                <c:formatCode>General</c:formatCode>
                <c:ptCount val="1"/>
                <c:pt idx="0">
                  <c:v>0.40799999999999997</c:v>
                </c:pt>
              </c:numCache>
            </c:numRef>
          </c:xVal>
          <c:yVal>
            <c:numLit>
              <c:formatCode>General</c:formatCode>
              <c:ptCount val="1"/>
              <c:pt idx="0">
                <c:v>-2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A-CB16-1C4C-B8F2-26C55E7F6F4B}"/>
            </c:ext>
          </c:extLst>
        </c:ser>
        <c:ser>
          <c:idx val="4"/>
          <c:order val="4"/>
          <c:tx>
            <c:strRef>
              <c:f>Table!$A$27</c:f>
              <c:strCache>
                <c:ptCount val="1"/>
                <c:pt idx="0">
                  <c:v>95% PI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errBars>
            <c:errDir val="x"/>
            <c:errBarType val="both"/>
            <c:errValType val="cust"/>
            <c:noEndCap val="1"/>
            <c:plus>
              <c:numRef>
                <c:f>Table!$C$27</c:f>
                <c:numCache>
                  <c:formatCode>General</c:formatCode>
                  <c:ptCount val="1"/>
                  <c:pt idx="0">
                    <c:v>0.38400000000000001</c:v>
                  </c:pt>
                </c:numCache>
              </c:numRef>
            </c:plus>
            <c:minus>
              <c:numRef>
                <c:f>Table!$C$27</c:f>
                <c:numCache>
                  <c:formatCode>General</c:formatCode>
                  <c:ptCount val="1"/>
                  <c:pt idx="0">
                    <c:v>0.38400000000000001</c:v>
                  </c:pt>
                </c:numCache>
              </c:numRef>
            </c:minus>
            <c:spPr>
              <a:noFill/>
              <a:ln w="12700" cap="rnd" cmpd="sng" algn="ctr">
                <a:solidFill>
                  <a:srgbClr val="FF0000">
                    <a:alpha val="50000"/>
                  </a:srgbClr>
                </a:solidFill>
                <a:round/>
              </a:ln>
              <a:effectLst/>
            </c:spPr>
          </c:errBars>
          <c:xVal>
            <c:numRef>
              <c:f>Table!$C$25</c:f>
              <c:numCache>
                <c:formatCode>General</c:formatCode>
                <c:ptCount val="1"/>
                <c:pt idx="0">
                  <c:v>0.40799999999999997</c:v>
                </c:pt>
              </c:numCache>
            </c:numRef>
          </c:xVal>
          <c:yVal>
            <c:numLit>
              <c:formatCode>General</c:formatCode>
              <c:ptCount val="1"/>
              <c:pt idx="0">
                <c:v>-2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B-CB16-1C4C-B8F2-26C55E7F6F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84708848"/>
        <c:axId val="1192169936"/>
      </c:scatterChart>
      <c:valAx>
        <c:axId val="1384708848"/>
        <c:scaling>
          <c:orientation val="minMax"/>
          <c:min val="-1"/>
        </c:scaling>
        <c:delete val="0"/>
        <c:axPos val="b"/>
        <c:numFmt formatCode="0.0" sourceLinked="0"/>
        <c:majorTickMark val="out"/>
        <c:minorTickMark val="in"/>
        <c:tickLblPos val="nextTo"/>
        <c:spPr>
          <a:noFill/>
          <a:ln w="63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de-DE"/>
          </a:p>
        </c:txPr>
        <c:crossAx val="1192169936"/>
        <c:crossesAt val="-4"/>
        <c:crossBetween val="midCat"/>
        <c:minorUnit val="0.05"/>
      </c:valAx>
      <c:valAx>
        <c:axId val="1192169936"/>
        <c:scaling>
          <c:orientation val="minMax"/>
          <c:max val="15.5"/>
          <c:min val="-3.5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63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00" b="0" i="0" u="none" strike="noStrike" kern="1200" baseline="0">
                <a:solidFill>
                  <a:schemeClr val="bg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de-DE"/>
          </a:p>
        </c:txPr>
        <c:crossAx val="1384708848"/>
        <c:crossesAt val="-3"/>
        <c:crossBetween val="midCat"/>
        <c:majorUnit val="1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chemeClr val="tx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de-DE"/>
    </a:p>
  </c:txPr>
  <c:printSettings>
    <c:headerFooter/>
    <c:pageMargins b="0.78740157499999996" l="0.7" r="0.7" t="0.78740157499999996" header="0.3" footer="0.3"/>
    <c:pageSetup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7009505965676301E-2"/>
          <c:y val="5.270932366526173E-2"/>
          <c:w val="0.93001108015749123"/>
          <c:h val="0.86614304171231471"/>
        </c:manualLayout>
      </c:layout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7"/>
            <c:spPr>
              <a:solidFill>
                <a:schemeClr val="accent2">
                  <a:lumMod val="40000"/>
                  <a:lumOff val="60000"/>
                </a:schemeClr>
              </a:solidFill>
              <a:ln w="12700">
                <a:noFill/>
              </a:ln>
              <a:effectLst/>
            </c:spPr>
          </c:marker>
          <c:dPt>
            <c:idx val="0"/>
            <c:marker>
              <c:symbol val="circle"/>
              <c:size val="7"/>
              <c:spPr>
                <a:solidFill>
                  <a:schemeClr val="accent2">
                    <a:lumMod val="40000"/>
                    <a:lumOff val="60000"/>
                  </a:schemeClr>
                </a:solidFill>
                <a:ln w="12700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0-E7E1-E643-8188-35F2F989776E}"/>
              </c:ext>
            </c:extLst>
          </c:dPt>
          <c:dPt>
            <c:idx val="1"/>
            <c:marker>
              <c:symbol val="circle"/>
              <c:size val="7"/>
              <c:spPr>
                <a:solidFill>
                  <a:schemeClr val="accent2">
                    <a:lumMod val="40000"/>
                    <a:lumOff val="60000"/>
                  </a:schemeClr>
                </a:solidFill>
                <a:ln w="12700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1-E7E1-E643-8188-35F2F989776E}"/>
              </c:ext>
            </c:extLst>
          </c:dPt>
          <c:dPt>
            <c:idx val="2"/>
            <c:marker>
              <c:symbol val="circle"/>
              <c:size val="7"/>
              <c:spPr>
                <a:solidFill>
                  <a:schemeClr val="accent2">
                    <a:lumMod val="40000"/>
                    <a:lumOff val="60000"/>
                  </a:schemeClr>
                </a:solidFill>
                <a:ln w="12700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2-E7E1-E643-8188-35F2F989776E}"/>
              </c:ext>
            </c:extLst>
          </c:dPt>
          <c:dPt>
            <c:idx val="3"/>
            <c:marker>
              <c:symbol val="circle"/>
              <c:size val="7"/>
              <c:spPr>
                <a:solidFill>
                  <a:schemeClr val="accent2">
                    <a:lumMod val="40000"/>
                    <a:lumOff val="60000"/>
                  </a:schemeClr>
                </a:solidFill>
                <a:ln w="12700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3-E7E1-E643-8188-35F2F989776E}"/>
              </c:ext>
            </c:extLst>
          </c:dPt>
          <c:dPt>
            <c:idx val="6"/>
            <c:marker>
              <c:symbol val="circle"/>
              <c:size val="7"/>
              <c:spPr>
                <a:solidFill>
                  <a:schemeClr val="accent2">
                    <a:lumMod val="40000"/>
                    <a:lumOff val="60000"/>
                  </a:schemeClr>
                </a:solidFill>
                <a:ln w="12700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4-E7E1-E643-8188-35F2F989776E}"/>
              </c:ext>
            </c:extLst>
          </c:dPt>
          <c:dPt>
            <c:idx val="9"/>
            <c:marker>
              <c:symbol val="circle"/>
              <c:size val="7"/>
              <c:spPr>
                <a:solidFill>
                  <a:schemeClr val="accent2">
                    <a:lumMod val="40000"/>
                    <a:lumOff val="60000"/>
                  </a:schemeClr>
                </a:solidFill>
                <a:ln w="12700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5-E7E1-E643-8188-35F2F989776E}"/>
              </c:ext>
            </c:extLst>
          </c:dPt>
          <c:dPt>
            <c:idx val="10"/>
            <c:marker>
              <c:symbol val="circle"/>
              <c:size val="7"/>
              <c:spPr>
                <a:solidFill>
                  <a:schemeClr val="accent2">
                    <a:lumMod val="40000"/>
                    <a:lumOff val="60000"/>
                  </a:schemeClr>
                </a:solidFill>
                <a:ln w="12700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6-E7E1-E643-8188-35F2F989776E}"/>
              </c:ext>
            </c:extLst>
          </c:dPt>
          <c:dPt>
            <c:idx val="12"/>
            <c:marker>
              <c:symbol val="circle"/>
              <c:size val="7"/>
              <c:spPr>
                <a:solidFill>
                  <a:schemeClr val="accent2">
                    <a:lumMod val="40000"/>
                    <a:lumOff val="60000"/>
                  </a:schemeClr>
                </a:solidFill>
                <a:ln w="12700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7-E7E1-E643-8188-35F2F989776E}"/>
              </c:ext>
            </c:extLst>
          </c:dPt>
          <c:dPt>
            <c:idx val="14"/>
            <c:marker>
              <c:symbol val="circle"/>
              <c:size val="7"/>
              <c:spPr>
                <a:solidFill>
                  <a:schemeClr val="accent2">
                    <a:lumMod val="40000"/>
                    <a:lumOff val="60000"/>
                  </a:schemeClr>
                </a:solidFill>
                <a:ln w="12700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8-E7E1-E643-8188-35F2F989776E}"/>
              </c:ext>
            </c:extLst>
          </c:dPt>
          <c:errBars>
            <c:errDir val="x"/>
            <c:errBarType val="both"/>
            <c:errValType val="cust"/>
            <c:noEndCap val="1"/>
            <c:plus>
              <c:numRef>
                <c:f>Table!$AB$2:$AB$16</c:f>
                <c:numCache>
                  <c:formatCode>General</c:formatCode>
                  <c:ptCount val="15"/>
                  <c:pt idx="0">
                    <c:v>1.48</c:v>
                  </c:pt>
                  <c:pt idx="1">
                    <c:v>0.72799999999999998</c:v>
                  </c:pt>
                  <c:pt idx="2">
                    <c:v>0.64400000000000002</c:v>
                  </c:pt>
                  <c:pt idx="3">
                    <c:v>0.80300000000000005</c:v>
                  </c:pt>
                  <c:pt idx="4">
                    <c:v>1.091</c:v>
                  </c:pt>
                  <c:pt idx="5">
                    <c:v>0.13900000000000001</c:v>
                  </c:pt>
                  <c:pt idx="6">
                    <c:v>0.92800000000000005</c:v>
                  </c:pt>
                  <c:pt idx="7">
                    <c:v>0.29699999999999999</c:v>
                  </c:pt>
                  <c:pt idx="8">
                    <c:v>0.48399999999999999</c:v>
                  </c:pt>
                  <c:pt idx="9">
                    <c:v>0.32200000000000001</c:v>
                  </c:pt>
                  <c:pt idx="10">
                    <c:v>0.874</c:v>
                  </c:pt>
                  <c:pt idx="11">
                    <c:v>0.33400000000000002</c:v>
                  </c:pt>
                  <c:pt idx="12">
                    <c:v>0.65</c:v>
                  </c:pt>
                  <c:pt idx="13">
                    <c:v>0.32200000000000001</c:v>
                  </c:pt>
                  <c:pt idx="14">
                    <c:v>0.54400000000000004</c:v>
                  </c:pt>
                </c:numCache>
              </c:numRef>
            </c:plus>
            <c:minus>
              <c:numRef>
                <c:f>Table!$AB$2:$AB$16</c:f>
                <c:numCache>
                  <c:formatCode>General</c:formatCode>
                  <c:ptCount val="15"/>
                  <c:pt idx="0">
                    <c:v>1.48</c:v>
                  </c:pt>
                  <c:pt idx="1">
                    <c:v>0.72799999999999998</c:v>
                  </c:pt>
                  <c:pt idx="2">
                    <c:v>0.64400000000000002</c:v>
                  </c:pt>
                  <c:pt idx="3">
                    <c:v>0.80300000000000005</c:v>
                  </c:pt>
                  <c:pt idx="4">
                    <c:v>1.091</c:v>
                  </c:pt>
                  <c:pt idx="5">
                    <c:v>0.13900000000000001</c:v>
                  </c:pt>
                  <c:pt idx="6">
                    <c:v>0.92800000000000005</c:v>
                  </c:pt>
                  <c:pt idx="7">
                    <c:v>0.29699999999999999</c:v>
                  </c:pt>
                  <c:pt idx="8">
                    <c:v>0.48399999999999999</c:v>
                  </c:pt>
                  <c:pt idx="9">
                    <c:v>0.32200000000000001</c:v>
                  </c:pt>
                  <c:pt idx="10">
                    <c:v>0.874</c:v>
                  </c:pt>
                  <c:pt idx="11">
                    <c:v>0.33400000000000002</c:v>
                  </c:pt>
                  <c:pt idx="12">
                    <c:v>0.65</c:v>
                  </c:pt>
                  <c:pt idx="13">
                    <c:v>0.32200000000000001</c:v>
                  </c:pt>
                  <c:pt idx="14">
                    <c:v>0.54400000000000004</c:v>
                  </c:pt>
                </c:numCache>
              </c:numRef>
            </c:minus>
            <c:spPr>
              <a:noFill/>
              <a:ln w="12700" cap="rnd" cmpd="sng" algn="ctr">
                <a:solidFill>
                  <a:schemeClr val="bg1">
                    <a:lumMod val="75000"/>
                  </a:schemeClr>
                </a:solidFill>
                <a:round/>
              </a:ln>
              <a:effectLst/>
            </c:spPr>
          </c:errBars>
          <c:xVal>
            <c:numRef>
              <c:f>Table!$Q$2:$Q$16</c:f>
              <c:numCache>
                <c:formatCode>0.000</c:formatCode>
                <c:ptCount val="15"/>
                <c:pt idx="0">
                  <c:v>-1.0940000000000001</c:v>
                </c:pt>
                <c:pt idx="1">
                  <c:v>-1.1890000000000001</c:v>
                </c:pt>
                <c:pt idx="2">
                  <c:v>-0.91500000000000004</c:v>
                </c:pt>
                <c:pt idx="3">
                  <c:v>-1.873</c:v>
                </c:pt>
                <c:pt idx="4">
                  <c:v>-0.218</c:v>
                </c:pt>
                <c:pt idx="5">
                  <c:v>0.441</c:v>
                </c:pt>
                <c:pt idx="6">
                  <c:v>-0.38700000000000001</c:v>
                </c:pt>
                <c:pt idx="7">
                  <c:v>-0.22700000000000001</c:v>
                </c:pt>
                <c:pt idx="8">
                  <c:v>-8.6999999999999994E-2</c:v>
                </c:pt>
                <c:pt idx="9">
                  <c:v>-0.13200000000000001</c:v>
                </c:pt>
                <c:pt idx="10">
                  <c:v>-0.35699999999999998</c:v>
                </c:pt>
                <c:pt idx="11">
                  <c:v>-0.34599999999999997</c:v>
                </c:pt>
                <c:pt idx="12">
                  <c:v>-1.3560000000000001</c:v>
                </c:pt>
                <c:pt idx="13">
                  <c:v>-0.123</c:v>
                </c:pt>
                <c:pt idx="14">
                  <c:v>0.90100000000000002</c:v>
                </c:pt>
              </c:numCache>
            </c:numRef>
          </c:xVal>
          <c:yVal>
            <c:numRef>
              <c:f>Table!$AD$2:$AD$16</c:f>
              <c:numCache>
                <c:formatCode>General</c:formatCode>
                <c:ptCount val="15"/>
                <c:pt idx="0">
                  <c:v>15</c:v>
                </c:pt>
                <c:pt idx="1">
                  <c:v>14</c:v>
                </c:pt>
                <c:pt idx="2">
                  <c:v>13</c:v>
                </c:pt>
                <c:pt idx="3">
                  <c:v>12</c:v>
                </c:pt>
                <c:pt idx="4">
                  <c:v>11</c:v>
                </c:pt>
                <c:pt idx="5">
                  <c:v>10</c:v>
                </c:pt>
                <c:pt idx="6">
                  <c:v>9</c:v>
                </c:pt>
                <c:pt idx="7">
                  <c:v>8</c:v>
                </c:pt>
                <c:pt idx="8">
                  <c:v>7</c:v>
                </c:pt>
                <c:pt idx="9">
                  <c:v>6</c:v>
                </c:pt>
                <c:pt idx="10">
                  <c:v>5</c:v>
                </c:pt>
                <c:pt idx="11">
                  <c:v>4</c:v>
                </c:pt>
                <c:pt idx="12">
                  <c:v>3</c:v>
                </c:pt>
                <c:pt idx="13">
                  <c:v>2</c:v>
                </c:pt>
                <c:pt idx="14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9-E7E1-E643-8188-35F2F989776E}"/>
            </c:ext>
          </c:extLst>
        </c:ser>
        <c:ser>
          <c:idx val="1"/>
          <c:order val="1"/>
          <c:tx>
            <c:v>Zero</c:v>
          </c:tx>
          <c:spPr>
            <a:ln w="12700" cap="rnd">
              <a:solidFill>
                <a:schemeClr val="tx1"/>
              </a:solidFill>
              <a:prstDash val="sysDash"/>
              <a:round/>
            </a:ln>
            <a:effectLst/>
          </c:spPr>
          <c:marker>
            <c:symbol val="none"/>
          </c:marker>
          <c:dPt>
            <c:idx val="1"/>
            <c:marker>
              <c:symbol val="none"/>
            </c:marker>
            <c:bubble3D val="0"/>
            <c:spPr>
              <a:ln w="6350" cap="rnd">
                <a:solidFill>
                  <a:schemeClr val="tx1"/>
                </a:solidFill>
                <a:prstDash val="dash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B-E7E1-E643-8188-35F2F989776E}"/>
              </c:ext>
            </c:extLst>
          </c:dPt>
          <c:xVal>
            <c:numLit>
              <c:formatCode>General</c:formatCode>
              <c:ptCount val="2"/>
              <c:pt idx="0">
                <c:v>0</c:v>
              </c:pt>
              <c:pt idx="1">
                <c:v>0</c:v>
              </c:pt>
            </c:numLit>
          </c:xVal>
          <c:yVal>
            <c:numLit>
              <c:formatCode>General</c:formatCode>
              <c:ptCount val="2"/>
              <c:pt idx="0">
                <c:v>-4</c:v>
              </c:pt>
              <c:pt idx="1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C-E7E1-E643-8188-35F2F989776E}"/>
            </c:ext>
          </c:extLst>
        </c:ser>
        <c:ser>
          <c:idx val="2"/>
          <c:order val="2"/>
          <c:tx>
            <c:v>fixed</c:v>
          </c:tx>
          <c:spPr>
            <a:ln w="25400" cap="rnd">
              <a:noFill/>
              <a:round/>
            </a:ln>
            <a:effectLst/>
          </c:spPr>
          <c:marker>
            <c:symbol val="plus"/>
            <c:size val="5"/>
            <c:spPr>
              <a:noFill/>
              <a:ln w="9525">
                <a:solidFill>
                  <a:schemeClr val="accent3"/>
                </a:solidFill>
              </a:ln>
              <a:effectLst/>
            </c:spPr>
          </c:marker>
          <c:dPt>
            <c:idx val="0"/>
            <c:marker>
              <c:symbol val="plus"/>
              <c:size val="5"/>
              <c:spPr>
                <a:noFill/>
                <a:ln w="9525">
                  <a:solidFill>
                    <a:schemeClr val="accent3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E7E1-E643-8188-35F2F989776E}"/>
              </c:ext>
            </c:extLst>
          </c:dPt>
          <c:errBars>
            <c:errDir val="x"/>
            <c:errBarType val="both"/>
            <c:errValType val="cust"/>
            <c:noEndCap val="1"/>
            <c:plus>
              <c:numRef>
                <c:f>Table!$C$19</c:f>
                <c:numCache>
                  <c:formatCode>General</c:formatCode>
                  <c:ptCount val="1"/>
                  <c:pt idx="0">
                    <c:v>3.7999999999999999E-2</c:v>
                  </c:pt>
                </c:numCache>
              </c:numRef>
            </c:plus>
            <c:minus>
              <c:numRef>
                <c:f>Table!$C$19</c:f>
                <c:numCache>
                  <c:formatCode>General</c:formatCode>
                  <c:ptCount val="1"/>
                  <c:pt idx="0">
                    <c:v>3.7999999999999999E-2</c:v>
                  </c:pt>
                </c:numCache>
              </c:numRef>
            </c:minus>
            <c:spPr>
              <a:noFill/>
              <a:ln w="0" cap="flat" cmpd="sng" algn="ctr">
                <a:solidFill>
                  <a:schemeClr val="bg1">
                    <a:lumMod val="75000"/>
                  </a:schemeClr>
                </a:solidFill>
                <a:round/>
              </a:ln>
              <a:effectLst/>
            </c:spPr>
          </c:errBars>
          <c:xVal>
            <c:numRef>
              <c:f>Table!$Q$18</c:f>
              <c:numCache>
                <c:formatCode>General</c:formatCode>
                <c:ptCount val="1"/>
                <c:pt idx="0">
                  <c:v>4.8000000000000001E-2</c:v>
                </c:pt>
              </c:numCache>
            </c:numRef>
          </c:xVal>
          <c:yVal>
            <c:numLit>
              <c:formatCode>General</c:formatCode>
              <c:ptCount val="1"/>
              <c:pt idx="0">
                <c:v>-1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E-E7E1-E643-8188-35F2F989776E}"/>
            </c:ext>
          </c:extLst>
        </c:ser>
        <c:ser>
          <c:idx val="3"/>
          <c:order val="3"/>
          <c:tx>
            <c:v>random</c:v>
          </c:tx>
          <c:spPr>
            <a:ln w="25400" cap="rnd">
              <a:noFill/>
              <a:round/>
            </a:ln>
            <a:effectLst/>
          </c:spPr>
          <c:marker>
            <c:symbol val="plus"/>
            <c:size val="5"/>
            <c:spPr>
              <a:noFill/>
              <a:ln w="6350">
                <a:solidFill>
                  <a:schemeClr val="tx1"/>
                </a:solidFill>
              </a:ln>
              <a:effectLst/>
            </c:spPr>
          </c:marker>
          <c:errBars>
            <c:errDir val="x"/>
            <c:errBarType val="both"/>
            <c:errValType val="cust"/>
            <c:noEndCap val="1"/>
            <c:plus>
              <c:numRef>
                <c:f>Table!$C$26</c:f>
                <c:numCache>
                  <c:formatCode>General</c:formatCode>
                  <c:ptCount val="1"/>
                  <c:pt idx="0">
                    <c:v>0.21199999999999999</c:v>
                  </c:pt>
                </c:numCache>
              </c:numRef>
            </c:plus>
            <c:minus>
              <c:numRef>
                <c:f>Table!$C$26</c:f>
                <c:numCache>
                  <c:formatCode>General</c:formatCode>
                  <c:ptCount val="1"/>
                  <c:pt idx="0">
                    <c:v>0.21199999999999999</c:v>
                  </c:pt>
                </c:numCache>
              </c:numRef>
            </c:minus>
            <c:spPr>
              <a:noFill/>
              <a:ln w="0" cap="flat" cmpd="sng" algn="ctr">
                <a:solidFill>
                  <a:schemeClr val="bg1">
                    <a:lumMod val="75000"/>
                  </a:schemeClr>
                </a:solidFill>
                <a:round/>
              </a:ln>
              <a:effectLst/>
            </c:spPr>
          </c:errBars>
          <c:xVal>
            <c:numRef>
              <c:f>Table!$Q$25</c:f>
              <c:numCache>
                <c:formatCode>General</c:formatCode>
                <c:ptCount val="1"/>
                <c:pt idx="0">
                  <c:v>-0.38900000000000001</c:v>
                </c:pt>
              </c:numCache>
            </c:numRef>
          </c:xVal>
          <c:yVal>
            <c:numLit>
              <c:formatCode>General</c:formatCode>
              <c:ptCount val="1"/>
              <c:pt idx="0">
                <c:v>-2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F-E7E1-E643-8188-35F2F989776E}"/>
            </c:ext>
          </c:extLst>
        </c:ser>
        <c:ser>
          <c:idx val="4"/>
          <c:order val="4"/>
          <c:tx>
            <c:strRef>
              <c:f>Table!$A$27</c:f>
              <c:strCache>
                <c:ptCount val="1"/>
                <c:pt idx="0">
                  <c:v>95% PI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errBars>
            <c:errDir val="x"/>
            <c:errBarType val="both"/>
            <c:errValType val="cust"/>
            <c:noEndCap val="1"/>
            <c:plus>
              <c:numRef>
                <c:f>Table!$Q$27</c:f>
                <c:numCache>
                  <c:formatCode>General</c:formatCode>
                  <c:ptCount val="1"/>
                  <c:pt idx="0">
                    <c:v>0.56499999999999995</c:v>
                  </c:pt>
                </c:numCache>
              </c:numRef>
            </c:plus>
            <c:minus>
              <c:numRef>
                <c:f>Table!$Q$27</c:f>
                <c:numCache>
                  <c:formatCode>General</c:formatCode>
                  <c:ptCount val="1"/>
                  <c:pt idx="0">
                    <c:v>0.56499999999999995</c:v>
                  </c:pt>
                </c:numCache>
              </c:numRef>
            </c:minus>
            <c:spPr>
              <a:noFill/>
              <a:ln w="12700" cap="rnd" cmpd="sng" algn="ctr">
                <a:solidFill>
                  <a:schemeClr val="accent2">
                    <a:alpha val="50000"/>
                  </a:schemeClr>
                </a:solidFill>
                <a:round/>
              </a:ln>
              <a:effectLst/>
            </c:spPr>
          </c:errBars>
          <c:xVal>
            <c:numRef>
              <c:f>Table!$Q$25</c:f>
              <c:numCache>
                <c:formatCode>General</c:formatCode>
                <c:ptCount val="1"/>
                <c:pt idx="0">
                  <c:v>-0.38900000000000001</c:v>
                </c:pt>
              </c:numCache>
            </c:numRef>
          </c:xVal>
          <c:yVal>
            <c:numLit>
              <c:formatCode>General</c:formatCode>
              <c:ptCount val="1"/>
              <c:pt idx="0">
                <c:v>-2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0-E7E1-E643-8188-35F2F98977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84708848"/>
        <c:axId val="1192169936"/>
      </c:scatterChart>
      <c:valAx>
        <c:axId val="1384708848"/>
        <c:scaling>
          <c:orientation val="minMax"/>
          <c:max val="1.5"/>
          <c:min val="-3"/>
        </c:scaling>
        <c:delete val="0"/>
        <c:axPos val="b"/>
        <c:numFmt formatCode="0.0" sourceLinked="0"/>
        <c:majorTickMark val="out"/>
        <c:minorTickMark val="in"/>
        <c:tickLblPos val="nextTo"/>
        <c:spPr>
          <a:noFill/>
          <a:ln w="63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de-DE"/>
          </a:p>
        </c:txPr>
        <c:crossAx val="1192169936"/>
        <c:crossesAt val="-4"/>
        <c:crossBetween val="midCat"/>
        <c:minorUnit val="0.05"/>
      </c:valAx>
      <c:valAx>
        <c:axId val="1192169936"/>
        <c:scaling>
          <c:orientation val="minMax"/>
          <c:max val="15.5"/>
          <c:min val="-3.5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63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00" b="0" i="0" u="none" strike="noStrike" kern="1200" baseline="0">
                <a:solidFill>
                  <a:schemeClr val="bg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de-DE"/>
          </a:p>
        </c:txPr>
        <c:crossAx val="1384708848"/>
        <c:crossesAt val="-3"/>
        <c:crossBetween val="midCat"/>
        <c:majorUnit val="1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chemeClr val="tx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de-DE"/>
    </a:p>
  </c:txPr>
  <c:printSettings>
    <c:headerFooter/>
    <c:pageMargins b="0.78740157499999996" l="0.7" r="0.7" t="0.78740157499999996" header="0.3" footer="0.3"/>
    <c:pageSetup/>
  </c:printSettings>
  <c:userShapes r:id="rId3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868402227289683"/>
          <c:y val="5.8315117349286689E-2"/>
          <c:w val="0.82520502441062482"/>
          <c:h val="0.8405505050505051"/>
        </c:manualLayout>
      </c:layout>
      <c:scatterChart>
        <c:scatterStyle val="lineMarker"/>
        <c:varyColors val="0"/>
        <c:ser>
          <c:idx val="5"/>
          <c:order val="0"/>
          <c:tx>
            <c:v>WEP</c:v>
          </c:tx>
          <c:spPr>
            <a:ln w="25400">
              <a:noFill/>
            </a:ln>
          </c:spPr>
          <c:marker>
            <c:symbol val="circle"/>
            <c:size val="7"/>
            <c:spPr>
              <a:solidFill>
                <a:schemeClr val="accent2">
                  <a:alpha val="50000"/>
                </a:schemeClr>
              </a:solidFill>
              <a:ln>
                <a:noFill/>
              </a:ln>
            </c:spPr>
          </c:marker>
          <c:xVal>
            <c:numRef>
              <c:f>Table!$Q$2:$Q$16</c:f>
              <c:numCache>
                <c:formatCode>0.000</c:formatCode>
                <c:ptCount val="15"/>
                <c:pt idx="0">
                  <c:v>-1.0940000000000001</c:v>
                </c:pt>
                <c:pt idx="1">
                  <c:v>-1.1890000000000001</c:v>
                </c:pt>
                <c:pt idx="2">
                  <c:v>-0.91500000000000004</c:v>
                </c:pt>
                <c:pt idx="3">
                  <c:v>-1.873</c:v>
                </c:pt>
                <c:pt idx="4">
                  <c:v>-0.218</c:v>
                </c:pt>
                <c:pt idx="5">
                  <c:v>0.441</c:v>
                </c:pt>
                <c:pt idx="6">
                  <c:v>-0.38700000000000001</c:v>
                </c:pt>
                <c:pt idx="7">
                  <c:v>-0.22700000000000001</c:v>
                </c:pt>
                <c:pt idx="8">
                  <c:v>-8.6999999999999994E-2</c:v>
                </c:pt>
                <c:pt idx="9">
                  <c:v>-0.13200000000000001</c:v>
                </c:pt>
                <c:pt idx="10">
                  <c:v>-0.35699999999999998</c:v>
                </c:pt>
                <c:pt idx="11">
                  <c:v>-0.34599999999999997</c:v>
                </c:pt>
                <c:pt idx="12">
                  <c:v>-1.3560000000000001</c:v>
                </c:pt>
                <c:pt idx="13">
                  <c:v>-0.123</c:v>
                </c:pt>
                <c:pt idx="14">
                  <c:v>0.90100000000000002</c:v>
                </c:pt>
              </c:numCache>
            </c:numRef>
          </c:xVal>
          <c:yVal>
            <c:numRef>
              <c:f>Table!$S$2:$S$16</c:f>
              <c:numCache>
                <c:formatCode>0.000</c:formatCode>
                <c:ptCount val="15"/>
                <c:pt idx="0">
                  <c:v>0.30822070014844882</c:v>
                </c:pt>
                <c:pt idx="1">
                  <c:v>0.1030309886169429</c:v>
                </c:pt>
                <c:pt idx="2">
                  <c:v>9.1146543037530003E-2</c:v>
                </c:pt>
                <c:pt idx="3">
                  <c:v>0.12961481396815722</c:v>
                </c:pt>
                <c:pt idx="4">
                  <c:v>0.18559214542766742</c:v>
                </c:pt>
                <c:pt idx="5">
                  <c:v>1.8257418583505537E-2</c:v>
                </c:pt>
                <c:pt idx="6">
                  <c:v>0.15776212754932309</c:v>
                </c:pt>
                <c:pt idx="7">
                  <c:v>4.7958315233127199E-2</c:v>
                </c:pt>
                <c:pt idx="8">
                  <c:v>6.6008657440845275E-2</c:v>
                </c:pt>
                <c:pt idx="9">
                  <c:v>5.1961524227066319E-2</c:v>
                </c:pt>
                <c:pt idx="10">
                  <c:v>0.15771810295587504</c:v>
                </c:pt>
                <c:pt idx="11">
                  <c:v>5.3851648071345043E-2</c:v>
                </c:pt>
                <c:pt idx="12">
                  <c:v>0.10488088481701514</c:v>
                </c:pt>
                <c:pt idx="13">
                  <c:v>5.1961524227066319E-2</c:v>
                </c:pt>
                <c:pt idx="14">
                  <c:v>9.810708435174291E-2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58D0-E74A-B0C7-3FC5D2E914E5}"/>
            </c:ext>
          </c:extLst>
        </c:ser>
        <c:ser>
          <c:idx val="6"/>
          <c:order val="1"/>
          <c:tx>
            <c:v>Zero</c:v>
          </c:tx>
          <c:spPr>
            <a:ln w="12700">
              <a:solidFill>
                <a:schemeClr val="tx1"/>
              </a:solidFill>
              <a:prstDash val="sysDash"/>
            </a:ln>
          </c:spPr>
          <c:dPt>
            <c:idx val="1"/>
            <c:bubble3D val="0"/>
            <c:spPr>
              <a:ln w="6350" cap="rnd">
                <a:solidFill>
                  <a:schemeClr val="tx1"/>
                </a:solidFill>
                <a:prstDash val="sysDash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2-58D0-E74A-B0C7-3FC5D2E914E5}"/>
              </c:ext>
            </c:extLst>
          </c:dPt>
          <c:xVal>
            <c:numLit>
              <c:formatCode>General</c:formatCode>
              <c:ptCount val="2"/>
              <c:pt idx="0">
                <c:v>0</c:v>
              </c:pt>
              <c:pt idx="1">
                <c:v>0</c:v>
              </c:pt>
            </c:numLit>
          </c:xVal>
          <c:yVal>
            <c:numLit>
              <c:formatCode>General</c:formatCode>
              <c:ptCount val="2"/>
              <c:pt idx="0">
                <c:v>-4</c:v>
              </c:pt>
              <c:pt idx="1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3-58D0-E74A-B0C7-3FC5D2E914E5}"/>
            </c:ext>
          </c:extLst>
        </c:ser>
        <c:ser>
          <c:idx val="0"/>
          <c:order val="2"/>
          <c:tx>
            <c:v>EP</c:v>
          </c:tx>
          <c:spPr>
            <a:ln w="19050" cap="rnd">
              <a:noFill/>
              <a:round/>
            </a:ln>
            <a:effectLst/>
          </c:spPr>
          <c:marker>
            <c:symbol val="circle"/>
            <c:size val="7"/>
            <c:spPr>
              <a:solidFill>
                <a:srgbClr val="FF0000">
                  <a:alpha val="50000"/>
                </a:srgbClr>
              </a:solidFill>
              <a:ln w="12700">
                <a:noFill/>
              </a:ln>
              <a:effectLst/>
            </c:spPr>
          </c:marker>
          <c:dPt>
            <c:idx val="3"/>
            <c:bubble3D val="0"/>
          </c:dPt>
          <c:dPt>
            <c:idx val="9"/>
            <c:bubble3D val="0"/>
          </c:dPt>
          <c:dPt>
            <c:idx val="10"/>
            <c:bubble3D val="0"/>
            <c:extLst>
              <c:ext xmlns:c16="http://schemas.microsoft.com/office/drawing/2014/chart" uri="{C3380CC4-5D6E-409C-BE32-E72D297353CC}">
                <c16:uniqueId val="{00000007-58D0-E74A-B0C7-3FC5D2E914E5}"/>
              </c:ext>
            </c:extLst>
          </c:dPt>
          <c:dPt>
            <c:idx val="12"/>
            <c:bubble3D val="0"/>
          </c:dPt>
          <c:xVal>
            <c:numRef>
              <c:f>Table!$C$2:$C$16</c:f>
              <c:numCache>
                <c:formatCode>0.000</c:formatCode>
                <c:ptCount val="15"/>
                <c:pt idx="0">
                  <c:v>1.8580000000000001</c:v>
                </c:pt>
                <c:pt idx="1">
                  <c:v>1.734</c:v>
                </c:pt>
                <c:pt idx="2">
                  <c:v>1.52</c:v>
                </c:pt>
                <c:pt idx="3">
                  <c:v>1.1659999999999999</c:v>
                </c:pt>
                <c:pt idx="4">
                  <c:v>0.60599999999999998</c:v>
                </c:pt>
                <c:pt idx="5">
                  <c:v>0.441</c:v>
                </c:pt>
                <c:pt idx="6">
                  <c:v>0.29399999999999998</c:v>
                </c:pt>
                <c:pt idx="7">
                  <c:v>0.23300000000000001</c:v>
                </c:pt>
                <c:pt idx="8">
                  <c:v>0.127</c:v>
                </c:pt>
                <c:pt idx="9">
                  <c:v>0.123</c:v>
                </c:pt>
                <c:pt idx="10">
                  <c:v>1.0999999999999999E-2</c:v>
                </c:pt>
                <c:pt idx="11">
                  <c:v>-4.3999999999999997E-2</c:v>
                </c:pt>
                <c:pt idx="12">
                  <c:v>-0.247</c:v>
                </c:pt>
                <c:pt idx="13">
                  <c:v>-0.28000000000000003</c:v>
                </c:pt>
                <c:pt idx="14">
                  <c:v>-0.34300000000000003</c:v>
                </c:pt>
              </c:numCache>
            </c:numRef>
          </c:xVal>
          <c:yVal>
            <c:numRef>
              <c:f>Table!$E$2:$E$16</c:f>
              <c:numCache>
                <c:formatCode>0.000</c:formatCode>
                <c:ptCount val="15"/>
                <c:pt idx="0">
                  <c:v>0.16329931618554522</c:v>
                </c:pt>
                <c:pt idx="1">
                  <c:v>5.6839856005880519E-2</c:v>
                </c:pt>
                <c:pt idx="2">
                  <c:v>4.8832523840319622E-2</c:v>
                </c:pt>
                <c:pt idx="3">
                  <c:v>6.4031242374328487E-2</c:v>
                </c:pt>
                <c:pt idx="4">
                  <c:v>5.8689389538863358E-2</c:v>
                </c:pt>
                <c:pt idx="5">
                  <c:v>1.8257418583505537E-2</c:v>
                </c:pt>
                <c:pt idx="6">
                  <c:v>8.819171036881969E-2</c:v>
                </c:pt>
                <c:pt idx="7">
                  <c:v>1.7320508075688773E-2</c:v>
                </c:pt>
                <c:pt idx="8">
                  <c:v>2.8030595529069405E-2</c:v>
                </c:pt>
                <c:pt idx="9">
                  <c:v>1.9999999999999997E-2</c:v>
                </c:pt>
                <c:pt idx="10">
                  <c:v>0.10723805294763608</c:v>
                </c:pt>
                <c:pt idx="11">
                  <c:v>9.9999999999999985E-3</c:v>
                </c:pt>
                <c:pt idx="12">
                  <c:v>5.1961524227066319E-2</c:v>
                </c:pt>
                <c:pt idx="13">
                  <c:v>1.4142135623730949E-2</c:v>
                </c:pt>
                <c:pt idx="14">
                  <c:v>2.7386127875258303E-2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8-58D0-E74A-B0C7-3FC5D2E914E5}"/>
            </c:ext>
          </c:extLst>
        </c:ser>
        <c:ser>
          <c:idx val="3"/>
          <c:order val="3"/>
          <c:tx>
            <c:v>EP gz</c:v>
          </c:tx>
          <c:spPr>
            <a:ln w="6350" cap="rnd">
              <a:solidFill>
                <a:srgbClr val="FF0000"/>
              </a:solidFill>
              <a:prstDash val="dash"/>
              <a:round/>
            </a:ln>
            <a:effectLst/>
          </c:spPr>
          <c:marker>
            <c:symbol val="none"/>
          </c:marker>
          <c:errBars>
            <c:errDir val="x"/>
            <c:errBarType val="both"/>
            <c:errValType val="cust"/>
            <c:noEndCap val="1"/>
            <c:plus>
              <c:numRef>
                <c:f>Table!$C$26</c:f>
                <c:numCache>
                  <c:formatCode>General</c:formatCode>
                  <c:ptCount val="1"/>
                  <c:pt idx="0">
                    <c:v>0.21199999999999999</c:v>
                  </c:pt>
                </c:numCache>
              </c:numRef>
            </c:plus>
            <c:minus>
              <c:numRef>
                <c:f>Table!$C$26</c:f>
                <c:numCache>
                  <c:formatCode>General</c:formatCode>
                  <c:ptCount val="1"/>
                  <c:pt idx="0">
                    <c:v>0.21199999999999999</c:v>
                  </c:pt>
                </c:numCache>
              </c:numRef>
            </c:minus>
            <c:spPr>
              <a:noFill/>
              <a:ln w="0" cap="flat" cmpd="sng" algn="ctr">
                <a:noFill/>
                <a:round/>
              </a:ln>
              <a:effectLst/>
            </c:spPr>
          </c:errBars>
          <c:xVal>
            <c:numRef>
              <c:f>(Table!$C$25,Table!$C$25)</c:f>
              <c:numCache>
                <c:formatCode>General</c:formatCode>
                <c:ptCount val="2"/>
                <c:pt idx="0">
                  <c:v>0.40799999999999997</c:v>
                </c:pt>
                <c:pt idx="1">
                  <c:v>0.40799999999999997</c:v>
                </c:pt>
              </c:numCache>
            </c:numRef>
          </c:xVal>
          <c:yVal>
            <c:numLit>
              <c:formatCode>General</c:formatCode>
              <c:ptCount val="2"/>
              <c:pt idx="0">
                <c:v>-1</c:v>
              </c:pt>
              <c:pt idx="1">
                <c:v>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9-58D0-E74A-B0C7-3FC5D2E914E5}"/>
            </c:ext>
          </c:extLst>
        </c:ser>
        <c:ser>
          <c:idx val="1"/>
          <c:order val="4"/>
          <c:tx>
            <c:v>WEP gz</c:v>
          </c:tx>
          <c:spPr>
            <a:ln w="6350">
              <a:solidFill>
                <a:schemeClr val="accent2"/>
              </a:solidFill>
              <a:prstDash val="dash"/>
            </a:ln>
          </c:spPr>
          <c:marker>
            <c:symbol val="none"/>
          </c:marker>
          <c:xVal>
            <c:numRef>
              <c:f>(Table!$Q$25,Table!$Q$25)</c:f>
              <c:numCache>
                <c:formatCode>General</c:formatCode>
                <c:ptCount val="2"/>
                <c:pt idx="0">
                  <c:v>-0.38900000000000001</c:v>
                </c:pt>
                <c:pt idx="1">
                  <c:v>-0.38900000000000001</c:v>
                </c:pt>
              </c:numCache>
            </c:numRef>
          </c:xVal>
          <c:yVal>
            <c:numLit>
              <c:formatCode>General</c:formatCode>
              <c:ptCount val="2"/>
              <c:pt idx="0">
                <c:v>-1</c:v>
              </c:pt>
              <c:pt idx="1">
                <c:v>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A-58D0-E74A-B0C7-3FC5D2E914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84708848"/>
        <c:axId val="1192169936"/>
      </c:scatterChart>
      <c:valAx>
        <c:axId val="1384708848"/>
        <c:scaling>
          <c:orientation val="minMax"/>
          <c:max val="3"/>
          <c:min val="-3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de-DE"/>
                  <a:t>g</a:t>
                </a:r>
                <a:r>
                  <a:rPr lang="de-DE" baseline="-25000"/>
                  <a:t>z</a:t>
                </a:r>
              </a:p>
            </c:rich>
          </c:tx>
          <c:overlay val="0"/>
        </c:title>
        <c:numFmt formatCode="0.0" sourceLinked="0"/>
        <c:majorTickMark val="out"/>
        <c:minorTickMark val="in"/>
        <c:tickLblPos val="nextTo"/>
        <c:spPr>
          <a:noFill/>
          <a:ln w="63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de-DE"/>
          </a:p>
        </c:txPr>
        <c:crossAx val="1192169936"/>
        <c:crossesAt val="-4"/>
        <c:crossBetween val="midCat"/>
        <c:majorUnit val="0.5"/>
        <c:minorUnit val="0.05"/>
      </c:valAx>
      <c:valAx>
        <c:axId val="1192169936"/>
        <c:scaling>
          <c:orientation val="minMax"/>
          <c:max val="0.4"/>
          <c:min val="0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de-DE"/>
                  <a:t>SE</a:t>
                </a:r>
              </a:p>
            </c:rich>
          </c:tx>
          <c:overlay val="0"/>
        </c:title>
        <c:numFmt formatCode="0.000" sourceLinked="1"/>
        <c:majorTickMark val="out"/>
        <c:minorTickMark val="in"/>
        <c:tickLblPos val="nextTo"/>
        <c:spPr>
          <a:noFill/>
          <a:ln w="63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de-DE"/>
          </a:p>
        </c:txPr>
        <c:crossAx val="1384708848"/>
        <c:crossesAt val="-3"/>
        <c:crossBetween val="midCat"/>
        <c:minorUnit val="0.01"/>
      </c:valAx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chemeClr val="tx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de-DE"/>
    </a:p>
  </c:txPr>
  <c:printSettings>
    <c:headerFooter/>
    <c:pageMargins b="0.78740157499999996" l="0.7" r="0.7" t="0.78740157499999996" header="0.3" footer="0.3"/>
    <c:pageSetup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4156308557151781"/>
          <c:y val="2.9482142857142856E-2"/>
          <c:w val="0.81213616489693941"/>
          <c:h val="0.85576428571428576"/>
        </c:manualLayout>
      </c:layout>
      <c:bubbleChart>
        <c:varyColors val="0"/>
        <c:ser>
          <c:idx val="0"/>
          <c:order val="0"/>
          <c:tx>
            <c:v>all</c:v>
          </c:tx>
          <c:spPr>
            <a:solidFill>
              <a:schemeClr val="bg1">
                <a:alpha val="0"/>
              </a:schemeClr>
            </a:solidFill>
            <a:ln>
              <a:noFill/>
            </a:ln>
            <a:effectLst/>
          </c:spPr>
          <c:invertIfNegative val="0"/>
          <c:trendline>
            <c:spPr>
              <a:ln w="19050" cap="rnd">
                <a:solidFill>
                  <a:schemeClr val="tx1"/>
                </a:solidFill>
                <a:prstDash val="solid"/>
              </a:ln>
              <a:effectLst/>
            </c:spPr>
            <c:trendlineType val="linear"/>
            <c:dispRSqr val="0"/>
            <c:dispEq val="1"/>
            <c:trendlineLbl>
              <c:layout>
                <c:manualLayout>
                  <c:x val="-7.0438909490102971E-3"/>
                  <c:y val="-9.4564271063388144E-3"/>
                </c:manualLayout>
              </c:layout>
              <c:numFmt formatCode="General" sourceLinked="0"/>
              <c:spPr>
                <a:solidFill>
                  <a:schemeClr val="bg1"/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400" b="0" i="0" u="none" strike="noStrike" kern="1200" baseline="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de-DE"/>
                </a:p>
              </c:txPr>
            </c:trendlineLbl>
          </c:trendline>
          <c:xVal>
            <c:numRef>
              <c:f>data!$E$2:$E$160</c:f>
              <c:numCache>
                <c:formatCode>0.0</c:formatCode>
                <c:ptCount val="159"/>
                <c:pt idx="0">
                  <c:v>173</c:v>
                </c:pt>
                <c:pt idx="1">
                  <c:v>286</c:v>
                </c:pt>
                <c:pt idx="2">
                  <c:v>325</c:v>
                </c:pt>
                <c:pt idx="3">
                  <c:v>351</c:v>
                </c:pt>
                <c:pt idx="4">
                  <c:v>252</c:v>
                </c:pt>
                <c:pt idx="5">
                  <c:v>262</c:v>
                </c:pt>
                <c:pt idx="6">
                  <c:v>316</c:v>
                </c:pt>
                <c:pt idx="7">
                  <c:v>334</c:v>
                </c:pt>
                <c:pt idx="8">
                  <c:v>330</c:v>
                </c:pt>
                <c:pt idx="9">
                  <c:v>240</c:v>
                </c:pt>
                <c:pt idx="10">
                  <c:v>173</c:v>
                </c:pt>
                <c:pt idx="11">
                  <c:v>286</c:v>
                </c:pt>
                <c:pt idx="12">
                  <c:v>325</c:v>
                </c:pt>
                <c:pt idx="13">
                  <c:v>351</c:v>
                </c:pt>
                <c:pt idx="14">
                  <c:v>252</c:v>
                </c:pt>
                <c:pt idx="15">
                  <c:v>262</c:v>
                </c:pt>
                <c:pt idx="16">
                  <c:v>316</c:v>
                </c:pt>
                <c:pt idx="17">
                  <c:v>334</c:v>
                </c:pt>
                <c:pt idx="18">
                  <c:v>330</c:v>
                </c:pt>
                <c:pt idx="19">
                  <c:v>240</c:v>
                </c:pt>
                <c:pt idx="20">
                  <c:v>120</c:v>
                </c:pt>
                <c:pt idx="21">
                  <c:v>146</c:v>
                </c:pt>
                <c:pt idx="22">
                  <c:v>141</c:v>
                </c:pt>
                <c:pt idx="23">
                  <c:v>115</c:v>
                </c:pt>
                <c:pt idx="24">
                  <c:v>112</c:v>
                </c:pt>
                <c:pt idx="25">
                  <c:v>181</c:v>
                </c:pt>
                <c:pt idx="26">
                  <c:v>164</c:v>
                </c:pt>
                <c:pt idx="27">
                  <c:v>192</c:v>
                </c:pt>
                <c:pt idx="28">
                  <c:v>224</c:v>
                </c:pt>
                <c:pt idx="29">
                  <c:v>242</c:v>
                </c:pt>
                <c:pt idx="30">
                  <c:v>275</c:v>
                </c:pt>
                <c:pt idx="31">
                  <c:v>268</c:v>
                </c:pt>
                <c:pt idx="32">
                  <c:v>262</c:v>
                </c:pt>
                <c:pt idx="33">
                  <c:v>275</c:v>
                </c:pt>
                <c:pt idx="34">
                  <c:v>294</c:v>
                </c:pt>
                <c:pt idx="35">
                  <c:v>294</c:v>
                </c:pt>
                <c:pt idx="36">
                  <c:v>304</c:v>
                </c:pt>
                <c:pt idx="37">
                  <c:v>297</c:v>
                </c:pt>
                <c:pt idx="38">
                  <c:v>298</c:v>
                </c:pt>
                <c:pt idx="39">
                  <c:v>359</c:v>
                </c:pt>
                <c:pt idx="40">
                  <c:v>373</c:v>
                </c:pt>
                <c:pt idx="41">
                  <c:v>223</c:v>
                </c:pt>
                <c:pt idx="42">
                  <c:v>241</c:v>
                </c:pt>
                <c:pt idx="43">
                  <c:v>274</c:v>
                </c:pt>
                <c:pt idx="44">
                  <c:v>267</c:v>
                </c:pt>
                <c:pt idx="45">
                  <c:v>261</c:v>
                </c:pt>
                <c:pt idx="46">
                  <c:v>274</c:v>
                </c:pt>
                <c:pt idx="47">
                  <c:v>293</c:v>
                </c:pt>
                <c:pt idx="48">
                  <c:v>303</c:v>
                </c:pt>
                <c:pt idx="49">
                  <c:v>293</c:v>
                </c:pt>
                <c:pt idx="50">
                  <c:v>296</c:v>
                </c:pt>
                <c:pt idx="51">
                  <c:v>298</c:v>
                </c:pt>
                <c:pt idx="52">
                  <c:v>359</c:v>
                </c:pt>
                <c:pt idx="53">
                  <c:v>372</c:v>
                </c:pt>
                <c:pt idx="54">
                  <c:v>307</c:v>
                </c:pt>
                <c:pt idx="55">
                  <c:v>182</c:v>
                </c:pt>
                <c:pt idx="56">
                  <c:v>249</c:v>
                </c:pt>
                <c:pt idx="57">
                  <c:v>155</c:v>
                </c:pt>
                <c:pt idx="58">
                  <c:v>155</c:v>
                </c:pt>
                <c:pt idx="59">
                  <c:v>182</c:v>
                </c:pt>
                <c:pt idx="60">
                  <c:v>272</c:v>
                </c:pt>
                <c:pt idx="61">
                  <c:v>246</c:v>
                </c:pt>
                <c:pt idx="62">
                  <c:v>296</c:v>
                </c:pt>
                <c:pt idx="63">
                  <c:v>304</c:v>
                </c:pt>
                <c:pt idx="64">
                  <c:v>215</c:v>
                </c:pt>
                <c:pt idx="65">
                  <c:v>264</c:v>
                </c:pt>
                <c:pt idx="66">
                  <c:v>188</c:v>
                </c:pt>
                <c:pt idx="67">
                  <c:v>240</c:v>
                </c:pt>
                <c:pt idx="68">
                  <c:v>311</c:v>
                </c:pt>
                <c:pt idx="69">
                  <c:v>273</c:v>
                </c:pt>
                <c:pt idx="70">
                  <c:v>283</c:v>
                </c:pt>
                <c:pt idx="71">
                  <c:v>252</c:v>
                </c:pt>
                <c:pt idx="72">
                  <c:v>220</c:v>
                </c:pt>
                <c:pt idx="73">
                  <c:v>195</c:v>
                </c:pt>
                <c:pt idx="74">
                  <c:v>297</c:v>
                </c:pt>
                <c:pt idx="75">
                  <c:v>240</c:v>
                </c:pt>
                <c:pt idx="76">
                  <c:v>193</c:v>
                </c:pt>
                <c:pt idx="77">
                  <c:v>179</c:v>
                </c:pt>
                <c:pt idx="78">
                  <c:v>164</c:v>
                </c:pt>
                <c:pt idx="79">
                  <c:v>188</c:v>
                </c:pt>
                <c:pt idx="80">
                  <c:v>209</c:v>
                </c:pt>
                <c:pt idx="81">
                  <c:v>260</c:v>
                </c:pt>
                <c:pt idx="82">
                  <c:v>220</c:v>
                </c:pt>
                <c:pt idx="83">
                  <c:v>195</c:v>
                </c:pt>
                <c:pt idx="84">
                  <c:v>297</c:v>
                </c:pt>
                <c:pt idx="85">
                  <c:v>240</c:v>
                </c:pt>
                <c:pt idx="86">
                  <c:v>193</c:v>
                </c:pt>
                <c:pt idx="87">
                  <c:v>179</c:v>
                </c:pt>
                <c:pt idx="88">
                  <c:v>164</c:v>
                </c:pt>
                <c:pt idx="89">
                  <c:v>188</c:v>
                </c:pt>
                <c:pt idx="90">
                  <c:v>209</c:v>
                </c:pt>
                <c:pt idx="91">
                  <c:v>260</c:v>
                </c:pt>
                <c:pt idx="92">
                  <c:v>375</c:v>
                </c:pt>
                <c:pt idx="93">
                  <c:v>380</c:v>
                </c:pt>
                <c:pt idx="94">
                  <c:v>418</c:v>
                </c:pt>
                <c:pt idx="95">
                  <c:v>411</c:v>
                </c:pt>
                <c:pt idx="96">
                  <c:v>365</c:v>
                </c:pt>
                <c:pt idx="97">
                  <c:v>464</c:v>
                </c:pt>
                <c:pt idx="98">
                  <c:v>215.39999999999998</c:v>
                </c:pt>
                <c:pt idx="99">
                  <c:v>236.54999999999998</c:v>
                </c:pt>
                <c:pt idx="100">
                  <c:v>226.54999999999998</c:v>
                </c:pt>
                <c:pt idx="101">
                  <c:v>214.04999999999998</c:v>
                </c:pt>
                <c:pt idx="102">
                  <c:v>223</c:v>
                </c:pt>
                <c:pt idx="103">
                  <c:v>214.45</c:v>
                </c:pt>
                <c:pt idx="104">
                  <c:v>233.1</c:v>
                </c:pt>
                <c:pt idx="105">
                  <c:v>267.5</c:v>
                </c:pt>
                <c:pt idx="106">
                  <c:v>259.3</c:v>
                </c:pt>
                <c:pt idx="107">
                  <c:v>266.5</c:v>
                </c:pt>
                <c:pt idx="108">
                  <c:v>270.10000000000002</c:v>
                </c:pt>
                <c:pt idx="109">
                  <c:v>267.09999999999997</c:v>
                </c:pt>
                <c:pt idx="110">
                  <c:v>224.6</c:v>
                </c:pt>
                <c:pt idx="111">
                  <c:v>226.85</c:v>
                </c:pt>
                <c:pt idx="112">
                  <c:v>234.7</c:v>
                </c:pt>
                <c:pt idx="113">
                  <c:v>239.9</c:v>
                </c:pt>
                <c:pt idx="114">
                  <c:v>246.95</c:v>
                </c:pt>
                <c:pt idx="115">
                  <c:v>259.8</c:v>
                </c:pt>
                <c:pt idx="116">
                  <c:v>286.84999999999997</c:v>
                </c:pt>
                <c:pt idx="117">
                  <c:v>293.14999999999998</c:v>
                </c:pt>
                <c:pt idx="118">
                  <c:v>308.39999999999998</c:v>
                </c:pt>
                <c:pt idx="119">
                  <c:v>311.84999999999997</c:v>
                </c:pt>
                <c:pt idx="120">
                  <c:v>322.60000000000002</c:v>
                </c:pt>
                <c:pt idx="121">
                  <c:v>343.9</c:v>
                </c:pt>
                <c:pt idx="122">
                  <c:v>153.5</c:v>
                </c:pt>
                <c:pt idx="123">
                  <c:v>212.2</c:v>
                </c:pt>
                <c:pt idx="124">
                  <c:v>216.4</c:v>
                </c:pt>
                <c:pt idx="125">
                  <c:v>208.7</c:v>
                </c:pt>
                <c:pt idx="126">
                  <c:v>219.5</c:v>
                </c:pt>
                <c:pt idx="127">
                  <c:v>248.7</c:v>
                </c:pt>
                <c:pt idx="128">
                  <c:v>263.39999999999998</c:v>
                </c:pt>
                <c:pt idx="129">
                  <c:v>263.89999999999998</c:v>
                </c:pt>
                <c:pt idx="130">
                  <c:v>281.10000000000002</c:v>
                </c:pt>
                <c:pt idx="131">
                  <c:v>286.5</c:v>
                </c:pt>
                <c:pt idx="132">
                  <c:v>296.8</c:v>
                </c:pt>
                <c:pt idx="133">
                  <c:v>293.3</c:v>
                </c:pt>
                <c:pt idx="134">
                  <c:v>318.7</c:v>
                </c:pt>
                <c:pt idx="135">
                  <c:v>349.9</c:v>
                </c:pt>
                <c:pt idx="136">
                  <c:v>137.80000000000001</c:v>
                </c:pt>
                <c:pt idx="137">
                  <c:v>177.1</c:v>
                </c:pt>
                <c:pt idx="138">
                  <c:v>174.3</c:v>
                </c:pt>
                <c:pt idx="139">
                  <c:v>198.2</c:v>
                </c:pt>
                <c:pt idx="140">
                  <c:v>189.9</c:v>
                </c:pt>
                <c:pt idx="141">
                  <c:v>209.9</c:v>
                </c:pt>
                <c:pt idx="142">
                  <c:v>216.3</c:v>
                </c:pt>
                <c:pt idx="143">
                  <c:v>228.7</c:v>
                </c:pt>
                <c:pt idx="144">
                  <c:v>228</c:v>
                </c:pt>
                <c:pt idx="145">
                  <c:v>246.4</c:v>
                </c:pt>
                <c:pt idx="146">
                  <c:v>276.7</c:v>
                </c:pt>
                <c:pt idx="147">
                  <c:v>278.3</c:v>
                </c:pt>
                <c:pt idx="148">
                  <c:v>279</c:v>
                </c:pt>
                <c:pt idx="149">
                  <c:v>278.39999999999998</c:v>
                </c:pt>
                <c:pt idx="150">
                  <c:v>283.8</c:v>
                </c:pt>
                <c:pt idx="151">
                  <c:v>220.9</c:v>
                </c:pt>
                <c:pt idx="152">
                  <c:v>152.19999999999999</c:v>
                </c:pt>
                <c:pt idx="153">
                  <c:v>152.9</c:v>
                </c:pt>
                <c:pt idx="154">
                  <c:v>132.1</c:v>
                </c:pt>
                <c:pt idx="155">
                  <c:v>111.2</c:v>
                </c:pt>
                <c:pt idx="156">
                  <c:v>109.9</c:v>
                </c:pt>
                <c:pt idx="157">
                  <c:v>110.6</c:v>
                </c:pt>
                <c:pt idx="158">
                  <c:v>95</c:v>
                </c:pt>
              </c:numCache>
            </c:numRef>
          </c:xVal>
          <c:yVal>
            <c:numRef>
              <c:f>data!$F$2:$F$160</c:f>
              <c:numCache>
                <c:formatCode>0.0</c:formatCode>
                <c:ptCount val="159"/>
                <c:pt idx="0">
                  <c:v>177</c:v>
                </c:pt>
                <c:pt idx="1">
                  <c:v>287</c:v>
                </c:pt>
                <c:pt idx="2">
                  <c:v>337</c:v>
                </c:pt>
                <c:pt idx="3">
                  <c:v>347</c:v>
                </c:pt>
                <c:pt idx="4">
                  <c:v>247</c:v>
                </c:pt>
                <c:pt idx="5">
                  <c:v>251</c:v>
                </c:pt>
                <c:pt idx="6">
                  <c:v>317</c:v>
                </c:pt>
                <c:pt idx="7">
                  <c:v>334</c:v>
                </c:pt>
                <c:pt idx="8">
                  <c:v>333</c:v>
                </c:pt>
                <c:pt idx="9">
                  <c:v>242</c:v>
                </c:pt>
                <c:pt idx="10">
                  <c:v>176</c:v>
                </c:pt>
                <c:pt idx="11">
                  <c:v>296</c:v>
                </c:pt>
                <c:pt idx="12">
                  <c:v>343</c:v>
                </c:pt>
                <c:pt idx="13">
                  <c:v>347</c:v>
                </c:pt>
                <c:pt idx="14">
                  <c:v>245</c:v>
                </c:pt>
                <c:pt idx="15">
                  <c:v>254</c:v>
                </c:pt>
                <c:pt idx="16">
                  <c:v>320</c:v>
                </c:pt>
                <c:pt idx="17">
                  <c:v>332</c:v>
                </c:pt>
                <c:pt idx="18">
                  <c:v>334</c:v>
                </c:pt>
                <c:pt idx="19">
                  <c:v>247</c:v>
                </c:pt>
                <c:pt idx="20">
                  <c:v>180</c:v>
                </c:pt>
                <c:pt idx="21">
                  <c:v>120</c:v>
                </c:pt>
                <c:pt idx="22">
                  <c:v>152</c:v>
                </c:pt>
                <c:pt idx="23">
                  <c:v>104</c:v>
                </c:pt>
                <c:pt idx="24">
                  <c:v>121</c:v>
                </c:pt>
                <c:pt idx="25">
                  <c:v>171</c:v>
                </c:pt>
                <c:pt idx="26">
                  <c:v>160</c:v>
                </c:pt>
                <c:pt idx="27">
                  <c:v>160</c:v>
                </c:pt>
                <c:pt idx="28">
                  <c:v>184</c:v>
                </c:pt>
                <c:pt idx="29">
                  <c:v>205</c:v>
                </c:pt>
                <c:pt idx="30">
                  <c:v>201</c:v>
                </c:pt>
                <c:pt idx="31">
                  <c:v>224</c:v>
                </c:pt>
                <c:pt idx="32">
                  <c:v>240</c:v>
                </c:pt>
                <c:pt idx="33">
                  <c:v>251</c:v>
                </c:pt>
                <c:pt idx="34">
                  <c:v>261</c:v>
                </c:pt>
                <c:pt idx="35">
                  <c:v>268</c:v>
                </c:pt>
                <c:pt idx="36">
                  <c:v>269</c:v>
                </c:pt>
                <c:pt idx="37">
                  <c:v>281</c:v>
                </c:pt>
                <c:pt idx="38">
                  <c:v>295</c:v>
                </c:pt>
                <c:pt idx="39">
                  <c:v>300</c:v>
                </c:pt>
                <c:pt idx="40">
                  <c:v>313</c:v>
                </c:pt>
                <c:pt idx="41">
                  <c:v>190</c:v>
                </c:pt>
                <c:pt idx="42">
                  <c:v>207</c:v>
                </c:pt>
                <c:pt idx="43">
                  <c:v>216</c:v>
                </c:pt>
                <c:pt idx="44">
                  <c:v>240</c:v>
                </c:pt>
                <c:pt idx="45">
                  <c:v>254</c:v>
                </c:pt>
                <c:pt idx="46">
                  <c:v>257</c:v>
                </c:pt>
                <c:pt idx="47">
                  <c:v>262</c:v>
                </c:pt>
                <c:pt idx="48">
                  <c:v>270</c:v>
                </c:pt>
                <c:pt idx="49">
                  <c:v>277</c:v>
                </c:pt>
                <c:pt idx="50">
                  <c:v>283</c:v>
                </c:pt>
                <c:pt idx="51">
                  <c:v>293</c:v>
                </c:pt>
                <c:pt idx="52">
                  <c:v>302</c:v>
                </c:pt>
                <c:pt idx="53">
                  <c:v>318</c:v>
                </c:pt>
                <c:pt idx="54">
                  <c:v>289</c:v>
                </c:pt>
                <c:pt idx="55">
                  <c:v>201</c:v>
                </c:pt>
                <c:pt idx="56">
                  <c:v>222</c:v>
                </c:pt>
                <c:pt idx="57">
                  <c:v>158</c:v>
                </c:pt>
                <c:pt idx="58">
                  <c:v>155</c:v>
                </c:pt>
                <c:pt idx="59">
                  <c:v>228</c:v>
                </c:pt>
                <c:pt idx="60">
                  <c:v>206</c:v>
                </c:pt>
                <c:pt idx="61">
                  <c:v>258</c:v>
                </c:pt>
                <c:pt idx="62">
                  <c:v>187</c:v>
                </c:pt>
                <c:pt idx="63">
                  <c:v>308</c:v>
                </c:pt>
                <c:pt idx="64">
                  <c:v>198</c:v>
                </c:pt>
                <c:pt idx="65">
                  <c:v>260</c:v>
                </c:pt>
                <c:pt idx="66">
                  <c:v>212</c:v>
                </c:pt>
                <c:pt idx="67">
                  <c:v>225</c:v>
                </c:pt>
                <c:pt idx="68">
                  <c:v>284</c:v>
                </c:pt>
                <c:pt idx="69">
                  <c:v>241</c:v>
                </c:pt>
                <c:pt idx="70">
                  <c:v>269</c:v>
                </c:pt>
                <c:pt idx="71">
                  <c:v>203</c:v>
                </c:pt>
                <c:pt idx="72">
                  <c:v>225</c:v>
                </c:pt>
                <c:pt idx="73">
                  <c:v>201</c:v>
                </c:pt>
                <c:pt idx="74">
                  <c:v>286</c:v>
                </c:pt>
                <c:pt idx="75">
                  <c:v>217</c:v>
                </c:pt>
                <c:pt idx="76">
                  <c:v>195</c:v>
                </c:pt>
                <c:pt idx="77">
                  <c:v>178</c:v>
                </c:pt>
                <c:pt idx="78">
                  <c:v>168</c:v>
                </c:pt>
                <c:pt idx="79">
                  <c:v>189</c:v>
                </c:pt>
                <c:pt idx="80">
                  <c:v>209</c:v>
                </c:pt>
                <c:pt idx="81">
                  <c:v>254</c:v>
                </c:pt>
                <c:pt idx="82">
                  <c:v>228</c:v>
                </c:pt>
                <c:pt idx="83">
                  <c:v>204</c:v>
                </c:pt>
                <c:pt idx="84">
                  <c:v>287</c:v>
                </c:pt>
                <c:pt idx="85">
                  <c:v>217</c:v>
                </c:pt>
                <c:pt idx="86">
                  <c:v>196</c:v>
                </c:pt>
                <c:pt idx="87">
                  <c:v>178</c:v>
                </c:pt>
                <c:pt idx="88">
                  <c:v>170</c:v>
                </c:pt>
                <c:pt idx="89">
                  <c:v>189</c:v>
                </c:pt>
                <c:pt idx="90">
                  <c:v>207</c:v>
                </c:pt>
                <c:pt idx="91">
                  <c:v>256</c:v>
                </c:pt>
                <c:pt idx="92">
                  <c:v>324</c:v>
                </c:pt>
                <c:pt idx="93">
                  <c:v>371</c:v>
                </c:pt>
                <c:pt idx="94">
                  <c:v>357</c:v>
                </c:pt>
                <c:pt idx="95">
                  <c:v>343</c:v>
                </c:pt>
                <c:pt idx="96">
                  <c:v>313</c:v>
                </c:pt>
                <c:pt idx="97">
                  <c:v>395</c:v>
                </c:pt>
                <c:pt idx="98">
                  <c:v>194.99999999999997</c:v>
                </c:pt>
                <c:pt idx="99">
                  <c:v>224.64999999999998</c:v>
                </c:pt>
                <c:pt idx="100">
                  <c:v>222.85</c:v>
                </c:pt>
                <c:pt idx="101">
                  <c:v>224.14999999999998</c:v>
                </c:pt>
                <c:pt idx="102">
                  <c:v>240</c:v>
                </c:pt>
                <c:pt idx="103">
                  <c:v>244.54999999999998</c:v>
                </c:pt>
                <c:pt idx="104">
                  <c:v>243.1</c:v>
                </c:pt>
                <c:pt idx="105">
                  <c:v>288.7</c:v>
                </c:pt>
                <c:pt idx="106">
                  <c:v>267.3</c:v>
                </c:pt>
                <c:pt idx="107">
                  <c:v>271.5</c:v>
                </c:pt>
                <c:pt idx="108">
                  <c:v>267.10000000000002</c:v>
                </c:pt>
                <c:pt idx="109">
                  <c:v>253.29999999999995</c:v>
                </c:pt>
                <c:pt idx="110">
                  <c:v>194.79999999999998</c:v>
                </c:pt>
                <c:pt idx="111">
                  <c:v>222.54999999999998</c:v>
                </c:pt>
                <c:pt idx="112">
                  <c:v>224.29999999999998</c:v>
                </c:pt>
                <c:pt idx="113">
                  <c:v>223.9</c:v>
                </c:pt>
                <c:pt idx="114">
                  <c:v>238.45</c:v>
                </c:pt>
                <c:pt idx="115">
                  <c:v>244.20000000000002</c:v>
                </c:pt>
                <c:pt idx="116">
                  <c:v>242.94999999999996</c:v>
                </c:pt>
                <c:pt idx="117">
                  <c:v>271.25</c:v>
                </c:pt>
                <c:pt idx="118">
                  <c:v>288.39999999999998</c:v>
                </c:pt>
                <c:pt idx="119">
                  <c:v>266.95</c:v>
                </c:pt>
                <c:pt idx="120">
                  <c:v>253.00000000000003</c:v>
                </c:pt>
                <c:pt idx="121">
                  <c:v>266.89999999999998</c:v>
                </c:pt>
                <c:pt idx="122">
                  <c:v>188.2</c:v>
                </c:pt>
                <c:pt idx="123">
                  <c:v>215.2</c:v>
                </c:pt>
                <c:pt idx="124">
                  <c:v>216.5</c:v>
                </c:pt>
                <c:pt idx="125">
                  <c:v>227.9</c:v>
                </c:pt>
                <c:pt idx="126">
                  <c:v>240.8</c:v>
                </c:pt>
                <c:pt idx="127">
                  <c:v>248.5</c:v>
                </c:pt>
                <c:pt idx="128">
                  <c:v>253.7</c:v>
                </c:pt>
                <c:pt idx="129">
                  <c:v>275.39999999999998</c:v>
                </c:pt>
                <c:pt idx="130">
                  <c:v>253.7</c:v>
                </c:pt>
                <c:pt idx="131">
                  <c:v>253.6</c:v>
                </c:pt>
                <c:pt idx="132">
                  <c:v>261.3</c:v>
                </c:pt>
                <c:pt idx="133">
                  <c:v>267.8</c:v>
                </c:pt>
                <c:pt idx="134">
                  <c:v>336.9</c:v>
                </c:pt>
                <c:pt idx="135">
                  <c:v>330.5</c:v>
                </c:pt>
                <c:pt idx="136">
                  <c:v>136.5</c:v>
                </c:pt>
                <c:pt idx="137">
                  <c:v>172.2</c:v>
                </c:pt>
                <c:pt idx="138">
                  <c:v>175.4</c:v>
                </c:pt>
                <c:pt idx="139">
                  <c:v>190.2</c:v>
                </c:pt>
                <c:pt idx="140">
                  <c:v>193.6</c:v>
                </c:pt>
                <c:pt idx="141">
                  <c:v>215.6</c:v>
                </c:pt>
                <c:pt idx="142">
                  <c:v>235</c:v>
                </c:pt>
                <c:pt idx="143">
                  <c:v>239.4</c:v>
                </c:pt>
                <c:pt idx="144">
                  <c:v>221.9</c:v>
                </c:pt>
                <c:pt idx="145">
                  <c:v>224.2</c:v>
                </c:pt>
                <c:pt idx="146">
                  <c:v>251</c:v>
                </c:pt>
                <c:pt idx="147">
                  <c:v>256.39999999999998</c:v>
                </c:pt>
                <c:pt idx="148">
                  <c:v>257.5</c:v>
                </c:pt>
                <c:pt idx="149">
                  <c:v>269.10000000000002</c:v>
                </c:pt>
                <c:pt idx="150">
                  <c:v>273.2</c:v>
                </c:pt>
                <c:pt idx="151">
                  <c:v>235</c:v>
                </c:pt>
                <c:pt idx="152">
                  <c:v>154.19999999999999</c:v>
                </c:pt>
                <c:pt idx="153">
                  <c:v>136.19999999999999</c:v>
                </c:pt>
                <c:pt idx="154">
                  <c:v>138.80000000000001</c:v>
                </c:pt>
                <c:pt idx="155">
                  <c:v>128.9</c:v>
                </c:pt>
                <c:pt idx="156">
                  <c:v>114.8</c:v>
                </c:pt>
                <c:pt idx="157">
                  <c:v>111.4</c:v>
                </c:pt>
                <c:pt idx="158">
                  <c:v>98</c:v>
                </c:pt>
              </c:numCache>
            </c:numRef>
          </c:yVal>
          <c:bubbleSize>
            <c:numLit>
              <c:formatCode>General</c:formatCode>
              <c:ptCount val="144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  <c:pt idx="12">
                <c:v>1</c:v>
              </c:pt>
              <c:pt idx="13">
                <c:v>1</c:v>
              </c:pt>
              <c:pt idx="14">
                <c:v>1</c:v>
              </c:pt>
              <c:pt idx="15">
                <c:v>1</c:v>
              </c:pt>
              <c:pt idx="16">
                <c:v>1</c:v>
              </c:pt>
              <c:pt idx="17">
                <c:v>1</c:v>
              </c:pt>
              <c:pt idx="18">
                <c:v>1</c:v>
              </c:pt>
              <c:pt idx="19">
                <c:v>1</c:v>
              </c:pt>
              <c:pt idx="20">
                <c:v>1</c:v>
              </c:pt>
              <c:pt idx="21">
                <c:v>1</c:v>
              </c:pt>
              <c:pt idx="22">
                <c:v>1</c:v>
              </c:pt>
              <c:pt idx="23">
                <c:v>1</c:v>
              </c:pt>
              <c:pt idx="24">
                <c:v>1</c:v>
              </c:pt>
              <c:pt idx="25">
                <c:v>1</c:v>
              </c:pt>
              <c:pt idx="26">
                <c:v>1</c:v>
              </c:pt>
              <c:pt idx="27">
                <c:v>1</c:v>
              </c:pt>
              <c:pt idx="28">
                <c:v>1</c:v>
              </c:pt>
              <c:pt idx="29">
                <c:v>1</c:v>
              </c:pt>
              <c:pt idx="30">
                <c:v>1</c:v>
              </c:pt>
              <c:pt idx="31">
                <c:v>1</c:v>
              </c:pt>
              <c:pt idx="32">
                <c:v>1</c:v>
              </c:pt>
              <c:pt idx="33">
                <c:v>1</c:v>
              </c:pt>
              <c:pt idx="34">
                <c:v>1</c:v>
              </c:pt>
              <c:pt idx="35">
                <c:v>1</c:v>
              </c:pt>
              <c:pt idx="36">
                <c:v>1</c:v>
              </c:pt>
              <c:pt idx="37">
                <c:v>1</c:v>
              </c:pt>
              <c:pt idx="38">
                <c:v>1</c:v>
              </c:pt>
              <c:pt idx="39">
                <c:v>1</c:v>
              </c:pt>
              <c:pt idx="40">
                <c:v>1</c:v>
              </c:pt>
              <c:pt idx="41">
                <c:v>1</c:v>
              </c:pt>
              <c:pt idx="42">
                <c:v>1</c:v>
              </c:pt>
              <c:pt idx="43">
                <c:v>1</c:v>
              </c:pt>
              <c:pt idx="44">
                <c:v>1</c:v>
              </c:pt>
              <c:pt idx="45">
                <c:v>1</c:v>
              </c:pt>
              <c:pt idx="46">
                <c:v>1</c:v>
              </c:pt>
              <c:pt idx="47">
                <c:v>1</c:v>
              </c:pt>
              <c:pt idx="48">
                <c:v>1</c:v>
              </c:pt>
              <c:pt idx="49">
                <c:v>1</c:v>
              </c:pt>
              <c:pt idx="50">
                <c:v>1</c:v>
              </c:pt>
              <c:pt idx="51">
                <c:v>1</c:v>
              </c:pt>
              <c:pt idx="52">
                <c:v>1</c:v>
              </c:pt>
              <c:pt idx="53">
                <c:v>1</c:v>
              </c:pt>
              <c:pt idx="54">
                <c:v>1</c:v>
              </c:pt>
              <c:pt idx="55">
                <c:v>1</c:v>
              </c:pt>
              <c:pt idx="56">
                <c:v>1</c:v>
              </c:pt>
              <c:pt idx="57">
                <c:v>1</c:v>
              </c:pt>
              <c:pt idx="58">
                <c:v>1</c:v>
              </c:pt>
              <c:pt idx="59">
                <c:v>1</c:v>
              </c:pt>
              <c:pt idx="60">
                <c:v>1</c:v>
              </c:pt>
              <c:pt idx="61">
                <c:v>1</c:v>
              </c:pt>
              <c:pt idx="62">
                <c:v>1</c:v>
              </c:pt>
              <c:pt idx="63">
                <c:v>1</c:v>
              </c:pt>
              <c:pt idx="64">
                <c:v>1</c:v>
              </c:pt>
              <c:pt idx="65">
                <c:v>1</c:v>
              </c:pt>
              <c:pt idx="66">
                <c:v>1</c:v>
              </c:pt>
              <c:pt idx="67">
                <c:v>1</c:v>
              </c:pt>
              <c:pt idx="68">
                <c:v>1</c:v>
              </c:pt>
              <c:pt idx="69">
                <c:v>1</c:v>
              </c:pt>
              <c:pt idx="70">
                <c:v>1</c:v>
              </c:pt>
              <c:pt idx="71">
                <c:v>1</c:v>
              </c:pt>
              <c:pt idx="72">
                <c:v>1</c:v>
              </c:pt>
              <c:pt idx="73">
                <c:v>1</c:v>
              </c:pt>
              <c:pt idx="74">
                <c:v>1</c:v>
              </c:pt>
              <c:pt idx="75">
                <c:v>1</c:v>
              </c:pt>
              <c:pt idx="76">
                <c:v>1</c:v>
              </c:pt>
              <c:pt idx="77">
                <c:v>1</c:v>
              </c:pt>
              <c:pt idx="78">
                <c:v>1</c:v>
              </c:pt>
              <c:pt idx="79">
                <c:v>1</c:v>
              </c:pt>
              <c:pt idx="80">
                <c:v>1</c:v>
              </c:pt>
              <c:pt idx="81">
                <c:v>1</c:v>
              </c:pt>
              <c:pt idx="82">
                <c:v>1</c:v>
              </c:pt>
              <c:pt idx="83">
                <c:v>1</c:v>
              </c:pt>
              <c:pt idx="84">
                <c:v>1</c:v>
              </c:pt>
              <c:pt idx="85">
                <c:v>1</c:v>
              </c:pt>
              <c:pt idx="86">
                <c:v>1</c:v>
              </c:pt>
              <c:pt idx="87">
                <c:v>1</c:v>
              </c:pt>
              <c:pt idx="88">
                <c:v>1</c:v>
              </c:pt>
              <c:pt idx="89">
                <c:v>1</c:v>
              </c:pt>
              <c:pt idx="90">
                <c:v>1</c:v>
              </c:pt>
              <c:pt idx="91">
                <c:v>1</c:v>
              </c:pt>
              <c:pt idx="92">
                <c:v>1</c:v>
              </c:pt>
              <c:pt idx="93">
                <c:v>1</c:v>
              </c:pt>
              <c:pt idx="94">
                <c:v>1</c:v>
              </c:pt>
              <c:pt idx="95">
                <c:v>1</c:v>
              </c:pt>
              <c:pt idx="96">
                <c:v>1</c:v>
              </c:pt>
              <c:pt idx="97">
                <c:v>1</c:v>
              </c:pt>
              <c:pt idx="98">
                <c:v>1</c:v>
              </c:pt>
              <c:pt idx="99">
                <c:v>1</c:v>
              </c:pt>
              <c:pt idx="100">
                <c:v>1</c:v>
              </c:pt>
              <c:pt idx="101">
                <c:v>1</c:v>
              </c:pt>
              <c:pt idx="102">
                <c:v>1</c:v>
              </c:pt>
              <c:pt idx="103">
                <c:v>1</c:v>
              </c:pt>
              <c:pt idx="104">
                <c:v>1</c:v>
              </c:pt>
              <c:pt idx="105">
                <c:v>1</c:v>
              </c:pt>
              <c:pt idx="106">
                <c:v>1</c:v>
              </c:pt>
              <c:pt idx="107">
                <c:v>1</c:v>
              </c:pt>
              <c:pt idx="108">
                <c:v>1</c:v>
              </c:pt>
              <c:pt idx="109">
                <c:v>1</c:v>
              </c:pt>
              <c:pt idx="110">
                <c:v>1</c:v>
              </c:pt>
              <c:pt idx="111">
                <c:v>1</c:v>
              </c:pt>
              <c:pt idx="112">
                <c:v>1</c:v>
              </c:pt>
              <c:pt idx="113">
                <c:v>1</c:v>
              </c:pt>
              <c:pt idx="114">
                <c:v>1</c:v>
              </c:pt>
              <c:pt idx="115">
                <c:v>1</c:v>
              </c:pt>
              <c:pt idx="116">
                <c:v>1</c:v>
              </c:pt>
              <c:pt idx="117">
                <c:v>1</c:v>
              </c:pt>
              <c:pt idx="118">
                <c:v>1</c:v>
              </c:pt>
              <c:pt idx="119">
                <c:v>1</c:v>
              </c:pt>
              <c:pt idx="120">
                <c:v>1</c:v>
              </c:pt>
              <c:pt idx="121">
                <c:v>1</c:v>
              </c:pt>
              <c:pt idx="122">
                <c:v>1</c:v>
              </c:pt>
              <c:pt idx="123">
                <c:v>1</c:v>
              </c:pt>
              <c:pt idx="124">
                <c:v>1</c:v>
              </c:pt>
              <c:pt idx="125">
                <c:v>1</c:v>
              </c:pt>
              <c:pt idx="126">
                <c:v>1</c:v>
              </c:pt>
              <c:pt idx="127">
                <c:v>1</c:v>
              </c:pt>
              <c:pt idx="128">
                <c:v>1</c:v>
              </c:pt>
              <c:pt idx="129">
                <c:v>1</c:v>
              </c:pt>
              <c:pt idx="130">
                <c:v>1</c:v>
              </c:pt>
              <c:pt idx="131">
                <c:v>1</c:v>
              </c:pt>
              <c:pt idx="132">
                <c:v>1</c:v>
              </c:pt>
              <c:pt idx="133">
                <c:v>1</c:v>
              </c:pt>
              <c:pt idx="134">
                <c:v>1</c:v>
              </c:pt>
              <c:pt idx="135">
                <c:v>1</c:v>
              </c:pt>
              <c:pt idx="136">
                <c:v>1</c:v>
              </c:pt>
              <c:pt idx="137">
                <c:v>1</c:v>
              </c:pt>
              <c:pt idx="138">
                <c:v>1</c:v>
              </c:pt>
              <c:pt idx="139">
                <c:v>1</c:v>
              </c:pt>
              <c:pt idx="140">
                <c:v>1</c:v>
              </c:pt>
              <c:pt idx="141">
                <c:v>1</c:v>
              </c:pt>
              <c:pt idx="142">
                <c:v>1</c:v>
              </c:pt>
              <c:pt idx="143">
                <c:v>1</c:v>
              </c:pt>
            </c:numLit>
          </c:bubbleSize>
          <c:bubble3D val="0"/>
          <c:extLst>
            <c:ext xmlns:c16="http://schemas.microsoft.com/office/drawing/2014/chart" uri="{C3380CC4-5D6E-409C-BE32-E72D297353CC}">
              <c16:uniqueId val="{00000001-5D5F-7F49-B645-9E8EDE3A07CE}"/>
            </c:ext>
          </c:extLst>
        </c:ser>
        <c:ser>
          <c:idx val="1"/>
          <c:order val="1"/>
          <c:tx>
            <c:v>Line of Identity</c:v>
          </c:tx>
          <c:spPr>
            <a:noFill/>
            <a:ln w="15875">
              <a:noFill/>
              <a:prstDash val="dash"/>
            </a:ln>
            <a:effectLst/>
          </c:spPr>
          <c:invertIfNegative val="0"/>
          <c:trendline>
            <c:spPr>
              <a:ln w="12700" cap="rnd">
                <a:solidFill>
                  <a:schemeClr val="tx1"/>
                </a:solidFill>
                <a:prstDash val="dash"/>
              </a:ln>
              <a:effectLst/>
            </c:spPr>
            <c:trendlineType val="linear"/>
            <c:dispRSqr val="0"/>
            <c:dispEq val="0"/>
          </c:trendline>
          <c:xVal>
            <c:numLit>
              <c:formatCode>General</c:formatCode>
              <c:ptCount val="2"/>
              <c:pt idx="0">
                <c:v>0</c:v>
              </c:pt>
              <c:pt idx="1">
                <c:v>500</c:v>
              </c:pt>
            </c:numLit>
          </c:xVal>
          <c:yVal>
            <c:numLit>
              <c:formatCode>General</c:formatCode>
              <c:ptCount val="2"/>
              <c:pt idx="0">
                <c:v>0</c:v>
              </c:pt>
              <c:pt idx="1">
                <c:v>500</c:v>
              </c:pt>
            </c:numLit>
          </c:yVal>
          <c:bubbleSize>
            <c:numLit>
              <c:formatCode>General</c:formatCode>
              <c:ptCount val="144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  <c:pt idx="12">
                <c:v>1</c:v>
              </c:pt>
              <c:pt idx="13">
                <c:v>1</c:v>
              </c:pt>
              <c:pt idx="14">
                <c:v>1</c:v>
              </c:pt>
              <c:pt idx="15">
                <c:v>1</c:v>
              </c:pt>
              <c:pt idx="16">
                <c:v>1</c:v>
              </c:pt>
              <c:pt idx="17">
                <c:v>1</c:v>
              </c:pt>
              <c:pt idx="18">
                <c:v>1</c:v>
              </c:pt>
              <c:pt idx="19">
                <c:v>1</c:v>
              </c:pt>
              <c:pt idx="20">
                <c:v>1</c:v>
              </c:pt>
              <c:pt idx="21">
                <c:v>1</c:v>
              </c:pt>
              <c:pt idx="22">
                <c:v>1</c:v>
              </c:pt>
              <c:pt idx="23">
                <c:v>1</c:v>
              </c:pt>
              <c:pt idx="24">
                <c:v>1</c:v>
              </c:pt>
              <c:pt idx="25">
                <c:v>1</c:v>
              </c:pt>
              <c:pt idx="26">
                <c:v>1</c:v>
              </c:pt>
              <c:pt idx="27">
                <c:v>1</c:v>
              </c:pt>
              <c:pt idx="28">
                <c:v>1</c:v>
              </c:pt>
              <c:pt idx="29">
                <c:v>1</c:v>
              </c:pt>
              <c:pt idx="30">
                <c:v>1</c:v>
              </c:pt>
              <c:pt idx="31">
                <c:v>1</c:v>
              </c:pt>
              <c:pt idx="32">
                <c:v>1</c:v>
              </c:pt>
              <c:pt idx="33">
                <c:v>1</c:v>
              </c:pt>
              <c:pt idx="34">
                <c:v>1</c:v>
              </c:pt>
              <c:pt idx="35">
                <c:v>1</c:v>
              </c:pt>
              <c:pt idx="36">
                <c:v>1</c:v>
              </c:pt>
              <c:pt idx="37">
                <c:v>1</c:v>
              </c:pt>
              <c:pt idx="38">
                <c:v>1</c:v>
              </c:pt>
              <c:pt idx="39">
                <c:v>1</c:v>
              </c:pt>
              <c:pt idx="40">
                <c:v>1</c:v>
              </c:pt>
              <c:pt idx="41">
                <c:v>1</c:v>
              </c:pt>
              <c:pt idx="42">
                <c:v>1</c:v>
              </c:pt>
              <c:pt idx="43">
                <c:v>1</c:v>
              </c:pt>
              <c:pt idx="44">
                <c:v>1</c:v>
              </c:pt>
              <c:pt idx="45">
                <c:v>1</c:v>
              </c:pt>
              <c:pt idx="46">
                <c:v>1</c:v>
              </c:pt>
              <c:pt idx="47">
                <c:v>1</c:v>
              </c:pt>
              <c:pt idx="48">
                <c:v>1</c:v>
              </c:pt>
              <c:pt idx="49">
                <c:v>1</c:v>
              </c:pt>
              <c:pt idx="50">
                <c:v>1</c:v>
              </c:pt>
              <c:pt idx="51">
                <c:v>1</c:v>
              </c:pt>
              <c:pt idx="52">
                <c:v>1</c:v>
              </c:pt>
              <c:pt idx="53">
                <c:v>1</c:v>
              </c:pt>
              <c:pt idx="54">
                <c:v>1</c:v>
              </c:pt>
              <c:pt idx="55">
                <c:v>1</c:v>
              </c:pt>
              <c:pt idx="56">
                <c:v>1</c:v>
              </c:pt>
              <c:pt idx="57">
                <c:v>1</c:v>
              </c:pt>
              <c:pt idx="58">
                <c:v>1</c:v>
              </c:pt>
              <c:pt idx="59">
                <c:v>1</c:v>
              </c:pt>
              <c:pt idx="60">
                <c:v>1</c:v>
              </c:pt>
              <c:pt idx="61">
                <c:v>1</c:v>
              </c:pt>
              <c:pt idx="62">
                <c:v>1</c:v>
              </c:pt>
              <c:pt idx="63">
                <c:v>1</c:v>
              </c:pt>
              <c:pt idx="64">
                <c:v>1</c:v>
              </c:pt>
              <c:pt idx="65">
                <c:v>1</c:v>
              </c:pt>
              <c:pt idx="66">
                <c:v>1</c:v>
              </c:pt>
              <c:pt idx="67">
                <c:v>1</c:v>
              </c:pt>
              <c:pt idx="68">
                <c:v>1</c:v>
              </c:pt>
              <c:pt idx="69">
                <c:v>1</c:v>
              </c:pt>
              <c:pt idx="70">
                <c:v>1</c:v>
              </c:pt>
              <c:pt idx="71">
                <c:v>1</c:v>
              </c:pt>
              <c:pt idx="72">
                <c:v>1</c:v>
              </c:pt>
              <c:pt idx="73">
                <c:v>1</c:v>
              </c:pt>
              <c:pt idx="74">
                <c:v>1</c:v>
              </c:pt>
              <c:pt idx="75">
                <c:v>1</c:v>
              </c:pt>
              <c:pt idx="76">
                <c:v>1</c:v>
              </c:pt>
              <c:pt idx="77">
                <c:v>1</c:v>
              </c:pt>
              <c:pt idx="78">
                <c:v>1</c:v>
              </c:pt>
              <c:pt idx="79">
                <c:v>1</c:v>
              </c:pt>
              <c:pt idx="80">
                <c:v>1</c:v>
              </c:pt>
              <c:pt idx="81">
                <c:v>1</c:v>
              </c:pt>
              <c:pt idx="82">
                <c:v>1</c:v>
              </c:pt>
              <c:pt idx="83">
                <c:v>1</c:v>
              </c:pt>
              <c:pt idx="84">
                <c:v>1</c:v>
              </c:pt>
              <c:pt idx="85">
                <c:v>1</c:v>
              </c:pt>
              <c:pt idx="86">
                <c:v>1</c:v>
              </c:pt>
              <c:pt idx="87">
                <c:v>1</c:v>
              </c:pt>
              <c:pt idx="88">
                <c:v>1</c:v>
              </c:pt>
              <c:pt idx="89">
                <c:v>1</c:v>
              </c:pt>
              <c:pt idx="90">
                <c:v>1</c:v>
              </c:pt>
              <c:pt idx="91">
                <c:v>1</c:v>
              </c:pt>
              <c:pt idx="92">
                <c:v>1</c:v>
              </c:pt>
              <c:pt idx="93">
                <c:v>1</c:v>
              </c:pt>
              <c:pt idx="94">
                <c:v>1</c:v>
              </c:pt>
              <c:pt idx="95">
                <c:v>1</c:v>
              </c:pt>
              <c:pt idx="96">
                <c:v>1</c:v>
              </c:pt>
              <c:pt idx="97">
                <c:v>1</c:v>
              </c:pt>
              <c:pt idx="98">
                <c:v>1</c:v>
              </c:pt>
              <c:pt idx="99">
                <c:v>1</c:v>
              </c:pt>
              <c:pt idx="100">
                <c:v>1</c:v>
              </c:pt>
              <c:pt idx="101">
                <c:v>1</c:v>
              </c:pt>
              <c:pt idx="102">
                <c:v>1</c:v>
              </c:pt>
              <c:pt idx="103">
                <c:v>1</c:v>
              </c:pt>
              <c:pt idx="104">
                <c:v>1</c:v>
              </c:pt>
              <c:pt idx="105">
                <c:v>1</c:v>
              </c:pt>
              <c:pt idx="106">
                <c:v>1</c:v>
              </c:pt>
              <c:pt idx="107">
                <c:v>1</c:v>
              </c:pt>
              <c:pt idx="108">
                <c:v>1</c:v>
              </c:pt>
              <c:pt idx="109">
                <c:v>1</c:v>
              </c:pt>
              <c:pt idx="110">
                <c:v>1</c:v>
              </c:pt>
              <c:pt idx="111">
                <c:v>1</c:v>
              </c:pt>
              <c:pt idx="112">
                <c:v>1</c:v>
              </c:pt>
              <c:pt idx="113">
                <c:v>1</c:v>
              </c:pt>
              <c:pt idx="114">
                <c:v>1</c:v>
              </c:pt>
              <c:pt idx="115">
                <c:v>1</c:v>
              </c:pt>
              <c:pt idx="116">
                <c:v>1</c:v>
              </c:pt>
              <c:pt idx="117">
                <c:v>1</c:v>
              </c:pt>
              <c:pt idx="118">
                <c:v>1</c:v>
              </c:pt>
              <c:pt idx="119">
                <c:v>1</c:v>
              </c:pt>
              <c:pt idx="120">
                <c:v>1</c:v>
              </c:pt>
              <c:pt idx="121">
                <c:v>1</c:v>
              </c:pt>
              <c:pt idx="122">
                <c:v>1</c:v>
              </c:pt>
              <c:pt idx="123">
                <c:v>1</c:v>
              </c:pt>
              <c:pt idx="124">
                <c:v>1</c:v>
              </c:pt>
              <c:pt idx="125">
                <c:v>1</c:v>
              </c:pt>
              <c:pt idx="126">
                <c:v>1</c:v>
              </c:pt>
              <c:pt idx="127">
                <c:v>1</c:v>
              </c:pt>
              <c:pt idx="128">
                <c:v>1</c:v>
              </c:pt>
              <c:pt idx="129">
                <c:v>1</c:v>
              </c:pt>
              <c:pt idx="130">
                <c:v>1</c:v>
              </c:pt>
              <c:pt idx="131">
                <c:v>1</c:v>
              </c:pt>
              <c:pt idx="132">
                <c:v>1</c:v>
              </c:pt>
              <c:pt idx="133">
                <c:v>1</c:v>
              </c:pt>
              <c:pt idx="134">
                <c:v>1</c:v>
              </c:pt>
              <c:pt idx="135">
                <c:v>1</c:v>
              </c:pt>
              <c:pt idx="136">
                <c:v>1</c:v>
              </c:pt>
              <c:pt idx="137">
                <c:v>1</c:v>
              </c:pt>
              <c:pt idx="138">
                <c:v>1</c:v>
              </c:pt>
              <c:pt idx="139">
                <c:v>1</c:v>
              </c:pt>
              <c:pt idx="140">
                <c:v>1</c:v>
              </c:pt>
              <c:pt idx="141">
                <c:v>1</c:v>
              </c:pt>
              <c:pt idx="142">
                <c:v>1</c:v>
              </c:pt>
              <c:pt idx="143">
                <c:v>1</c:v>
              </c:pt>
            </c:numLit>
          </c:bubbleSize>
          <c:bubble3D val="0"/>
          <c:extLst>
            <c:ext xmlns:c16="http://schemas.microsoft.com/office/drawing/2014/chart" uri="{C3380CC4-5D6E-409C-BE32-E72D297353CC}">
              <c16:uniqueId val="{00000003-5D5F-7F49-B645-9E8EDE3A07CE}"/>
            </c:ext>
          </c:extLst>
        </c:ser>
        <c:ser>
          <c:idx val="2"/>
          <c:order val="2"/>
          <c:tx>
            <c:strRef>
              <c:f>data!$A$2</c:f>
              <c:strCache>
                <c:ptCount val="1"/>
                <c:pt idx="0">
                  <c:v>Vanhatalo et al. (2007)</c:v>
                </c:pt>
              </c:strCache>
            </c:strRef>
          </c:tx>
          <c:spPr>
            <a:solidFill>
              <a:srgbClr val="C00000">
                <a:alpha val="40000"/>
              </a:srgbClr>
            </a:solidFill>
            <a:ln w="6350">
              <a:solidFill>
                <a:schemeClr val="tx1">
                  <a:alpha val="40000"/>
                </a:schemeClr>
              </a:solidFill>
            </a:ln>
            <a:effectLst/>
          </c:spPr>
          <c:invertIfNegative val="0"/>
          <c:xVal>
            <c:numRef>
              <c:f>data!$E$2:$E$21</c:f>
              <c:numCache>
                <c:formatCode>0.0</c:formatCode>
                <c:ptCount val="20"/>
                <c:pt idx="0">
                  <c:v>173</c:v>
                </c:pt>
                <c:pt idx="1">
                  <c:v>286</c:v>
                </c:pt>
                <c:pt idx="2">
                  <c:v>325</c:v>
                </c:pt>
                <c:pt idx="3">
                  <c:v>351</c:v>
                </c:pt>
                <c:pt idx="4">
                  <c:v>252</c:v>
                </c:pt>
                <c:pt idx="5">
                  <c:v>262</c:v>
                </c:pt>
                <c:pt idx="6">
                  <c:v>316</c:v>
                </c:pt>
                <c:pt idx="7">
                  <c:v>334</c:v>
                </c:pt>
                <c:pt idx="8">
                  <c:v>330</c:v>
                </c:pt>
                <c:pt idx="9">
                  <c:v>240</c:v>
                </c:pt>
                <c:pt idx="10">
                  <c:v>173</c:v>
                </c:pt>
                <c:pt idx="11">
                  <c:v>286</c:v>
                </c:pt>
                <c:pt idx="12">
                  <c:v>325</c:v>
                </c:pt>
                <c:pt idx="13">
                  <c:v>351</c:v>
                </c:pt>
                <c:pt idx="14">
                  <c:v>252</c:v>
                </c:pt>
                <c:pt idx="15">
                  <c:v>262</c:v>
                </c:pt>
                <c:pt idx="16">
                  <c:v>316</c:v>
                </c:pt>
                <c:pt idx="17">
                  <c:v>334</c:v>
                </c:pt>
                <c:pt idx="18">
                  <c:v>330</c:v>
                </c:pt>
                <c:pt idx="19">
                  <c:v>240</c:v>
                </c:pt>
              </c:numCache>
            </c:numRef>
          </c:xVal>
          <c:yVal>
            <c:numRef>
              <c:f>data!$F$2:$F$21</c:f>
              <c:numCache>
                <c:formatCode>0.0</c:formatCode>
                <c:ptCount val="20"/>
                <c:pt idx="0">
                  <c:v>177</c:v>
                </c:pt>
                <c:pt idx="1">
                  <c:v>287</c:v>
                </c:pt>
                <c:pt idx="2">
                  <c:v>337</c:v>
                </c:pt>
                <c:pt idx="3">
                  <c:v>347</c:v>
                </c:pt>
                <c:pt idx="4">
                  <c:v>247</c:v>
                </c:pt>
                <c:pt idx="5">
                  <c:v>251</c:v>
                </c:pt>
                <c:pt idx="6">
                  <c:v>317</c:v>
                </c:pt>
                <c:pt idx="7">
                  <c:v>334</c:v>
                </c:pt>
                <c:pt idx="8">
                  <c:v>333</c:v>
                </c:pt>
                <c:pt idx="9">
                  <c:v>242</c:v>
                </c:pt>
                <c:pt idx="10">
                  <c:v>176</c:v>
                </c:pt>
                <c:pt idx="11">
                  <c:v>296</c:v>
                </c:pt>
                <c:pt idx="12">
                  <c:v>343</c:v>
                </c:pt>
                <c:pt idx="13">
                  <c:v>347</c:v>
                </c:pt>
                <c:pt idx="14">
                  <c:v>245</c:v>
                </c:pt>
                <c:pt idx="15">
                  <c:v>254</c:v>
                </c:pt>
                <c:pt idx="16">
                  <c:v>320</c:v>
                </c:pt>
                <c:pt idx="17">
                  <c:v>332</c:v>
                </c:pt>
                <c:pt idx="18">
                  <c:v>334</c:v>
                </c:pt>
                <c:pt idx="19">
                  <c:v>247</c:v>
                </c:pt>
              </c:numCache>
            </c:numRef>
          </c:yVal>
          <c:bubbleSize>
            <c:numRef>
              <c:f>data!$N$2:$N$21</c:f>
              <c:numCache>
                <c:formatCode>General</c:formatCode>
                <c:ptCount val="20"/>
                <c:pt idx="0">
                  <c:v>0.99177750085095573</c:v>
                </c:pt>
                <c:pt idx="1">
                  <c:v>0.99177750085095573</c:v>
                </c:pt>
                <c:pt idx="2">
                  <c:v>0.99177750085095573</c:v>
                </c:pt>
                <c:pt idx="3">
                  <c:v>0.99177750085095573</c:v>
                </c:pt>
                <c:pt idx="4">
                  <c:v>0.99177750085095573</c:v>
                </c:pt>
                <c:pt idx="5">
                  <c:v>0.99177750085095573</c:v>
                </c:pt>
                <c:pt idx="6">
                  <c:v>0.99177750085095573</c:v>
                </c:pt>
                <c:pt idx="7">
                  <c:v>0.99177750085095573</c:v>
                </c:pt>
                <c:pt idx="8">
                  <c:v>0.99177750085095573</c:v>
                </c:pt>
                <c:pt idx="9">
                  <c:v>0.99177750085095573</c:v>
                </c:pt>
                <c:pt idx="10">
                  <c:v>0.99177750085095573</c:v>
                </c:pt>
                <c:pt idx="11">
                  <c:v>0.99177750085095573</c:v>
                </c:pt>
                <c:pt idx="12">
                  <c:v>0.99177750085095573</c:v>
                </c:pt>
                <c:pt idx="13">
                  <c:v>0.99177750085095573</c:v>
                </c:pt>
                <c:pt idx="14">
                  <c:v>0.99177750085095573</c:v>
                </c:pt>
                <c:pt idx="15">
                  <c:v>0.99177750085095573</c:v>
                </c:pt>
                <c:pt idx="16">
                  <c:v>0.99177750085095573</c:v>
                </c:pt>
                <c:pt idx="17">
                  <c:v>0.99177750085095573</c:v>
                </c:pt>
                <c:pt idx="18">
                  <c:v>0.99177750085095573</c:v>
                </c:pt>
                <c:pt idx="19">
                  <c:v>0.99177750085095573</c:v>
                </c:pt>
              </c:numCache>
            </c:numRef>
          </c:bubbleSize>
          <c:bubble3D val="0"/>
          <c:extLst>
            <c:ext xmlns:c16="http://schemas.microsoft.com/office/drawing/2014/chart" uri="{C3380CC4-5D6E-409C-BE32-E72D297353CC}">
              <c16:uniqueId val="{00000004-5D5F-7F49-B645-9E8EDE3A07CE}"/>
            </c:ext>
          </c:extLst>
        </c:ser>
        <c:ser>
          <c:idx val="3"/>
          <c:order val="3"/>
          <c:tx>
            <c:strRef>
              <c:f>data!$A$22</c:f>
              <c:strCache>
                <c:ptCount val="1"/>
                <c:pt idx="0">
                  <c:v>Barker et al. (2011)</c:v>
                </c:pt>
              </c:strCache>
            </c:strRef>
          </c:tx>
          <c:spPr>
            <a:solidFill>
              <a:srgbClr val="FF0000">
                <a:alpha val="40000"/>
              </a:srgbClr>
            </a:solidFill>
            <a:ln w="6350">
              <a:solidFill>
                <a:schemeClr val="tx1">
                  <a:alpha val="40000"/>
                </a:schemeClr>
              </a:solidFill>
            </a:ln>
            <a:effectLst/>
          </c:spPr>
          <c:invertIfNegative val="0"/>
          <c:xVal>
            <c:numRef>
              <c:f>data!$E$22:$E$29</c:f>
              <c:numCache>
                <c:formatCode>0.0</c:formatCode>
                <c:ptCount val="8"/>
                <c:pt idx="0">
                  <c:v>120</c:v>
                </c:pt>
                <c:pt idx="1">
                  <c:v>146</c:v>
                </c:pt>
                <c:pt idx="2">
                  <c:v>141</c:v>
                </c:pt>
                <c:pt idx="3">
                  <c:v>115</c:v>
                </c:pt>
                <c:pt idx="4">
                  <c:v>112</c:v>
                </c:pt>
                <c:pt idx="5">
                  <c:v>181</c:v>
                </c:pt>
                <c:pt idx="6">
                  <c:v>164</c:v>
                </c:pt>
                <c:pt idx="7">
                  <c:v>192</c:v>
                </c:pt>
              </c:numCache>
            </c:numRef>
          </c:xVal>
          <c:yVal>
            <c:numRef>
              <c:f>data!$F$22:$F$29</c:f>
              <c:numCache>
                <c:formatCode>0.0</c:formatCode>
                <c:ptCount val="8"/>
                <c:pt idx="0">
                  <c:v>180</c:v>
                </c:pt>
                <c:pt idx="1">
                  <c:v>120</c:v>
                </c:pt>
                <c:pt idx="2">
                  <c:v>152</c:v>
                </c:pt>
                <c:pt idx="3">
                  <c:v>104</c:v>
                </c:pt>
                <c:pt idx="4">
                  <c:v>121</c:v>
                </c:pt>
                <c:pt idx="5">
                  <c:v>171</c:v>
                </c:pt>
                <c:pt idx="6">
                  <c:v>160</c:v>
                </c:pt>
                <c:pt idx="7">
                  <c:v>160</c:v>
                </c:pt>
              </c:numCache>
            </c:numRef>
          </c:yVal>
          <c:bubbleSize>
            <c:numRef>
              <c:f>data!$N$22:$N$29</c:f>
              <c:numCache>
                <c:formatCode>General</c:formatCode>
                <c:ptCount val="8"/>
                <c:pt idx="0">
                  <c:v>0.51463793906691291</c:v>
                </c:pt>
                <c:pt idx="1">
                  <c:v>0.52640725018889889</c:v>
                </c:pt>
                <c:pt idx="2">
                  <c:v>0.52640725018889889</c:v>
                </c:pt>
                <c:pt idx="3">
                  <c:v>0.52640725018889889</c:v>
                </c:pt>
                <c:pt idx="4">
                  <c:v>0.52640725018889889</c:v>
                </c:pt>
                <c:pt idx="5">
                  <c:v>0.52640725018889889</c:v>
                </c:pt>
                <c:pt idx="6">
                  <c:v>0.52640725018889889</c:v>
                </c:pt>
                <c:pt idx="7">
                  <c:v>0.52640725018889889</c:v>
                </c:pt>
              </c:numCache>
            </c:numRef>
          </c:bubbleSize>
          <c:bubble3D val="0"/>
          <c:extLst>
            <c:ext xmlns:c16="http://schemas.microsoft.com/office/drawing/2014/chart" uri="{C3380CC4-5D6E-409C-BE32-E72D297353CC}">
              <c16:uniqueId val="{00000005-5D5F-7F49-B645-9E8EDE3A07CE}"/>
            </c:ext>
          </c:extLst>
        </c:ser>
        <c:ser>
          <c:idx val="4"/>
          <c:order val="4"/>
          <c:tx>
            <c:strRef>
              <c:f>data!$A$30</c:f>
              <c:strCache>
                <c:ptCount val="1"/>
                <c:pt idx="0">
                  <c:v>Karsten et al. (2013)</c:v>
                </c:pt>
              </c:strCache>
            </c:strRef>
          </c:tx>
          <c:spPr>
            <a:solidFill>
              <a:srgbClr val="FFC000">
                <a:alpha val="40000"/>
              </a:srgbClr>
            </a:solidFill>
            <a:ln w="6350">
              <a:solidFill>
                <a:schemeClr val="tx1">
                  <a:alpha val="40000"/>
                </a:schemeClr>
              </a:solidFill>
            </a:ln>
            <a:effectLst/>
          </c:spPr>
          <c:invertIfNegative val="0"/>
          <c:xVal>
            <c:numRef>
              <c:f>data!$E$30:$E$55</c:f>
              <c:numCache>
                <c:formatCode>0.0</c:formatCode>
                <c:ptCount val="26"/>
                <c:pt idx="0">
                  <c:v>224</c:v>
                </c:pt>
                <c:pt idx="1">
                  <c:v>242</c:v>
                </c:pt>
                <c:pt idx="2">
                  <c:v>275</c:v>
                </c:pt>
                <c:pt idx="3">
                  <c:v>268</c:v>
                </c:pt>
                <c:pt idx="4">
                  <c:v>262</c:v>
                </c:pt>
                <c:pt idx="5">
                  <c:v>275</c:v>
                </c:pt>
                <c:pt idx="6">
                  <c:v>294</c:v>
                </c:pt>
                <c:pt idx="7">
                  <c:v>294</c:v>
                </c:pt>
                <c:pt idx="8">
                  <c:v>304</c:v>
                </c:pt>
                <c:pt idx="9">
                  <c:v>297</c:v>
                </c:pt>
                <c:pt idx="10">
                  <c:v>298</c:v>
                </c:pt>
                <c:pt idx="11">
                  <c:v>359</c:v>
                </c:pt>
                <c:pt idx="12">
                  <c:v>373</c:v>
                </c:pt>
                <c:pt idx="13">
                  <c:v>223</c:v>
                </c:pt>
                <c:pt idx="14">
                  <c:v>241</c:v>
                </c:pt>
                <c:pt idx="15">
                  <c:v>274</c:v>
                </c:pt>
                <c:pt idx="16">
                  <c:v>267</c:v>
                </c:pt>
                <c:pt idx="17">
                  <c:v>261</c:v>
                </c:pt>
                <c:pt idx="18">
                  <c:v>274</c:v>
                </c:pt>
                <c:pt idx="19">
                  <c:v>293</c:v>
                </c:pt>
                <c:pt idx="20">
                  <c:v>303</c:v>
                </c:pt>
                <c:pt idx="21">
                  <c:v>293</c:v>
                </c:pt>
                <c:pt idx="22">
                  <c:v>296</c:v>
                </c:pt>
                <c:pt idx="23">
                  <c:v>298</c:v>
                </c:pt>
                <c:pt idx="24">
                  <c:v>359</c:v>
                </c:pt>
                <c:pt idx="25">
                  <c:v>372</c:v>
                </c:pt>
              </c:numCache>
            </c:numRef>
          </c:xVal>
          <c:yVal>
            <c:numRef>
              <c:f>data!$F$30:$F$55</c:f>
              <c:numCache>
                <c:formatCode>0.0</c:formatCode>
                <c:ptCount val="26"/>
                <c:pt idx="0">
                  <c:v>184</c:v>
                </c:pt>
                <c:pt idx="1">
                  <c:v>205</c:v>
                </c:pt>
                <c:pt idx="2">
                  <c:v>201</c:v>
                </c:pt>
                <c:pt idx="3">
                  <c:v>224</c:v>
                </c:pt>
                <c:pt idx="4">
                  <c:v>240</c:v>
                </c:pt>
                <c:pt idx="5">
                  <c:v>251</c:v>
                </c:pt>
                <c:pt idx="6">
                  <c:v>261</c:v>
                </c:pt>
                <c:pt idx="7">
                  <c:v>268</c:v>
                </c:pt>
                <c:pt idx="8">
                  <c:v>269</c:v>
                </c:pt>
                <c:pt idx="9">
                  <c:v>281</c:v>
                </c:pt>
                <c:pt idx="10">
                  <c:v>295</c:v>
                </c:pt>
                <c:pt idx="11">
                  <c:v>300</c:v>
                </c:pt>
                <c:pt idx="12">
                  <c:v>313</c:v>
                </c:pt>
                <c:pt idx="13">
                  <c:v>190</c:v>
                </c:pt>
                <c:pt idx="14">
                  <c:v>207</c:v>
                </c:pt>
                <c:pt idx="15">
                  <c:v>216</c:v>
                </c:pt>
                <c:pt idx="16">
                  <c:v>240</c:v>
                </c:pt>
                <c:pt idx="17">
                  <c:v>254</c:v>
                </c:pt>
                <c:pt idx="18">
                  <c:v>257</c:v>
                </c:pt>
                <c:pt idx="19">
                  <c:v>262</c:v>
                </c:pt>
                <c:pt idx="20">
                  <c:v>270</c:v>
                </c:pt>
                <c:pt idx="21">
                  <c:v>277</c:v>
                </c:pt>
                <c:pt idx="22">
                  <c:v>283</c:v>
                </c:pt>
                <c:pt idx="23">
                  <c:v>293</c:v>
                </c:pt>
                <c:pt idx="24">
                  <c:v>302</c:v>
                </c:pt>
                <c:pt idx="25">
                  <c:v>318</c:v>
                </c:pt>
              </c:numCache>
            </c:numRef>
          </c:yVal>
          <c:bubbleSize>
            <c:numRef>
              <c:f>data!$N$30:$N$55</c:f>
              <c:numCache>
                <c:formatCode>General</c:formatCode>
                <c:ptCount val="26"/>
                <c:pt idx="0">
                  <c:v>0.88820284828705676</c:v>
                </c:pt>
                <c:pt idx="1">
                  <c:v>0.88820284828705676</c:v>
                </c:pt>
                <c:pt idx="2">
                  <c:v>0.88820284828705676</c:v>
                </c:pt>
                <c:pt idx="3">
                  <c:v>0.88820284828705676</c:v>
                </c:pt>
                <c:pt idx="4">
                  <c:v>0.88820284828705676</c:v>
                </c:pt>
                <c:pt idx="5">
                  <c:v>0.88820284828705676</c:v>
                </c:pt>
                <c:pt idx="6">
                  <c:v>0.88820284828705676</c:v>
                </c:pt>
                <c:pt idx="7">
                  <c:v>0.88820284828705676</c:v>
                </c:pt>
                <c:pt idx="8">
                  <c:v>0.88820284828705676</c:v>
                </c:pt>
                <c:pt idx="9">
                  <c:v>0.88820284828705676</c:v>
                </c:pt>
                <c:pt idx="10">
                  <c:v>0.88820284828705676</c:v>
                </c:pt>
                <c:pt idx="11">
                  <c:v>0.88820284828705676</c:v>
                </c:pt>
                <c:pt idx="12">
                  <c:v>0.88820284828705676</c:v>
                </c:pt>
                <c:pt idx="13">
                  <c:v>0.88820284828705676</c:v>
                </c:pt>
                <c:pt idx="14">
                  <c:v>0.88820284828705676</c:v>
                </c:pt>
                <c:pt idx="15">
                  <c:v>0.88820284828705676</c:v>
                </c:pt>
                <c:pt idx="16">
                  <c:v>0.88820284828705676</c:v>
                </c:pt>
                <c:pt idx="17">
                  <c:v>0.88820284828705676</c:v>
                </c:pt>
                <c:pt idx="18">
                  <c:v>0.88820284828705676</c:v>
                </c:pt>
                <c:pt idx="19">
                  <c:v>0.88820284828705676</c:v>
                </c:pt>
                <c:pt idx="20">
                  <c:v>0.88820284828705676</c:v>
                </c:pt>
                <c:pt idx="21">
                  <c:v>0.88820284828705676</c:v>
                </c:pt>
                <c:pt idx="22">
                  <c:v>0.88820284828705676</c:v>
                </c:pt>
                <c:pt idx="23">
                  <c:v>0.88820284828705676</c:v>
                </c:pt>
                <c:pt idx="24">
                  <c:v>0.88820284828705676</c:v>
                </c:pt>
                <c:pt idx="25">
                  <c:v>0.88820284828705676</c:v>
                </c:pt>
              </c:numCache>
            </c:numRef>
          </c:bubbleSize>
          <c:bubble3D val="0"/>
          <c:extLst>
            <c:ext xmlns:c16="http://schemas.microsoft.com/office/drawing/2014/chart" uri="{C3380CC4-5D6E-409C-BE32-E72D297353CC}">
              <c16:uniqueId val="{00000006-5D5F-7F49-B645-9E8EDE3A07CE}"/>
            </c:ext>
          </c:extLst>
        </c:ser>
        <c:ser>
          <c:idx val="5"/>
          <c:order val="5"/>
          <c:tx>
            <c:strRef>
              <c:f>data!$A$56</c:f>
              <c:strCache>
                <c:ptCount val="1"/>
                <c:pt idx="0">
                  <c:v>Dekerle et al. (2013)</c:v>
                </c:pt>
              </c:strCache>
            </c:strRef>
          </c:tx>
          <c:spPr>
            <a:solidFill>
              <a:srgbClr val="FFFF00">
                <a:alpha val="40000"/>
              </a:srgbClr>
            </a:solidFill>
            <a:ln w="6350">
              <a:solidFill>
                <a:schemeClr val="tx1">
                  <a:alpha val="40000"/>
                </a:schemeClr>
              </a:solidFill>
            </a:ln>
            <a:effectLst/>
          </c:spPr>
          <c:invertIfNegative val="0"/>
          <c:xVal>
            <c:numRef>
              <c:f>data!$E$56:$E$73</c:f>
              <c:numCache>
                <c:formatCode>0.0</c:formatCode>
                <c:ptCount val="18"/>
                <c:pt idx="0">
                  <c:v>307</c:v>
                </c:pt>
                <c:pt idx="1">
                  <c:v>182</c:v>
                </c:pt>
                <c:pt idx="2">
                  <c:v>249</c:v>
                </c:pt>
                <c:pt idx="3">
                  <c:v>155</c:v>
                </c:pt>
                <c:pt idx="4">
                  <c:v>155</c:v>
                </c:pt>
                <c:pt idx="5">
                  <c:v>182</c:v>
                </c:pt>
                <c:pt idx="6">
                  <c:v>272</c:v>
                </c:pt>
                <c:pt idx="7">
                  <c:v>246</c:v>
                </c:pt>
                <c:pt idx="8">
                  <c:v>296</c:v>
                </c:pt>
                <c:pt idx="9">
                  <c:v>304</c:v>
                </c:pt>
                <c:pt idx="10">
                  <c:v>215</c:v>
                </c:pt>
                <c:pt idx="11">
                  <c:v>264</c:v>
                </c:pt>
                <c:pt idx="12">
                  <c:v>188</c:v>
                </c:pt>
                <c:pt idx="13">
                  <c:v>240</c:v>
                </c:pt>
                <c:pt idx="14">
                  <c:v>311</c:v>
                </c:pt>
                <c:pt idx="15">
                  <c:v>273</c:v>
                </c:pt>
                <c:pt idx="16">
                  <c:v>283</c:v>
                </c:pt>
                <c:pt idx="17">
                  <c:v>252</c:v>
                </c:pt>
              </c:numCache>
            </c:numRef>
          </c:xVal>
          <c:yVal>
            <c:numRef>
              <c:f>data!$F$56:$F$73</c:f>
              <c:numCache>
                <c:formatCode>0.0</c:formatCode>
                <c:ptCount val="18"/>
                <c:pt idx="0">
                  <c:v>289</c:v>
                </c:pt>
                <c:pt idx="1">
                  <c:v>201</c:v>
                </c:pt>
                <c:pt idx="2">
                  <c:v>222</c:v>
                </c:pt>
                <c:pt idx="3">
                  <c:v>158</c:v>
                </c:pt>
                <c:pt idx="4">
                  <c:v>155</c:v>
                </c:pt>
                <c:pt idx="5">
                  <c:v>228</c:v>
                </c:pt>
                <c:pt idx="6">
                  <c:v>206</c:v>
                </c:pt>
                <c:pt idx="7">
                  <c:v>258</c:v>
                </c:pt>
                <c:pt idx="8">
                  <c:v>187</c:v>
                </c:pt>
                <c:pt idx="9">
                  <c:v>308</c:v>
                </c:pt>
                <c:pt idx="10">
                  <c:v>198</c:v>
                </c:pt>
                <c:pt idx="11">
                  <c:v>260</c:v>
                </c:pt>
                <c:pt idx="12">
                  <c:v>212</c:v>
                </c:pt>
                <c:pt idx="13">
                  <c:v>225</c:v>
                </c:pt>
                <c:pt idx="14">
                  <c:v>284</c:v>
                </c:pt>
                <c:pt idx="15">
                  <c:v>241</c:v>
                </c:pt>
                <c:pt idx="16">
                  <c:v>269</c:v>
                </c:pt>
                <c:pt idx="17">
                  <c:v>203</c:v>
                </c:pt>
              </c:numCache>
            </c:numRef>
          </c:yVal>
          <c:bubbleSize>
            <c:numRef>
              <c:f>data!$N$56:$N$73</c:f>
              <c:numCache>
                <c:formatCode>General</c:formatCode>
                <c:ptCount val="18"/>
                <c:pt idx="0">
                  <c:v>0.73787462630834433</c:v>
                </c:pt>
                <c:pt idx="1">
                  <c:v>0.73787462630834433</c:v>
                </c:pt>
                <c:pt idx="2">
                  <c:v>0.73787462630834433</c:v>
                </c:pt>
                <c:pt idx="3">
                  <c:v>0.73787462630834433</c:v>
                </c:pt>
                <c:pt idx="4">
                  <c:v>0.73787462630834433</c:v>
                </c:pt>
                <c:pt idx="5">
                  <c:v>0.73787462630834433</c:v>
                </c:pt>
                <c:pt idx="6">
                  <c:v>0.73787462630834433</c:v>
                </c:pt>
                <c:pt idx="7">
                  <c:v>0.73787462630834433</c:v>
                </c:pt>
                <c:pt idx="8">
                  <c:v>0.73787462630834433</c:v>
                </c:pt>
                <c:pt idx="9">
                  <c:v>0.73787462630834433</c:v>
                </c:pt>
                <c:pt idx="10">
                  <c:v>0.73787462630834433</c:v>
                </c:pt>
                <c:pt idx="11">
                  <c:v>0.73787462630834433</c:v>
                </c:pt>
                <c:pt idx="12">
                  <c:v>0.73787462630834433</c:v>
                </c:pt>
                <c:pt idx="13">
                  <c:v>0.73787462630834433</c:v>
                </c:pt>
                <c:pt idx="14">
                  <c:v>0.73787462630834433</c:v>
                </c:pt>
                <c:pt idx="15">
                  <c:v>0.73787462630834433</c:v>
                </c:pt>
                <c:pt idx="16">
                  <c:v>0.73787462630834433</c:v>
                </c:pt>
                <c:pt idx="17">
                  <c:v>0.73787462630834433</c:v>
                </c:pt>
              </c:numCache>
            </c:numRef>
          </c:bubbleSize>
          <c:bubble3D val="0"/>
          <c:extLst>
            <c:ext xmlns:c16="http://schemas.microsoft.com/office/drawing/2014/chart" uri="{C3380CC4-5D6E-409C-BE32-E72D297353CC}">
              <c16:uniqueId val="{00000007-5D5F-7F49-B645-9E8EDE3A07CE}"/>
            </c:ext>
          </c:extLst>
        </c:ser>
        <c:ser>
          <c:idx val="6"/>
          <c:order val="6"/>
          <c:tx>
            <c:strRef>
              <c:f>data!$A$74</c:f>
              <c:strCache>
                <c:ptCount val="1"/>
                <c:pt idx="0">
                  <c:v>Clark et al. (2016)</c:v>
                </c:pt>
              </c:strCache>
            </c:strRef>
          </c:tx>
          <c:spPr>
            <a:solidFill>
              <a:srgbClr val="92D050">
                <a:alpha val="40000"/>
              </a:srgbClr>
            </a:solidFill>
            <a:ln w="6350">
              <a:solidFill>
                <a:schemeClr val="tx1">
                  <a:alpha val="40000"/>
                </a:schemeClr>
              </a:solidFill>
            </a:ln>
            <a:effectLst/>
          </c:spPr>
          <c:invertIfNegative val="0"/>
          <c:xVal>
            <c:numRef>
              <c:f>data!$E$74:$E$93</c:f>
              <c:numCache>
                <c:formatCode>0.0</c:formatCode>
                <c:ptCount val="20"/>
                <c:pt idx="0">
                  <c:v>220</c:v>
                </c:pt>
                <c:pt idx="1">
                  <c:v>195</c:v>
                </c:pt>
                <c:pt idx="2">
                  <c:v>297</c:v>
                </c:pt>
                <c:pt idx="3">
                  <c:v>240</c:v>
                </c:pt>
                <c:pt idx="4">
                  <c:v>193</c:v>
                </c:pt>
                <c:pt idx="5">
                  <c:v>179</c:v>
                </c:pt>
                <c:pt idx="6">
                  <c:v>164</c:v>
                </c:pt>
                <c:pt idx="7">
                  <c:v>188</c:v>
                </c:pt>
                <c:pt idx="8">
                  <c:v>209</c:v>
                </c:pt>
                <c:pt idx="9">
                  <c:v>260</c:v>
                </c:pt>
                <c:pt idx="10">
                  <c:v>220</c:v>
                </c:pt>
                <c:pt idx="11">
                  <c:v>195</c:v>
                </c:pt>
                <c:pt idx="12">
                  <c:v>297</c:v>
                </c:pt>
                <c:pt idx="13">
                  <c:v>240</c:v>
                </c:pt>
                <c:pt idx="14">
                  <c:v>193</c:v>
                </c:pt>
                <c:pt idx="15">
                  <c:v>179</c:v>
                </c:pt>
                <c:pt idx="16">
                  <c:v>164</c:v>
                </c:pt>
                <c:pt idx="17">
                  <c:v>188</c:v>
                </c:pt>
                <c:pt idx="18">
                  <c:v>209</c:v>
                </c:pt>
                <c:pt idx="19">
                  <c:v>260</c:v>
                </c:pt>
              </c:numCache>
            </c:numRef>
          </c:xVal>
          <c:yVal>
            <c:numRef>
              <c:f>data!$F$74:$F$93</c:f>
              <c:numCache>
                <c:formatCode>0.0</c:formatCode>
                <c:ptCount val="20"/>
                <c:pt idx="0">
                  <c:v>225</c:v>
                </c:pt>
                <c:pt idx="1">
                  <c:v>201</c:v>
                </c:pt>
                <c:pt idx="2">
                  <c:v>286</c:v>
                </c:pt>
                <c:pt idx="3">
                  <c:v>217</c:v>
                </c:pt>
                <c:pt idx="4">
                  <c:v>195</c:v>
                </c:pt>
                <c:pt idx="5">
                  <c:v>178</c:v>
                </c:pt>
                <c:pt idx="6">
                  <c:v>168</c:v>
                </c:pt>
                <c:pt idx="7">
                  <c:v>189</c:v>
                </c:pt>
                <c:pt idx="8">
                  <c:v>209</c:v>
                </c:pt>
                <c:pt idx="9">
                  <c:v>254</c:v>
                </c:pt>
                <c:pt idx="10">
                  <c:v>228</c:v>
                </c:pt>
                <c:pt idx="11">
                  <c:v>204</c:v>
                </c:pt>
                <c:pt idx="12">
                  <c:v>287</c:v>
                </c:pt>
                <c:pt idx="13">
                  <c:v>217</c:v>
                </c:pt>
                <c:pt idx="14">
                  <c:v>196</c:v>
                </c:pt>
                <c:pt idx="15">
                  <c:v>178</c:v>
                </c:pt>
                <c:pt idx="16">
                  <c:v>170</c:v>
                </c:pt>
                <c:pt idx="17">
                  <c:v>189</c:v>
                </c:pt>
                <c:pt idx="18">
                  <c:v>207</c:v>
                </c:pt>
                <c:pt idx="19">
                  <c:v>256</c:v>
                </c:pt>
              </c:numCache>
            </c:numRef>
          </c:yVal>
          <c:bubbleSize>
            <c:numRef>
              <c:f>data!$N$74:$N$93</c:f>
              <c:numCache>
                <c:formatCode>General</c:formatCode>
                <c:ptCount val="20"/>
                <c:pt idx="0">
                  <c:v>0.97889579778377078</c:v>
                </c:pt>
                <c:pt idx="1">
                  <c:v>0.97889579778377078</c:v>
                </c:pt>
                <c:pt idx="2">
                  <c:v>0.97889579778377078</c:v>
                </c:pt>
                <c:pt idx="3">
                  <c:v>0.97889579778377078</c:v>
                </c:pt>
                <c:pt idx="4">
                  <c:v>0.97889579778377078</c:v>
                </c:pt>
                <c:pt idx="5">
                  <c:v>0.97889579778377078</c:v>
                </c:pt>
                <c:pt idx="6">
                  <c:v>0.97889579778377078</c:v>
                </c:pt>
                <c:pt idx="7">
                  <c:v>0.97889579778377078</c:v>
                </c:pt>
                <c:pt idx="8">
                  <c:v>0.97889579778377078</c:v>
                </c:pt>
                <c:pt idx="9">
                  <c:v>0.97889579778377078</c:v>
                </c:pt>
                <c:pt idx="10">
                  <c:v>0.97889579778377078</c:v>
                </c:pt>
                <c:pt idx="11">
                  <c:v>0.97889579778377078</c:v>
                </c:pt>
                <c:pt idx="12">
                  <c:v>0.97889579778377078</c:v>
                </c:pt>
                <c:pt idx="13">
                  <c:v>0.97889579778377078</c:v>
                </c:pt>
                <c:pt idx="14">
                  <c:v>0.97889579778377078</c:v>
                </c:pt>
                <c:pt idx="15">
                  <c:v>0.97889579778377078</c:v>
                </c:pt>
                <c:pt idx="16">
                  <c:v>0.97889579778377078</c:v>
                </c:pt>
                <c:pt idx="17">
                  <c:v>0.97889579778377078</c:v>
                </c:pt>
                <c:pt idx="18">
                  <c:v>0.97889579778377078</c:v>
                </c:pt>
                <c:pt idx="19">
                  <c:v>0.97889579778377078</c:v>
                </c:pt>
              </c:numCache>
            </c:numRef>
          </c:bubbleSize>
          <c:bubble3D val="0"/>
          <c:extLst>
            <c:ext xmlns:c16="http://schemas.microsoft.com/office/drawing/2014/chart" uri="{C3380CC4-5D6E-409C-BE32-E72D297353CC}">
              <c16:uniqueId val="{00000008-5D5F-7F49-B645-9E8EDE3A07CE}"/>
            </c:ext>
          </c:extLst>
        </c:ser>
        <c:ser>
          <c:idx val="7"/>
          <c:order val="7"/>
          <c:tx>
            <c:strRef>
              <c:f>data!$A$94</c:f>
              <c:strCache>
                <c:ptCount val="1"/>
                <c:pt idx="0">
                  <c:v>Bartram et al. (2017)</c:v>
                </c:pt>
              </c:strCache>
            </c:strRef>
          </c:tx>
          <c:spPr>
            <a:solidFill>
              <a:srgbClr val="00B050">
                <a:alpha val="40000"/>
              </a:srgbClr>
            </a:solidFill>
            <a:ln w="6350">
              <a:solidFill>
                <a:schemeClr val="tx1">
                  <a:alpha val="40000"/>
                </a:schemeClr>
              </a:solidFill>
            </a:ln>
            <a:effectLst/>
          </c:spPr>
          <c:invertIfNegative val="0"/>
          <c:xVal>
            <c:numRef>
              <c:f>data!$E$94:$E$99</c:f>
              <c:numCache>
                <c:formatCode>0.0</c:formatCode>
                <c:ptCount val="6"/>
                <c:pt idx="0">
                  <c:v>375</c:v>
                </c:pt>
                <c:pt idx="1">
                  <c:v>380</c:v>
                </c:pt>
                <c:pt idx="2">
                  <c:v>418</c:v>
                </c:pt>
                <c:pt idx="3">
                  <c:v>411</c:v>
                </c:pt>
                <c:pt idx="4">
                  <c:v>365</c:v>
                </c:pt>
                <c:pt idx="5">
                  <c:v>464</c:v>
                </c:pt>
              </c:numCache>
            </c:numRef>
          </c:xVal>
          <c:yVal>
            <c:numRef>
              <c:f>data!$F$94:$F$99</c:f>
              <c:numCache>
                <c:formatCode>0.0</c:formatCode>
                <c:ptCount val="6"/>
                <c:pt idx="0">
                  <c:v>324</c:v>
                </c:pt>
                <c:pt idx="1">
                  <c:v>371</c:v>
                </c:pt>
                <c:pt idx="2">
                  <c:v>357</c:v>
                </c:pt>
                <c:pt idx="3">
                  <c:v>343</c:v>
                </c:pt>
                <c:pt idx="4">
                  <c:v>313</c:v>
                </c:pt>
                <c:pt idx="5">
                  <c:v>395</c:v>
                </c:pt>
              </c:numCache>
            </c:numRef>
          </c:yVal>
          <c:bubbleSize>
            <c:numRef>
              <c:f>data!$N$94:$N$99</c:f>
              <c:numCache>
                <c:formatCode>General</c:formatCode>
                <c:ptCount val="6"/>
                <c:pt idx="0">
                  <c:v>0.79674425845287844</c:v>
                </c:pt>
                <c:pt idx="1">
                  <c:v>0.79674425845287844</c:v>
                </c:pt>
                <c:pt idx="2">
                  <c:v>0.79674425845287844</c:v>
                </c:pt>
                <c:pt idx="3">
                  <c:v>0.79674425845287844</c:v>
                </c:pt>
                <c:pt idx="4">
                  <c:v>0.79674425845287844</c:v>
                </c:pt>
                <c:pt idx="5">
                  <c:v>0.79674425845287844</c:v>
                </c:pt>
              </c:numCache>
            </c:numRef>
          </c:bubbleSize>
          <c:bubble3D val="0"/>
          <c:extLst>
            <c:ext xmlns:c16="http://schemas.microsoft.com/office/drawing/2014/chart" uri="{C3380CC4-5D6E-409C-BE32-E72D297353CC}">
              <c16:uniqueId val="{00000009-5D5F-7F49-B645-9E8EDE3A07CE}"/>
            </c:ext>
          </c:extLst>
        </c:ser>
        <c:ser>
          <c:idx val="8"/>
          <c:order val="8"/>
          <c:tx>
            <c:strRef>
              <c:f>data!$A$100</c:f>
              <c:strCache>
                <c:ptCount val="1"/>
                <c:pt idx="0">
                  <c:v>Wright et al. (2017)</c:v>
                </c:pt>
              </c:strCache>
            </c:strRef>
          </c:tx>
          <c:spPr>
            <a:solidFill>
              <a:srgbClr val="00B0F0">
                <a:alpha val="40000"/>
              </a:srgbClr>
            </a:solidFill>
            <a:ln w="6350">
              <a:solidFill>
                <a:schemeClr val="tx1">
                  <a:alpha val="40000"/>
                </a:schemeClr>
              </a:solidFill>
            </a:ln>
            <a:effectLst/>
          </c:spPr>
          <c:invertIfNegative val="0"/>
          <c:xVal>
            <c:numRef>
              <c:f>data!$E$100:$E$123</c:f>
              <c:numCache>
                <c:formatCode>0.0</c:formatCode>
                <c:ptCount val="24"/>
                <c:pt idx="0">
                  <c:v>215.39999999999998</c:v>
                </c:pt>
                <c:pt idx="1">
                  <c:v>236.54999999999998</c:v>
                </c:pt>
                <c:pt idx="2">
                  <c:v>226.54999999999998</c:v>
                </c:pt>
                <c:pt idx="3">
                  <c:v>214.04999999999998</c:v>
                </c:pt>
                <c:pt idx="4">
                  <c:v>223</c:v>
                </c:pt>
                <c:pt idx="5">
                  <c:v>214.45</c:v>
                </c:pt>
                <c:pt idx="6">
                  <c:v>233.1</c:v>
                </c:pt>
                <c:pt idx="7">
                  <c:v>267.5</c:v>
                </c:pt>
                <c:pt idx="8">
                  <c:v>259.3</c:v>
                </c:pt>
                <c:pt idx="9">
                  <c:v>266.5</c:v>
                </c:pt>
                <c:pt idx="10">
                  <c:v>270.10000000000002</c:v>
                </c:pt>
                <c:pt idx="11">
                  <c:v>267.09999999999997</c:v>
                </c:pt>
                <c:pt idx="12">
                  <c:v>224.6</c:v>
                </c:pt>
                <c:pt idx="13">
                  <c:v>226.85</c:v>
                </c:pt>
                <c:pt idx="14">
                  <c:v>234.7</c:v>
                </c:pt>
                <c:pt idx="15">
                  <c:v>239.9</c:v>
                </c:pt>
                <c:pt idx="16">
                  <c:v>246.95</c:v>
                </c:pt>
                <c:pt idx="17">
                  <c:v>259.8</c:v>
                </c:pt>
                <c:pt idx="18">
                  <c:v>286.84999999999997</c:v>
                </c:pt>
                <c:pt idx="19">
                  <c:v>293.14999999999998</c:v>
                </c:pt>
                <c:pt idx="20">
                  <c:v>308.39999999999998</c:v>
                </c:pt>
                <c:pt idx="21">
                  <c:v>311.84999999999997</c:v>
                </c:pt>
                <c:pt idx="22">
                  <c:v>322.60000000000002</c:v>
                </c:pt>
                <c:pt idx="23">
                  <c:v>343.9</c:v>
                </c:pt>
              </c:numCache>
            </c:numRef>
          </c:xVal>
          <c:yVal>
            <c:numRef>
              <c:f>data!$F$100:$F$123</c:f>
              <c:numCache>
                <c:formatCode>0.0</c:formatCode>
                <c:ptCount val="24"/>
                <c:pt idx="0">
                  <c:v>194.99999999999997</c:v>
                </c:pt>
                <c:pt idx="1">
                  <c:v>224.64999999999998</c:v>
                </c:pt>
                <c:pt idx="2">
                  <c:v>222.85</c:v>
                </c:pt>
                <c:pt idx="3">
                  <c:v>224.14999999999998</c:v>
                </c:pt>
                <c:pt idx="4">
                  <c:v>240</c:v>
                </c:pt>
                <c:pt idx="5">
                  <c:v>244.54999999999998</c:v>
                </c:pt>
                <c:pt idx="6">
                  <c:v>243.1</c:v>
                </c:pt>
                <c:pt idx="7">
                  <c:v>288.7</c:v>
                </c:pt>
                <c:pt idx="8">
                  <c:v>267.3</c:v>
                </c:pt>
                <c:pt idx="9">
                  <c:v>271.5</c:v>
                </c:pt>
                <c:pt idx="10">
                  <c:v>267.10000000000002</c:v>
                </c:pt>
                <c:pt idx="11">
                  <c:v>253.29999999999995</c:v>
                </c:pt>
                <c:pt idx="12">
                  <c:v>194.79999999999998</c:v>
                </c:pt>
                <c:pt idx="13">
                  <c:v>222.54999999999998</c:v>
                </c:pt>
                <c:pt idx="14">
                  <c:v>224.29999999999998</c:v>
                </c:pt>
                <c:pt idx="15">
                  <c:v>223.9</c:v>
                </c:pt>
                <c:pt idx="16">
                  <c:v>238.45</c:v>
                </c:pt>
                <c:pt idx="17">
                  <c:v>244.20000000000002</c:v>
                </c:pt>
                <c:pt idx="18">
                  <c:v>242.94999999999996</c:v>
                </c:pt>
                <c:pt idx="19">
                  <c:v>271.25</c:v>
                </c:pt>
                <c:pt idx="20">
                  <c:v>288.39999999999998</c:v>
                </c:pt>
                <c:pt idx="21">
                  <c:v>266.95</c:v>
                </c:pt>
                <c:pt idx="22">
                  <c:v>253.00000000000003</c:v>
                </c:pt>
                <c:pt idx="23">
                  <c:v>266.89999999999998</c:v>
                </c:pt>
              </c:numCache>
            </c:numRef>
          </c:yVal>
          <c:bubbleSize>
            <c:numRef>
              <c:f>data!$N$100:$N$123</c:f>
              <c:numCache>
                <c:formatCode>General</c:formatCode>
                <c:ptCount val="24"/>
                <c:pt idx="0">
                  <c:v>0.70582760868381866</c:v>
                </c:pt>
                <c:pt idx="1">
                  <c:v>0.70582760868381866</c:v>
                </c:pt>
                <c:pt idx="2">
                  <c:v>0.70582760868381866</c:v>
                </c:pt>
                <c:pt idx="3">
                  <c:v>0.70582760868381866</c:v>
                </c:pt>
                <c:pt idx="4">
                  <c:v>0.70582760868381866</c:v>
                </c:pt>
                <c:pt idx="5">
                  <c:v>0.70582760868381866</c:v>
                </c:pt>
                <c:pt idx="6">
                  <c:v>0.70582760868381866</c:v>
                </c:pt>
                <c:pt idx="7">
                  <c:v>0.70582760868381866</c:v>
                </c:pt>
                <c:pt idx="8">
                  <c:v>0.70582760868381866</c:v>
                </c:pt>
                <c:pt idx="9">
                  <c:v>0.70582760868381866</c:v>
                </c:pt>
                <c:pt idx="10">
                  <c:v>0.70582760868381866</c:v>
                </c:pt>
                <c:pt idx="11">
                  <c:v>0.70582760868381866</c:v>
                </c:pt>
                <c:pt idx="12">
                  <c:v>0.70582760868381866</c:v>
                </c:pt>
                <c:pt idx="13">
                  <c:v>0.70582760868381866</c:v>
                </c:pt>
                <c:pt idx="14">
                  <c:v>0.70582760868381866</c:v>
                </c:pt>
                <c:pt idx="15">
                  <c:v>0.70582760868381866</c:v>
                </c:pt>
                <c:pt idx="16">
                  <c:v>0.70582760868381866</c:v>
                </c:pt>
                <c:pt idx="17">
                  <c:v>0.70582760868381866</c:v>
                </c:pt>
                <c:pt idx="18">
                  <c:v>0.70582760868381866</c:v>
                </c:pt>
                <c:pt idx="19">
                  <c:v>0.70582760868381866</c:v>
                </c:pt>
                <c:pt idx="20">
                  <c:v>0.70582760868381866</c:v>
                </c:pt>
                <c:pt idx="21">
                  <c:v>0.70582760868381866</c:v>
                </c:pt>
                <c:pt idx="22">
                  <c:v>0.70582760868381866</c:v>
                </c:pt>
                <c:pt idx="23">
                  <c:v>0.70582760868381866</c:v>
                </c:pt>
              </c:numCache>
            </c:numRef>
          </c:bubbleSize>
          <c:bubble3D val="0"/>
          <c:extLst>
            <c:ext xmlns:c16="http://schemas.microsoft.com/office/drawing/2014/chart" uri="{C3380CC4-5D6E-409C-BE32-E72D297353CC}">
              <c16:uniqueId val="{0000000A-5D5F-7F49-B645-9E8EDE3A07CE}"/>
            </c:ext>
          </c:extLst>
        </c:ser>
        <c:ser>
          <c:idx val="9"/>
          <c:order val="9"/>
          <c:tx>
            <c:strRef>
              <c:f>data!$A$124</c:f>
              <c:strCache>
                <c:ptCount val="1"/>
                <c:pt idx="0">
                  <c:v>Clark et al. (2019)</c:v>
                </c:pt>
              </c:strCache>
            </c:strRef>
          </c:tx>
          <c:spPr>
            <a:solidFill>
              <a:srgbClr val="7030A0">
                <a:alpha val="40000"/>
              </a:srgbClr>
            </a:solidFill>
            <a:ln w="6350">
              <a:solidFill>
                <a:schemeClr val="tx1">
                  <a:alpha val="40000"/>
                </a:schemeClr>
              </a:solidFill>
            </a:ln>
            <a:effectLst/>
          </c:spPr>
          <c:invertIfNegative val="0"/>
          <c:xVal>
            <c:numRef>
              <c:f>data!$E$124:$E$137</c:f>
              <c:numCache>
                <c:formatCode>0.0</c:formatCode>
                <c:ptCount val="14"/>
                <c:pt idx="0">
                  <c:v>153.5</c:v>
                </c:pt>
                <c:pt idx="1">
                  <c:v>212.2</c:v>
                </c:pt>
                <c:pt idx="2">
                  <c:v>216.4</c:v>
                </c:pt>
                <c:pt idx="3">
                  <c:v>208.7</c:v>
                </c:pt>
                <c:pt idx="4">
                  <c:v>219.5</c:v>
                </c:pt>
                <c:pt idx="5">
                  <c:v>248.7</c:v>
                </c:pt>
                <c:pt idx="6">
                  <c:v>263.39999999999998</c:v>
                </c:pt>
                <c:pt idx="7">
                  <c:v>263.89999999999998</c:v>
                </c:pt>
                <c:pt idx="8">
                  <c:v>281.10000000000002</c:v>
                </c:pt>
                <c:pt idx="9">
                  <c:v>286.5</c:v>
                </c:pt>
                <c:pt idx="10">
                  <c:v>296.8</c:v>
                </c:pt>
                <c:pt idx="11">
                  <c:v>293.3</c:v>
                </c:pt>
                <c:pt idx="12">
                  <c:v>318.7</c:v>
                </c:pt>
                <c:pt idx="13">
                  <c:v>349.9</c:v>
                </c:pt>
              </c:numCache>
            </c:numRef>
          </c:xVal>
          <c:yVal>
            <c:numRef>
              <c:f>data!$F$124:$F$137</c:f>
              <c:numCache>
                <c:formatCode>0.0</c:formatCode>
                <c:ptCount val="14"/>
                <c:pt idx="0">
                  <c:v>188.2</c:v>
                </c:pt>
                <c:pt idx="1">
                  <c:v>215.2</c:v>
                </c:pt>
                <c:pt idx="2">
                  <c:v>216.5</c:v>
                </c:pt>
                <c:pt idx="3">
                  <c:v>227.9</c:v>
                </c:pt>
                <c:pt idx="4">
                  <c:v>240.8</c:v>
                </c:pt>
                <c:pt idx="5">
                  <c:v>248.5</c:v>
                </c:pt>
                <c:pt idx="6">
                  <c:v>253.7</c:v>
                </c:pt>
                <c:pt idx="7">
                  <c:v>275.39999999999998</c:v>
                </c:pt>
                <c:pt idx="8">
                  <c:v>253.7</c:v>
                </c:pt>
                <c:pt idx="9">
                  <c:v>253.6</c:v>
                </c:pt>
                <c:pt idx="10">
                  <c:v>261.3</c:v>
                </c:pt>
                <c:pt idx="11">
                  <c:v>267.8</c:v>
                </c:pt>
                <c:pt idx="12">
                  <c:v>336.9</c:v>
                </c:pt>
                <c:pt idx="13">
                  <c:v>330.5</c:v>
                </c:pt>
              </c:numCache>
            </c:numRef>
          </c:yVal>
          <c:bubbleSize>
            <c:numRef>
              <c:f>data!$N$124:$N$137</c:f>
              <c:numCache>
                <c:formatCode>General</c:formatCode>
                <c:ptCount val="14"/>
                <c:pt idx="0">
                  <c:v>0.90992016877134796</c:v>
                </c:pt>
                <c:pt idx="1">
                  <c:v>0.90992016877134796</c:v>
                </c:pt>
                <c:pt idx="2">
                  <c:v>0.90992016877134796</c:v>
                </c:pt>
                <c:pt idx="3">
                  <c:v>0.90992016877134796</c:v>
                </c:pt>
                <c:pt idx="4">
                  <c:v>0.90992016877134796</c:v>
                </c:pt>
                <c:pt idx="5">
                  <c:v>0.90992016877134796</c:v>
                </c:pt>
                <c:pt idx="6">
                  <c:v>0.90992016877134796</c:v>
                </c:pt>
                <c:pt idx="7">
                  <c:v>0.90992016877134796</c:v>
                </c:pt>
                <c:pt idx="8">
                  <c:v>0.90992016877134796</c:v>
                </c:pt>
                <c:pt idx="9">
                  <c:v>0.90992016877134796</c:v>
                </c:pt>
                <c:pt idx="10">
                  <c:v>0.90992016877134796</c:v>
                </c:pt>
                <c:pt idx="11">
                  <c:v>0.90992016877134796</c:v>
                </c:pt>
                <c:pt idx="12">
                  <c:v>0.90992016877134796</c:v>
                </c:pt>
                <c:pt idx="13">
                  <c:v>0.90992016877134796</c:v>
                </c:pt>
              </c:numCache>
            </c:numRef>
          </c:bubbleSize>
          <c:bubble3D val="0"/>
          <c:extLst>
            <c:ext xmlns:c16="http://schemas.microsoft.com/office/drawing/2014/chart" uri="{C3380CC4-5D6E-409C-BE32-E72D297353CC}">
              <c16:uniqueId val="{0000000B-5D5F-7F49-B645-9E8EDE3A07CE}"/>
            </c:ext>
          </c:extLst>
        </c:ser>
        <c:ser>
          <c:idx val="10"/>
          <c:order val="10"/>
          <c:tx>
            <c:strRef>
              <c:f>data!$A$138</c:f>
              <c:strCache>
                <c:ptCount val="1"/>
                <c:pt idx="0">
                  <c:v>Goulding et al. (2021)</c:v>
                </c:pt>
              </c:strCache>
            </c:strRef>
          </c:tx>
          <c:spPr>
            <a:solidFill>
              <a:srgbClr val="FF8AD8">
                <a:alpha val="40000"/>
              </a:srgbClr>
            </a:solidFill>
            <a:ln w="6350">
              <a:solidFill>
                <a:schemeClr val="tx1">
                  <a:alpha val="40000"/>
                </a:schemeClr>
              </a:solidFill>
            </a:ln>
            <a:effectLst/>
          </c:spPr>
          <c:invertIfNegative val="0"/>
          <c:xVal>
            <c:numRef>
              <c:f>data!$E$138:$E$160</c:f>
              <c:numCache>
                <c:formatCode>0.0</c:formatCode>
                <c:ptCount val="23"/>
                <c:pt idx="0">
                  <c:v>137.80000000000001</c:v>
                </c:pt>
                <c:pt idx="1">
                  <c:v>177.1</c:v>
                </c:pt>
                <c:pt idx="2">
                  <c:v>174.3</c:v>
                </c:pt>
                <c:pt idx="3">
                  <c:v>198.2</c:v>
                </c:pt>
                <c:pt idx="4">
                  <c:v>189.9</c:v>
                </c:pt>
                <c:pt idx="5">
                  <c:v>209.9</c:v>
                </c:pt>
                <c:pt idx="6">
                  <c:v>216.3</c:v>
                </c:pt>
                <c:pt idx="7">
                  <c:v>228.7</c:v>
                </c:pt>
                <c:pt idx="8">
                  <c:v>228</c:v>
                </c:pt>
                <c:pt idx="9">
                  <c:v>246.4</c:v>
                </c:pt>
                <c:pt idx="10">
                  <c:v>276.7</c:v>
                </c:pt>
                <c:pt idx="11">
                  <c:v>278.3</c:v>
                </c:pt>
                <c:pt idx="12">
                  <c:v>279</c:v>
                </c:pt>
                <c:pt idx="13">
                  <c:v>278.39999999999998</c:v>
                </c:pt>
                <c:pt idx="14">
                  <c:v>283.8</c:v>
                </c:pt>
                <c:pt idx="15">
                  <c:v>220.9</c:v>
                </c:pt>
                <c:pt idx="16">
                  <c:v>152.19999999999999</c:v>
                </c:pt>
                <c:pt idx="17">
                  <c:v>152.9</c:v>
                </c:pt>
                <c:pt idx="18">
                  <c:v>132.1</c:v>
                </c:pt>
                <c:pt idx="19">
                  <c:v>111.2</c:v>
                </c:pt>
                <c:pt idx="20">
                  <c:v>109.9</c:v>
                </c:pt>
                <c:pt idx="21">
                  <c:v>110.6</c:v>
                </c:pt>
                <c:pt idx="22">
                  <c:v>95</c:v>
                </c:pt>
              </c:numCache>
            </c:numRef>
          </c:xVal>
          <c:yVal>
            <c:numRef>
              <c:f>data!$F$138:$F$160</c:f>
              <c:numCache>
                <c:formatCode>0.0</c:formatCode>
                <c:ptCount val="23"/>
                <c:pt idx="0">
                  <c:v>136.5</c:v>
                </c:pt>
                <c:pt idx="1">
                  <c:v>172.2</c:v>
                </c:pt>
                <c:pt idx="2">
                  <c:v>175.4</c:v>
                </c:pt>
                <c:pt idx="3">
                  <c:v>190.2</c:v>
                </c:pt>
                <c:pt idx="4">
                  <c:v>193.6</c:v>
                </c:pt>
                <c:pt idx="5">
                  <c:v>215.6</c:v>
                </c:pt>
                <c:pt idx="6">
                  <c:v>235</c:v>
                </c:pt>
                <c:pt idx="7">
                  <c:v>239.4</c:v>
                </c:pt>
                <c:pt idx="8">
                  <c:v>221.9</c:v>
                </c:pt>
                <c:pt idx="9">
                  <c:v>224.2</c:v>
                </c:pt>
                <c:pt idx="10">
                  <c:v>251</c:v>
                </c:pt>
                <c:pt idx="11">
                  <c:v>256.39999999999998</c:v>
                </c:pt>
                <c:pt idx="12">
                  <c:v>257.5</c:v>
                </c:pt>
                <c:pt idx="13">
                  <c:v>269.10000000000002</c:v>
                </c:pt>
                <c:pt idx="14">
                  <c:v>273.2</c:v>
                </c:pt>
                <c:pt idx="15">
                  <c:v>235</c:v>
                </c:pt>
                <c:pt idx="16">
                  <c:v>154.19999999999999</c:v>
                </c:pt>
                <c:pt idx="17">
                  <c:v>136.19999999999999</c:v>
                </c:pt>
                <c:pt idx="18">
                  <c:v>138.80000000000001</c:v>
                </c:pt>
                <c:pt idx="19">
                  <c:v>128.9</c:v>
                </c:pt>
                <c:pt idx="20">
                  <c:v>114.8</c:v>
                </c:pt>
                <c:pt idx="21">
                  <c:v>111.4</c:v>
                </c:pt>
                <c:pt idx="22">
                  <c:v>98</c:v>
                </c:pt>
              </c:numCache>
            </c:numRef>
          </c:yVal>
          <c:bubbleSize>
            <c:numRef>
              <c:f>data!$N$138:$N$160</c:f>
              <c:numCache>
                <c:formatCode>General</c:formatCode>
                <c:ptCount val="23"/>
                <c:pt idx="0">
                  <c:v>0.96456820859636827</c:v>
                </c:pt>
                <c:pt idx="1">
                  <c:v>0.96456820859636827</c:v>
                </c:pt>
                <c:pt idx="2">
                  <c:v>0.96456820859636827</c:v>
                </c:pt>
                <c:pt idx="3">
                  <c:v>0.96456820859636827</c:v>
                </c:pt>
                <c:pt idx="4">
                  <c:v>0.96456820859636827</c:v>
                </c:pt>
                <c:pt idx="5">
                  <c:v>0.96456820859636827</c:v>
                </c:pt>
                <c:pt idx="6">
                  <c:v>0.96456820859636827</c:v>
                </c:pt>
                <c:pt idx="7">
                  <c:v>0.96456820859636827</c:v>
                </c:pt>
                <c:pt idx="8">
                  <c:v>0.96456820859636827</c:v>
                </c:pt>
                <c:pt idx="9">
                  <c:v>0.96456820859636827</c:v>
                </c:pt>
                <c:pt idx="10">
                  <c:v>0.96456820859636827</c:v>
                </c:pt>
                <c:pt idx="11">
                  <c:v>0.96456820859636827</c:v>
                </c:pt>
                <c:pt idx="12">
                  <c:v>0.96456820859636827</c:v>
                </c:pt>
                <c:pt idx="13">
                  <c:v>0.96456820859636827</c:v>
                </c:pt>
                <c:pt idx="14">
                  <c:v>0.96456820859636827</c:v>
                </c:pt>
                <c:pt idx="15">
                  <c:v>0.97026583178807768</c:v>
                </c:pt>
                <c:pt idx="16">
                  <c:v>0.97026583178807768</c:v>
                </c:pt>
                <c:pt idx="17">
                  <c:v>0.97026583178807768</c:v>
                </c:pt>
                <c:pt idx="18">
                  <c:v>0.97026583178807768</c:v>
                </c:pt>
                <c:pt idx="19">
                  <c:v>0.97026583178807768</c:v>
                </c:pt>
                <c:pt idx="20">
                  <c:v>0.97026583178807768</c:v>
                </c:pt>
                <c:pt idx="21">
                  <c:v>0.97026583178807768</c:v>
                </c:pt>
                <c:pt idx="22">
                  <c:v>0.97026583178807768</c:v>
                </c:pt>
              </c:numCache>
            </c:numRef>
          </c:bubbleSize>
          <c:bubble3D val="0"/>
          <c:extLst>
            <c:ext xmlns:c16="http://schemas.microsoft.com/office/drawing/2014/chart" uri="{C3380CC4-5D6E-409C-BE32-E72D297353CC}">
              <c16:uniqueId val="{00000002-8BC8-F542-BA71-4676EEF883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bubbleScale val="13"/>
        <c:showNegBubbles val="0"/>
        <c:sizeRepresents val="w"/>
        <c:axId val="1377238352"/>
        <c:axId val="1376886720"/>
      </c:bubbleChart>
      <c:valAx>
        <c:axId val="1377238352"/>
        <c:scaling>
          <c:orientation val="minMax"/>
          <c:max val="500"/>
          <c:min val="0"/>
        </c:scaling>
        <c:delete val="0"/>
        <c:axPos val="b"/>
        <c:majorGridlines>
          <c:spPr>
            <a:ln w="6350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ot"/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600" b="1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de-DE" sz="1600" b="1"/>
                  <a:t>EP </a:t>
                </a:r>
                <a:r>
                  <a:rPr lang="de-DE" sz="1600" b="0"/>
                  <a:t>[W]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600" b="1" i="0" u="none" strike="noStrike" kern="1200" baseline="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de-DE"/>
            </a:p>
          </c:txPr>
        </c:title>
        <c:numFmt formatCode="0" sourceLinked="0"/>
        <c:majorTickMark val="out"/>
        <c:minorTickMark val="in"/>
        <c:tickLblPos val="nextTo"/>
        <c:spPr>
          <a:noFill/>
          <a:ln w="63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de-DE"/>
          </a:p>
        </c:txPr>
        <c:crossAx val="1376886720"/>
        <c:crosses val="autoZero"/>
        <c:crossBetween val="midCat"/>
        <c:majorUnit val="50"/>
        <c:minorUnit val="10"/>
      </c:valAx>
      <c:valAx>
        <c:axId val="1376886720"/>
        <c:scaling>
          <c:orientation val="minMax"/>
          <c:max val="500"/>
          <c:min val="0"/>
        </c:scaling>
        <c:delete val="0"/>
        <c:axPos val="l"/>
        <c:majorGridlines>
          <c:spPr>
            <a:ln w="6350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ot"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600" b="1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de-DE" sz="1600" b="1"/>
                  <a:t>CP </a:t>
                </a:r>
                <a:r>
                  <a:rPr lang="de-DE" sz="1600" b="0"/>
                  <a:t>[W]</a:t>
                </a:r>
              </a:p>
            </c:rich>
          </c:tx>
          <c:layout>
            <c:manualLayout>
              <c:xMode val="edge"/>
              <c:yMode val="edge"/>
              <c:x val="1.322090360191547E-2"/>
              <c:y val="0.372773214285714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600" b="1" i="0" u="none" strike="noStrike" kern="1200" baseline="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de-DE"/>
            </a:p>
          </c:txPr>
        </c:title>
        <c:numFmt formatCode="0" sourceLinked="0"/>
        <c:majorTickMark val="out"/>
        <c:minorTickMark val="in"/>
        <c:tickLblPos val="nextTo"/>
        <c:spPr>
          <a:noFill/>
          <a:ln w="63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de-DE"/>
          </a:p>
        </c:txPr>
        <c:crossAx val="1377238352"/>
        <c:crosses val="autoZero"/>
        <c:crossBetween val="midCat"/>
        <c:minorUnit val="10"/>
      </c:valAx>
      <c:spPr>
        <a:solidFill>
          <a:schemeClr val="bg1"/>
        </a:solidFill>
        <a:ln>
          <a:noFill/>
        </a:ln>
        <a:effectLst/>
      </c:spPr>
    </c:plotArea>
    <c:legend>
      <c:legendPos val="r"/>
      <c:legendEntry>
        <c:idx val="0"/>
        <c:delete val="1"/>
      </c:legendEntry>
      <c:legendEntry>
        <c:idx val="1"/>
        <c:delete val="1"/>
      </c:legendEntry>
      <c:legendEntry>
        <c:idx val="11"/>
        <c:delete val="1"/>
      </c:legendEntry>
      <c:legendEntry>
        <c:idx val="12"/>
        <c:delete val="1"/>
      </c:legendEntry>
      <c:layout>
        <c:manualLayout>
          <c:xMode val="edge"/>
          <c:yMode val="edge"/>
          <c:x val="0.1447722600567547"/>
          <c:y val="3.3051162954035235E-2"/>
          <c:w val="0.25946111285885215"/>
          <c:h val="0.38284682163520484"/>
        </c:manualLayout>
      </c:layout>
      <c:overlay val="0"/>
      <c:spPr>
        <a:solidFill>
          <a:schemeClr val="bg1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de-D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>
          <a:solidFill>
            <a:schemeClr val="tx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de-DE"/>
    </a:p>
  </c:txPr>
  <c:printSettings>
    <c:headerFooter/>
    <c:pageMargins b="0.78740157499999996" l="0.7" r="0.7" t="0.78740157499999996" header="0.3" footer="0.3"/>
    <c:pageSetup/>
  </c:printSettings>
  <c:userShapes r:id="rId3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4156308557151781"/>
          <c:y val="2.9482142857142856E-2"/>
          <c:w val="0.81213616489693941"/>
          <c:h val="0.85576428571428576"/>
        </c:manualLayout>
      </c:layout>
      <c:scatterChart>
        <c:scatterStyle val="lineMarker"/>
        <c:varyColors val="0"/>
        <c:ser>
          <c:idx val="0"/>
          <c:order val="0"/>
          <c:tx>
            <c:v>all</c:v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xVal>
            <c:numRef>
              <c:f>data!$K$2:$K$160</c:f>
              <c:numCache>
                <c:formatCode>0.0</c:formatCode>
                <c:ptCount val="159"/>
                <c:pt idx="0">
                  <c:v>175</c:v>
                </c:pt>
                <c:pt idx="1">
                  <c:v>286.5</c:v>
                </c:pt>
                <c:pt idx="2">
                  <c:v>331</c:v>
                </c:pt>
                <c:pt idx="3">
                  <c:v>349</c:v>
                </c:pt>
                <c:pt idx="4">
                  <c:v>249.5</c:v>
                </c:pt>
                <c:pt idx="5">
                  <c:v>256.5</c:v>
                </c:pt>
                <c:pt idx="6">
                  <c:v>316.5</c:v>
                </c:pt>
                <c:pt idx="7">
                  <c:v>334</c:v>
                </c:pt>
                <c:pt idx="8">
                  <c:v>331.5</c:v>
                </c:pt>
                <c:pt idx="9">
                  <c:v>241</c:v>
                </c:pt>
                <c:pt idx="10">
                  <c:v>174.5</c:v>
                </c:pt>
                <c:pt idx="11">
                  <c:v>291</c:v>
                </c:pt>
                <c:pt idx="12">
                  <c:v>334</c:v>
                </c:pt>
                <c:pt idx="13">
                  <c:v>349</c:v>
                </c:pt>
                <c:pt idx="14">
                  <c:v>248.5</c:v>
                </c:pt>
                <c:pt idx="15">
                  <c:v>258</c:v>
                </c:pt>
                <c:pt idx="16">
                  <c:v>318</c:v>
                </c:pt>
                <c:pt idx="17">
                  <c:v>333</c:v>
                </c:pt>
                <c:pt idx="18">
                  <c:v>332</c:v>
                </c:pt>
                <c:pt idx="19">
                  <c:v>243.5</c:v>
                </c:pt>
                <c:pt idx="20">
                  <c:v>150</c:v>
                </c:pt>
                <c:pt idx="21">
                  <c:v>133</c:v>
                </c:pt>
                <c:pt idx="22">
                  <c:v>146.5</c:v>
                </c:pt>
                <c:pt idx="23">
                  <c:v>109.5</c:v>
                </c:pt>
                <c:pt idx="24">
                  <c:v>116.5</c:v>
                </c:pt>
                <c:pt idx="25">
                  <c:v>176</c:v>
                </c:pt>
                <c:pt idx="26">
                  <c:v>162</c:v>
                </c:pt>
                <c:pt idx="27">
                  <c:v>176</c:v>
                </c:pt>
                <c:pt idx="28">
                  <c:v>204</c:v>
                </c:pt>
                <c:pt idx="29">
                  <c:v>223.5</c:v>
                </c:pt>
                <c:pt idx="30">
                  <c:v>238</c:v>
                </c:pt>
                <c:pt idx="31">
                  <c:v>246</c:v>
                </c:pt>
                <c:pt idx="32">
                  <c:v>251</c:v>
                </c:pt>
                <c:pt idx="33">
                  <c:v>263</c:v>
                </c:pt>
                <c:pt idx="34">
                  <c:v>277.5</c:v>
                </c:pt>
                <c:pt idx="35">
                  <c:v>281</c:v>
                </c:pt>
                <c:pt idx="36">
                  <c:v>286.5</c:v>
                </c:pt>
                <c:pt idx="37">
                  <c:v>289</c:v>
                </c:pt>
                <c:pt idx="38">
                  <c:v>296.5</c:v>
                </c:pt>
                <c:pt idx="39">
                  <c:v>329.5</c:v>
                </c:pt>
                <c:pt idx="40">
                  <c:v>343</c:v>
                </c:pt>
                <c:pt idx="41">
                  <c:v>206.5</c:v>
                </c:pt>
                <c:pt idx="42">
                  <c:v>224</c:v>
                </c:pt>
                <c:pt idx="43">
                  <c:v>245</c:v>
                </c:pt>
                <c:pt idx="44">
                  <c:v>253.5</c:v>
                </c:pt>
                <c:pt idx="45">
                  <c:v>257.5</c:v>
                </c:pt>
                <c:pt idx="46">
                  <c:v>265.5</c:v>
                </c:pt>
                <c:pt idx="47">
                  <c:v>277.5</c:v>
                </c:pt>
                <c:pt idx="48">
                  <c:v>286.5</c:v>
                </c:pt>
                <c:pt idx="49">
                  <c:v>285</c:v>
                </c:pt>
                <c:pt idx="50">
                  <c:v>289.5</c:v>
                </c:pt>
                <c:pt idx="51">
                  <c:v>295.5</c:v>
                </c:pt>
                <c:pt idx="52">
                  <c:v>330.5</c:v>
                </c:pt>
                <c:pt idx="53">
                  <c:v>345</c:v>
                </c:pt>
                <c:pt idx="54">
                  <c:v>298</c:v>
                </c:pt>
                <c:pt idx="55">
                  <c:v>191.5</c:v>
                </c:pt>
                <c:pt idx="56">
                  <c:v>235.5</c:v>
                </c:pt>
                <c:pt idx="57">
                  <c:v>156.5</c:v>
                </c:pt>
                <c:pt idx="58">
                  <c:v>155</c:v>
                </c:pt>
                <c:pt idx="59">
                  <c:v>205</c:v>
                </c:pt>
                <c:pt idx="60">
                  <c:v>239</c:v>
                </c:pt>
                <c:pt idx="61">
                  <c:v>252</c:v>
                </c:pt>
                <c:pt idx="62">
                  <c:v>241.5</c:v>
                </c:pt>
                <c:pt idx="63">
                  <c:v>306</c:v>
                </c:pt>
                <c:pt idx="64">
                  <c:v>206.5</c:v>
                </c:pt>
                <c:pt idx="65">
                  <c:v>262</c:v>
                </c:pt>
                <c:pt idx="66">
                  <c:v>200</c:v>
                </c:pt>
                <c:pt idx="67">
                  <c:v>232.5</c:v>
                </c:pt>
                <c:pt idx="68">
                  <c:v>297.5</c:v>
                </c:pt>
                <c:pt idx="69">
                  <c:v>257</c:v>
                </c:pt>
                <c:pt idx="70">
                  <c:v>276</c:v>
                </c:pt>
                <c:pt idx="71">
                  <c:v>227.5</c:v>
                </c:pt>
                <c:pt idx="72">
                  <c:v>222.5</c:v>
                </c:pt>
                <c:pt idx="73">
                  <c:v>198</c:v>
                </c:pt>
                <c:pt idx="74">
                  <c:v>291.5</c:v>
                </c:pt>
                <c:pt idx="75">
                  <c:v>228.5</c:v>
                </c:pt>
                <c:pt idx="76">
                  <c:v>194</c:v>
                </c:pt>
                <c:pt idx="77">
                  <c:v>178.5</c:v>
                </c:pt>
                <c:pt idx="78">
                  <c:v>166</c:v>
                </c:pt>
                <c:pt idx="79">
                  <c:v>188.5</c:v>
                </c:pt>
                <c:pt idx="80">
                  <c:v>209</c:v>
                </c:pt>
                <c:pt idx="81">
                  <c:v>257</c:v>
                </c:pt>
                <c:pt idx="82">
                  <c:v>224</c:v>
                </c:pt>
                <c:pt idx="83">
                  <c:v>199.5</c:v>
                </c:pt>
                <c:pt idx="84">
                  <c:v>292</c:v>
                </c:pt>
                <c:pt idx="85">
                  <c:v>228.5</c:v>
                </c:pt>
                <c:pt idx="86">
                  <c:v>194.5</c:v>
                </c:pt>
                <c:pt idx="87">
                  <c:v>178.5</c:v>
                </c:pt>
                <c:pt idx="88">
                  <c:v>167</c:v>
                </c:pt>
                <c:pt idx="89">
                  <c:v>188.5</c:v>
                </c:pt>
                <c:pt idx="90">
                  <c:v>208</c:v>
                </c:pt>
                <c:pt idx="91">
                  <c:v>258</c:v>
                </c:pt>
                <c:pt idx="92">
                  <c:v>349.5</c:v>
                </c:pt>
                <c:pt idx="93">
                  <c:v>375.5</c:v>
                </c:pt>
                <c:pt idx="94">
                  <c:v>387.5</c:v>
                </c:pt>
                <c:pt idx="95">
                  <c:v>377</c:v>
                </c:pt>
                <c:pt idx="96">
                  <c:v>339</c:v>
                </c:pt>
                <c:pt idx="97">
                  <c:v>429.5</c:v>
                </c:pt>
                <c:pt idx="98">
                  <c:v>205.2</c:v>
                </c:pt>
                <c:pt idx="99">
                  <c:v>230.59999999999997</c:v>
                </c:pt>
                <c:pt idx="100">
                  <c:v>224.7</c:v>
                </c:pt>
                <c:pt idx="101">
                  <c:v>219.09999999999997</c:v>
                </c:pt>
                <c:pt idx="102">
                  <c:v>231.5</c:v>
                </c:pt>
                <c:pt idx="103">
                  <c:v>229.5</c:v>
                </c:pt>
                <c:pt idx="104">
                  <c:v>238.1</c:v>
                </c:pt>
                <c:pt idx="105">
                  <c:v>278.10000000000002</c:v>
                </c:pt>
                <c:pt idx="106">
                  <c:v>263.3</c:v>
                </c:pt>
                <c:pt idx="107">
                  <c:v>269</c:v>
                </c:pt>
                <c:pt idx="108">
                  <c:v>268.60000000000002</c:v>
                </c:pt>
                <c:pt idx="109">
                  <c:v>260.19999999999993</c:v>
                </c:pt>
                <c:pt idx="110">
                  <c:v>209.7</c:v>
                </c:pt>
                <c:pt idx="111">
                  <c:v>224.7</c:v>
                </c:pt>
                <c:pt idx="112">
                  <c:v>229.5</c:v>
                </c:pt>
                <c:pt idx="113">
                  <c:v>231.9</c:v>
                </c:pt>
                <c:pt idx="114">
                  <c:v>242.7</c:v>
                </c:pt>
                <c:pt idx="115">
                  <c:v>252</c:v>
                </c:pt>
                <c:pt idx="116">
                  <c:v>264.89999999999998</c:v>
                </c:pt>
                <c:pt idx="117">
                  <c:v>282.2</c:v>
                </c:pt>
                <c:pt idx="118">
                  <c:v>298.39999999999998</c:v>
                </c:pt>
                <c:pt idx="119">
                  <c:v>289.39999999999998</c:v>
                </c:pt>
                <c:pt idx="120">
                  <c:v>287.8</c:v>
                </c:pt>
                <c:pt idx="121">
                  <c:v>305.39999999999998</c:v>
                </c:pt>
                <c:pt idx="122">
                  <c:v>170.85</c:v>
                </c:pt>
                <c:pt idx="123">
                  <c:v>213.7</c:v>
                </c:pt>
                <c:pt idx="124">
                  <c:v>216.45</c:v>
                </c:pt>
                <c:pt idx="125">
                  <c:v>218.3</c:v>
                </c:pt>
                <c:pt idx="126">
                  <c:v>230.15</c:v>
                </c:pt>
                <c:pt idx="127">
                  <c:v>248.6</c:v>
                </c:pt>
                <c:pt idx="128">
                  <c:v>258.54999999999995</c:v>
                </c:pt>
                <c:pt idx="129">
                  <c:v>269.64999999999998</c:v>
                </c:pt>
                <c:pt idx="130">
                  <c:v>267.39999999999998</c:v>
                </c:pt>
                <c:pt idx="131">
                  <c:v>270.05</c:v>
                </c:pt>
                <c:pt idx="132">
                  <c:v>279.05</c:v>
                </c:pt>
                <c:pt idx="133">
                  <c:v>280.55</c:v>
                </c:pt>
                <c:pt idx="134">
                  <c:v>327.79999999999995</c:v>
                </c:pt>
                <c:pt idx="135">
                  <c:v>340.2</c:v>
                </c:pt>
                <c:pt idx="136">
                  <c:v>137.15</c:v>
                </c:pt>
                <c:pt idx="137">
                  <c:v>174.64999999999998</c:v>
                </c:pt>
                <c:pt idx="138">
                  <c:v>174.85000000000002</c:v>
                </c:pt>
                <c:pt idx="139">
                  <c:v>194.2</c:v>
                </c:pt>
                <c:pt idx="140">
                  <c:v>191.75</c:v>
                </c:pt>
                <c:pt idx="141">
                  <c:v>212.75</c:v>
                </c:pt>
                <c:pt idx="142">
                  <c:v>225.65</c:v>
                </c:pt>
                <c:pt idx="143">
                  <c:v>234.05</c:v>
                </c:pt>
                <c:pt idx="144">
                  <c:v>224.95</c:v>
                </c:pt>
                <c:pt idx="145">
                  <c:v>235.3</c:v>
                </c:pt>
                <c:pt idx="146">
                  <c:v>263.85000000000002</c:v>
                </c:pt>
                <c:pt idx="147">
                  <c:v>267.35000000000002</c:v>
                </c:pt>
                <c:pt idx="148">
                  <c:v>268.25</c:v>
                </c:pt>
                <c:pt idx="149">
                  <c:v>273.75</c:v>
                </c:pt>
                <c:pt idx="150">
                  <c:v>278.5</c:v>
                </c:pt>
                <c:pt idx="151">
                  <c:v>227.95</c:v>
                </c:pt>
                <c:pt idx="152">
                  <c:v>153.19999999999999</c:v>
                </c:pt>
                <c:pt idx="153">
                  <c:v>144.55000000000001</c:v>
                </c:pt>
                <c:pt idx="154">
                  <c:v>135.44999999999999</c:v>
                </c:pt>
                <c:pt idx="155">
                  <c:v>120.05000000000001</c:v>
                </c:pt>
                <c:pt idx="156">
                  <c:v>112.35</c:v>
                </c:pt>
                <c:pt idx="157">
                  <c:v>111</c:v>
                </c:pt>
                <c:pt idx="158">
                  <c:v>96.5</c:v>
                </c:pt>
              </c:numCache>
            </c:numRef>
          </c:xVal>
          <c:yVal>
            <c:numRef>
              <c:f>data!$G$2:$G$1360</c:f>
              <c:numCache>
                <c:formatCode>0.0</c:formatCode>
                <c:ptCount val="1359"/>
                <c:pt idx="0">
                  <c:v>-4</c:v>
                </c:pt>
                <c:pt idx="1">
                  <c:v>-1</c:v>
                </c:pt>
                <c:pt idx="2">
                  <c:v>-12</c:v>
                </c:pt>
                <c:pt idx="3">
                  <c:v>4</c:v>
                </c:pt>
                <c:pt idx="4">
                  <c:v>5</c:v>
                </c:pt>
                <c:pt idx="5">
                  <c:v>11</c:v>
                </c:pt>
                <c:pt idx="6">
                  <c:v>-1</c:v>
                </c:pt>
                <c:pt idx="7">
                  <c:v>0</c:v>
                </c:pt>
                <c:pt idx="8">
                  <c:v>-3</c:v>
                </c:pt>
                <c:pt idx="9">
                  <c:v>-2</c:v>
                </c:pt>
                <c:pt idx="10">
                  <c:v>-3</c:v>
                </c:pt>
                <c:pt idx="11">
                  <c:v>-10</c:v>
                </c:pt>
                <c:pt idx="12">
                  <c:v>-18</c:v>
                </c:pt>
                <c:pt idx="13">
                  <c:v>4</c:v>
                </c:pt>
                <c:pt idx="14">
                  <c:v>7</c:v>
                </c:pt>
                <c:pt idx="15">
                  <c:v>8</c:v>
                </c:pt>
                <c:pt idx="16">
                  <c:v>-4</c:v>
                </c:pt>
                <c:pt idx="17">
                  <c:v>2</c:v>
                </c:pt>
                <c:pt idx="18">
                  <c:v>-4</c:v>
                </c:pt>
                <c:pt idx="19">
                  <c:v>-7</c:v>
                </c:pt>
                <c:pt idx="20">
                  <c:v>-60</c:v>
                </c:pt>
                <c:pt idx="21">
                  <c:v>26</c:v>
                </c:pt>
                <c:pt idx="22">
                  <c:v>-11</c:v>
                </c:pt>
                <c:pt idx="23">
                  <c:v>11</c:v>
                </c:pt>
                <c:pt idx="24">
                  <c:v>-9</c:v>
                </c:pt>
                <c:pt idx="25">
                  <c:v>10</c:v>
                </c:pt>
                <c:pt idx="26">
                  <c:v>4</c:v>
                </c:pt>
                <c:pt idx="27">
                  <c:v>32</c:v>
                </c:pt>
                <c:pt idx="28">
                  <c:v>40</c:v>
                </c:pt>
                <c:pt idx="29">
                  <c:v>37</c:v>
                </c:pt>
                <c:pt idx="30">
                  <c:v>74</c:v>
                </c:pt>
                <c:pt idx="31">
                  <c:v>44</c:v>
                </c:pt>
                <c:pt idx="32">
                  <c:v>22</c:v>
                </c:pt>
                <c:pt idx="33">
                  <c:v>24</c:v>
                </c:pt>
                <c:pt idx="34">
                  <c:v>33</c:v>
                </c:pt>
                <c:pt idx="35">
                  <c:v>26</c:v>
                </c:pt>
                <c:pt idx="36">
                  <c:v>35</c:v>
                </c:pt>
                <c:pt idx="37">
                  <c:v>16</c:v>
                </c:pt>
                <c:pt idx="38">
                  <c:v>3</c:v>
                </c:pt>
                <c:pt idx="39">
                  <c:v>59</c:v>
                </c:pt>
                <c:pt idx="40">
                  <c:v>60</c:v>
                </c:pt>
                <c:pt idx="41">
                  <c:v>33</c:v>
                </c:pt>
                <c:pt idx="42">
                  <c:v>34</c:v>
                </c:pt>
                <c:pt idx="43">
                  <c:v>58</c:v>
                </c:pt>
                <c:pt idx="44">
                  <c:v>27</c:v>
                </c:pt>
                <c:pt idx="45">
                  <c:v>7</c:v>
                </c:pt>
                <c:pt idx="46">
                  <c:v>17</c:v>
                </c:pt>
                <c:pt idx="47">
                  <c:v>31</c:v>
                </c:pt>
                <c:pt idx="48">
                  <c:v>33</c:v>
                </c:pt>
                <c:pt idx="49">
                  <c:v>16</c:v>
                </c:pt>
                <c:pt idx="50">
                  <c:v>13</c:v>
                </c:pt>
                <c:pt idx="51">
                  <c:v>5</c:v>
                </c:pt>
                <c:pt idx="52">
                  <c:v>57</c:v>
                </c:pt>
                <c:pt idx="53">
                  <c:v>54</c:v>
                </c:pt>
                <c:pt idx="54">
                  <c:v>18</c:v>
                </c:pt>
                <c:pt idx="55">
                  <c:v>-19</c:v>
                </c:pt>
                <c:pt idx="56">
                  <c:v>27</c:v>
                </c:pt>
                <c:pt idx="57">
                  <c:v>-3</c:v>
                </c:pt>
                <c:pt idx="58">
                  <c:v>0</c:v>
                </c:pt>
                <c:pt idx="59">
                  <c:v>-46</c:v>
                </c:pt>
                <c:pt idx="60">
                  <c:v>66</c:v>
                </c:pt>
                <c:pt idx="61">
                  <c:v>-12</c:v>
                </c:pt>
                <c:pt idx="62">
                  <c:v>109</c:v>
                </c:pt>
                <c:pt idx="63">
                  <c:v>-4</c:v>
                </c:pt>
                <c:pt idx="64">
                  <c:v>17</c:v>
                </c:pt>
                <c:pt idx="65">
                  <c:v>4</c:v>
                </c:pt>
                <c:pt idx="66">
                  <c:v>-24</c:v>
                </c:pt>
                <c:pt idx="67">
                  <c:v>15</c:v>
                </c:pt>
                <c:pt idx="68">
                  <c:v>27</c:v>
                </c:pt>
                <c:pt idx="69">
                  <c:v>32</c:v>
                </c:pt>
                <c:pt idx="70">
                  <c:v>14</c:v>
                </c:pt>
                <c:pt idx="71">
                  <c:v>49</c:v>
                </c:pt>
                <c:pt idx="72">
                  <c:v>-5</c:v>
                </c:pt>
                <c:pt idx="73">
                  <c:v>-6</c:v>
                </c:pt>
                <c:pt idx="74">
                  <c:v>11</c:v>
                </c:pt>
                <c:pt idx="75">
                  <c:v>23</c:v>
                </c:pt>
                <c:pt idx="76">
                  <c:v>-2</c:v>
                </c:pt>
                <c:pt idx="77">
                  <c:v>1</c:v>
                </c:pt>
                <c:pt idx="78">
                  <c:v>-4</c:v>
                </c:pt>
                <c:pt idx="79">
                  <c:v>-1</c:v>
                </c:pt>
                <c:pt idx="80">
                  <c:v>0</c:v>
                </c:pt>
                <c:pt idx="81">
                  <c:v>6</c:v>
                </c:pt>
                <c:pt idx="82">
                  <c:v>-8</c:v>
                </c:pt>
                <c:pt idx="83">
                  <c:v>-9</c:v>
                </c:pt>
                <c:pt idx="84">
                  <c:v>10</c:v>
                </c:pt>
                <c:pt idx="85">
                  <c:v>23</c:v>
                </c:pt>
                <c:pt idx="86">
                  <c:v>-3</c:v>
                </c:pt>
                <c:pt idx="87">
                  <c:v>1</c:v>
                </c:pt>
                <c:pt idx="88">
                  <c:v>-6</c:v>
                </c:pt>
                <c:pt idx="89">
                  <c:v>-1</c:v>
                </c:pt>
                <c:pt idx="90">
                  <c:v>2</c:v>
                </c:pt>
                <c:pt idx="91">
                  <c:v>4</c:v>
                </c:pt>
                <c:pt idx="92">
                  <c:v>51</c:v>
                </c:pt>
                <c:pt idx="93">
                  <c:v>9</c:v>
                </c:pt>
                <c:pt idx="94">
                  <c:v>61</c:v>
                </c:pt>
                <c:pt idx="95">
                  <c:v>68</c:v>
                </c:pt>
                <c:pt idx="96">
                  <c:v>52</c:v>
                </c:pt>
                <c:pt idx="97">
                  <c:v>69</c:v>
                </c:pt>
                <c:pt idx="98">
                  <c:v>20.400000000000006</c:v>
                </c:pt>
                <c:pt idx="99">
                  <c:v>11.900000000000006</c:v>
                </c:pt>
                <c:pt idx="100">
                  <c:v>3.6999999999999886</c:v>
                </c:pt>
                <c:pt idx="101">
                  <c:v>-10.099999999999994</c:v>
                </c:pt>
                <c:pt idx="102">
                  <c:v>-17</c:v>
                </c:pt>
                <c:pt idx="103">
                  <c:v>-30.099999999999994</c:v>
                </c:pt>
                <c:pt idx="104">
                  <c:v>-10</c:v>
                </c:pt>
                <c:pt idx="105">
                  <c:v>-21.199999999999989</c:v>
                </c:pt>
                <c:pt idx="106">
                  <c:v>-8</c:v>
                </c:pt>
                <c:pt idx="107">
                  <c:v>-5</c:v>
                </c:pt>
                <c:pt idx="108">
                  <c:v>3</c:v>
                </c:pt>
                <c:pt idx="109">
                  <c:v>13.800000000000011</c:v>
                </c:pt>
                <c:pt idx="110">
                  <c:v>29.800000000000011</c:v>
                </c:pt>
                <c:pt idx="111">
                  <c:v>4.3000000000000114</c:v>
                </c:pt>
                <c:pt idx="112">
                  <c:v>10.400000000000006</c:v>
                </c:pt>
                <c:pt idx="113">
                  <c:v>16</c:v>
                </c:pt>
                <c:pt idx="114">
                  <c:v>8.5</c:v>
                </c:pt>
                <c:pt idx="115">
                  <c:v>15.599999999999994</c:v>
                </c:pt>
                <c:pt idx="116">
                  <c:v>43.900000000000006</c:v>
                </c:pt>
                <c:pt idx="117">
                  <c:v>21.899999999999977</c:v>
                </c:pt>
                <c:pt idx="118">
                  <c:v>20</c:v>
                </c:pt>
                <c:pt idx="119">
                  <c:v>44.899999999999977</c:v>
                </c:pt>
                <c:pt idx="120">
                  <c:v>69.599999999999994</c:v>
                </c:pt>
                <c:pt idx="121">
                  <c:v>77</c:v>
                </c:pt>
                <c:pt idx="122">
                  <c:v>-34.699999999999989</c:v>
                </c:pt>
                <c:pt idx="123">
                  <c:v>-3</c:v>
                </c:pt>
                <c:pt idx="124">
                  <c:v>-9.9999999999994316E-2</c:v>
                </c:pt>
                <c:pt idx="125">
                  <c:v>-19.200000000000017</c:v>
                </c:pt>
                <c:pt idx="126">
                  <c:v>-21.300000000000011</c:v>
                </c:pt>
                <c:pt idx="127">
                  <c:v>0.19999999999998863</c:v>
                </c:pt>
                <c:pt idx="128">
                  <c:v>9.6999999999999886</c:v>
                </c:pt>
                <c:pt idx="129">
                  <c:v>-11.5</c:v>
                </c:pt>
                <c:pt idx="130">
                  <c:v>27.400000000000034</c:v>
                </c:pt>
                <c:pt idx="131">
                  <c:v>32.900000000000006</c:v>
                </c:pt>
                <c:pt idx="132">
                  <c:v>35.5</c:v>
                </c:pt>
                <c:pt idx="133">
                  <c:v>25.5</c:v>
                </c:pt>
                <c:pt idx="134">
                  <c:v>-18.199999999999989</c:v>
                </c:pt>
                <c:pt idx="135">
                  <c:v>19.399999999999977</c:v>
                </c:pt>
                <c:pt idx="136">
                  <c:v>1.3000000000000114</c:v>
                </c:pt>
                <c:pt idx="137">
                  <c:v>4.9000000000000057</c:v>
                </c:pt>
                <c:pt idx="138">
                  <c:v>-1.0999999999999943</c:v>
                </c:pt>
                <c:pt idx="139">
                  <c:v>8</c:v>
                </c:pt>
                <c:pt idx="140">
                  <c:v>-3.6999999999999886</c:v>
                </c:pt>
                <c:pt idx="141">
                  <c:v>-5.6999999999999886</c:v>
                </c:pt>
                <c:pt idx="142">
                  <c:v>-18.699999999999989</c:v>
                </c:pt>
                <c:pt idx="143">
                  <c:v>-10.700000000000017</c:v>
                </c:pt>
                <c:pt idx="144">
                  <c:v>6.0999999999999943</c:v>
                </c:pt>
                <c:pt idx="145">
                  <c:v>22.200000000000017</c:v>
                </c:pt>
                <c:pt idx="146">
                  <c:v>25.699999999999989</c:v>
                </c:pt>
                <c:pt idx="147">
                  <c:v>21.900000000000034</c:v>
                </c:pt>
                <c:pt idx="148">
                  <c:v>21.5</c:v>
                </c:pt>
                <c:pt idx="149">
                  <c:v>9.2999999999999545</c:v>
                </c:pt>
                <c:pt idx="150">
                  <c:v>10.600000000000023</c:v>
                </c:pt>
                <c:pt idx="151">
                  <c:v>-14.099999999999994</c:v>
                </c:pt>
                <c:pt idx="152">
                  <c:v>-2</c:v>
                </c:pt>
                <c:pt idx="153">
                  <c:v>16.700000000000017</c:v>
                </c:pt>
                <c:pt idx="154">
                  <c:v>-6.7000000000000171</c:v>
                </c:pt>
                <c:pt idx="155">
                  <c:v>-17.700000000000003</c:v>
                </c:pt>
                <c:pt idx="156">
                  <c:v>-4.8999999999999915</c:v>
                </c:pt>
                <c:pt idx="157">
                  <c:v>-0.80000000000001137</c:v>
                </c:pt>
                <c:pt idx="158">
                  <c:v>-3</c:v>
                </c:pt>
                <c:pt idx="161">
                  <c:v>60.509587256341497</c:v>
                </c:pt>
                <c:pt idx="162">
                  <c:v>11.723270440251575</c:v>
                </c:pt>
                <c:pt idx="163">
                  <c:v>-37.063046375838347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AAC2-E14C-9754-170306D39DCE}"/>
            </c:ext>
          </c:extLst>
        </c:ser>
        <c:ser>
          <c:idx val="2"/>
          <c:order val="1"/>
          <c:tx>
            <c:strRef>
              <c:f>data!$A$2</c:f>
              <c:strCache>
                <c:ptCount val="1"/>
                <c:pt idx="0">
                  <c:v>Vanhatalo et al. (2007)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8"/>
            <c:spPr>
              <a:solidFill>
                <a:srgbClr val="C00000">
                  <a:alpha val="40000"/>
                </a:srgbClr>
              </a:solidFill>
              <a:ln w="6350">
                <a:solidFill>
                  <a:schemeClr val="tx1">
                    <a:alpha val="40000"/>
                  </a:schemeClr>
                </a:solidFill>
              </a:ln>
              <a:effectLst/>
            </c:spPr>
          </c:marker>
          <c:xVal>
            <c:numRef>
              <c:f>data!$K$2:$K$21</c:f>
              <c:numCache>
                <c:formatCode>0.0</c:formatCode>
                <c:ptCount val="20"/>
                <c:pt idx="0">
                  <c:v>175</c:v>
                </c:pt>
                <c:pt idx="1">
                  <c:v>286.5</c:v>
                </c:pt>
                <c:pt idx="2">
                  <c:v>331</c:v>
                </c:pt>
                <c:pt idx="3">
                  <c:v>349</c:v>
                </c:pt>
                <c:pt idx="4">
                  <c:v>249.5</c:v>
                </c:pt>
                <c:pt idx="5">
                  <c:v>256.5</c:v>
                </c:pt>
                <c:pt idx="6">
                  <c:v>316.5</c:v>
                </c:pt>
                <c:pt idx="7">
                  <c:v>334</c:v>
                </c:pt>
                <c:pt idx="8">
                  <c:v>331.5</c:v>
                </c:pt>
                <c:pt idx="9">
                  <c:v>241</c:v>
                </c:pt>
                <c:pt idx="10">
                  <c:v>174.5</c:v>
                </c:pt>
                <c:pt idx="11">
                  <c:v>291</c:v>
                </c:pt>
                <c:pt idx="12">
                  <c:v>334</c:v>
                </c:pt>
                <c:pt idx="13">
                  <c:v>349</c:v>
                </c:pt>
                <c:pt idx="14">
                  <c:v>248.5</c:v>
                </c:pt>
                <c:pt idx="15">
                  <c:v>258</c:v>
                </c:pt>
                <c:pt idx="16">
                  <c:v>318</c:v>
                </c:pt>
                <c:pt idx="17">
                  <c:v>333</c:v>
                </c:pt>
                <c:pt idx="18">
                  <c:v>332</c:v>
                </c:pt>
                <c:pt idx="19">
                  <c:v>243.5</c:v>
                </c:pt>
              </c:numCache>
            </c:numRef>
          </c:xVal>
          <c:yVal>
            <c:numRef>
              <c:f>data!$G$2:$G$21</c:f>
              <c:numCache>
                <c:formatCode>0.0</c:formatCode>
                <c:ptCount val="20"/>
                <c:pt idx="0">
                  <c:v>-4</c:v>
                </c:pt>
                <c:pt idx="1">
                  <c:v>-1</c:v>
                </c:pt>
                <c:pt idx="2">
                  <c:v>-12</c:v>
                </c:pt>
                <c:pt idx="3">
                  <c:v>4</c:v>
                </c:pt>
                <c:pt idx="4">
                  <c:v>5</c:v>
                </c:pt>
                <c:pt idx="5">
                  <c:v>11</c:v>
                </c:pt>
                <c:pt idx="6">
                  <c:v>-1</c:v>
                </c:pt>
                <c:pt idx="7">
                  <c:v>0</c:v>
                </c:pt>
                <c:pt idx="8">
                  <c:v>-3</c:v>
                </c:pt>
                <c:pt idx="9">
                  <c:v>-2</c:v>
                </c:pt>
                <c:pt idx="10">
                  <c:v>-3</c:v>
                </c:pt>
                <c:pt idx="11">
                  <c:v>-10</c:v>
                </c:pt>
                <c:pt idx="12">
                  <c:v>-18</c:v>
                </c:pt>
                <c:pt idx="13">
                  <c:v>4</c:v>
                </c:pt>
                <c:pt idx="14">
                  <c:v>7</c:v>
                </c:pt>
                <c:pt idx="15">
                  <c:v>8</c:v>
                </c:pt>
                <c:pt idx="16">
                  <c:v>-4</c:v>
                </c:pt>
                <c:pt idx="17">
                  <c:v>2</c:v>
                </c:pt>
                <c:pt idx="18">
                  <c:v>-4</c:v>
                </c:pt>
                <c:pt idx="19">
                  <c:v>-7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AAC2-E14C-9754-170306D39DCE}"/>
            </c:ext>
          </c:extLst>
        </c:ser>
        <c:ser>
          <c:idx val="3"/>
          <c:order val="2"/>
          <c:tx>
            <c:strRef>
              <c:f>data!$A$22</c:f>
              <c:strCache>
                <c:ptCount val="1"/>
                <c:pt idx="0">
                  <c:v>Barker et al. (2011)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8"/>
            <c:spPr>
              <a:solidFill>
                <a:srgbClr val="FF0000">
                  <a:alpha val="40000"/>
                </a:srgbClr>
              </a:solidFill>
              <a:ln w="6350">
                <a:solidFill>
                  <a:schemeClr val="tx1">
                    <a:alpha val="40000"/>
                  </a:schemeClr>
                </a:solidFill>
              </a:ln>
              <a:effectLst/>
            </c:spPr>
          </c:marker>
          <c:xVal>
            <c:numRef>
              <c:f>data!$K$22:$K$29</c:f>
              <c:numCache>
                <c:formatCode>0.0</c:formatCode>
                <c:ptCount val="8"/>
                <c:pt idx="0">
                  <c:v>150</c:v>
                </c:pt>
                <c:pt idx="1">
                  <c:v>133</c:v>
                </c:pt>
                <c:pt idx="2">
                  <c:v>146.5</c:v>
                </c:pt>
                <c:pt idx="3">
                  <c:v>109.5</c:v>
                </c:pt>
                <c:pt idx="4">
                  <c:v>116.5</c:v>
                </c:pt>
                <c:pt idx="5">
                  <c:v>176</c:v>
                </c:pt>
                <c:pt idx="6">
                  <c:v>162</c:v>
                </c:pt>
                <c:pt idx="7">
                  <c:v>176</c:v>
                </c:pt>
              </c:numCache>
            </c:numRef>
          </c:xVal>
          <c:yVal>
            <c:numRef>
              <c:f>data!$G$22:$G$29</c:f>
              <c:numCache>
                <c:formatCode>0.0</c:formatCode>
                <c:ptCount val="8"/>
                <c:pt idx="0">
                  <c:v>-60</c:v>
                </c:pt>
                <c:pt idx="1">
                  <c:v>26</c:v>
                </c:pt>
                <c:pt idx="2">
                  <c:v>-11</c:v>
                </c:pt>
                <c:pt idx="3">
                  <c:v>11</c:v>
                </c:pt>
                <c:pt idx="4">
                  <c:v>-9</c:v>
                </c:pt>
                <c:pt idx="5">
                  <c:v>10</c:v>
                </c:pt>
                <c:pt idx="6">
                  <c:v>4</c:v>
                </c:pt>
                <c:pt idx="7">
                  <c:v>32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AAC2-E14C-9754-170306D39DCE}"/>
            </c:ext>
          </c:extLst>
        </c:ser>
        <c:ser>
          <c:idx val="4"/>
          <c:order val="3"/>
          <c:tx>
            <c:strRef>
              <c:f>data!$A$30</c:f>
              <c:strCache>
                <c:ptCount val="1"/>
                <c:pt idx="0">
                  <c:v>Karsten et al. (2013)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8"/>
            <c:spPr>
              <a:solidFill>
                <a:srgbClr val="FFC000">
                  <a:alpha val="40000"/>
                </a:srgbClr>
              </a:solidFill>
              <a:ln w="6350">
                <a:solidFill>
                  <a:schemeClr val="tx1">
                    <a:alpha val="40000"/>
                  </a:schemeClr>
                </a:solidFill>
              </a:ln>
              <a:effectLst/>
            </c:spPr>
          </c:marker>
          <c:xVal>
            <c:numRef>
              <c:f>data!$K$30:$K$55</c:f>
              <c:numCache>
                <c:formatCode>0.0</c:formatCode>
                <c:ptCount val="26"/>
                <c:pt idx="0">
                  <c:v>204</c:v>
                </c:pt>
                <c:pt idx="1">
                  <c:v>223.5</c:v>
                </c:pt>
                <c:pt idx="2">
                  <c:v>238</c:v>
                </c:pt>
                <c:pt idx="3">
                  <c:v>246</c:v>
                </c:pt>
                <c:pt idx="4">
                  <c:v>251</c:v>
                </c:pt>
                <c:pt idx="5">
                  <c:v>263</c:v>
                </c:pt>
                <c:pt idx="6">
                  <c:v>277.5</c:v>
                </c:pt>
                <c:pt idx="7">
                  <c:v>281</c:v>
                </c:pt>
                <c:pt idx="8">
                  <c:v>286.5</c:v>
                </c:pt>
                <c:pt idx="9">
                  <c:v>289</c:v>
                </c:pt>
                <c:pt idx="10">
                  <c:v>296.5</c:v>
                </c:pt>
                <c:pt idx="11">
                  <c:v>329.5</c:v>
                </c:pt>
                <c:pt idx="12">
                  <c:v>343</c:v>
                </c:pt>
                <c:pt idx="13">
                  <c:v>206.5</c:v>
                </c:pt>
                <c:pt idx="14">
                  <c:v>224</c:v>
                </c:pt>
                <c:pt idx="15">
                  <c:v>245</c:v>
                </c:pt>
                <c:pt idx="16">
                  <c:v>253.5</c:v>
                </c:pt>
                <c:pt idx="17">
                  <c:v>257.5</c:v>
                </c:pt>
                <c:pt idx="18">
                  <c:v>265.5</c:v>
                </c:pt>
                <c:pt idx="19">
                  <c:v>277.5</c:v>
                </c:pt>
                <c:pt idx="20">
                  <c:v>286.5</c:v>
                </c:pt>
                <c:pt idx="21">
                  <c:v>285</c:v>
                </c:pt>
                <c:pt idx="22">
                  <c:v>289.5</c:v>
                </c:pt>
                <c:pt idx="23">
                  <c:v>295.5</c:v>
                </c:pt>
                <c:pt idx="24">
                  <c:v>330.5</c:v>
                </c:pt>
                <c:pt idx="25">
                  <c:v>345</c:v>
                </c:pt>
              </c:numCache>
            </c:numRef>
          </c:xVal>
          <c:yVal>
            <c:numRef>
              <c:f>data!$G$30:$G$55</c:f>
              <c:numCache>
                <c:formatCode>0.0</c:formatCode>
                <c:ptCount val="26"/>
                <c:pt idx="0">
                  <c:v>40</c:v>
                </c:pt>
                <c:pt idx="1">
                  <c:v>37</c:v>
                </c:pt>
                <c:pt idx="2">
                  <c:v>74</c:v>
                </c:pt>
                <c:pt idx="3">
                  <c:v>44</c:v>
                </c:pt>
                <c:pt idx="4">
                  <c:v>22</c:v>
                </c:pt>
                <c:pt idx="5">
                  <c:v>24</c:v>
                </c:pt>
                <c:pt idx="6">
                  <c:v>33</c:v>
                </c:pt>
                <c:pt idx="7">
                  <c:v>26</c:v>
                </c:pt>
                <c:pt idx="8">
                  <c:v>35</c:v>
                </c:pt>
                <c:pt idx="9">
                  <c:v>16</c:v>
                </c:pt>
                <c:pt idx="10">
                  <c:v>3</c:v>
                </c:pt>
                <c:pt idx="11">
                  <c:v>59</c:v>
                </c:pt>
                <c:pt idx="12">
                  <c:v>60</c:v>
                </c:pt>
                <c:pt idx="13">
                  <c:v>33</c:v>
                </c:pt>
                <c:pt idx="14">
                  <c:v>34</c:v>
                </c:pt>
                <c:pt idx="15">
                  <c:v>58</c:v>
                </c:pt>
                <c:pt idx="16">
                  <c:v>27</c:v>
                </c:pt>
                <c:pt idx="17">
                  <c:v>7</c:v>
                </c:pt>
                <c:pt idx="18">
                  <c:v>17</c:v>
                </c:pt>
                <c:pt idx="19">
                  <c:v>31</c:v>
                </c:pt>
                <c:pt idx="20">
                  <c:v>33</c:v>
                </c:pt>
                <c:pt idx="21">
                  <c:v>16</c:v>
                </c:pt>
                <c:pt idx="22">
                  <c:v>13</c:v>
                </c:pt>
                <c:pt idx="23">
                  <c:v>5</c:v>
                </c:pt>
                <c:pt idx="24">
                  <c:v>57</c:v>
                </c:pt>
                <c:pt idx="25">
                  <c:v>54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AAC2-E14C-9754-170306D39DCE}"/>
            </c:ext>
          </c:extLst>
        </c:ser>
        <c:ser>
          <c:idx val="5"/>
          <c:order val="4"/>
          <c:tx>
            <c:strRef>
              <c:f>data!$A$56</c:f>
              <c:strCache>
                <c:ptCount val="1"/>
                <c:pt idx="0">
                  <c:v>Dekerle et al. (2013)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8"/>
            <c:spPr>
              <a:solidFill>
                <a:srgbClr val="FFFF00">
                  <a:alpha val="40000"/>
                </a:srgbClr>
              </a:solidFill>
              <a:ln w="6350">
                <a:solidFill>
                  <a:schemeClr val="tx1">
                    <a:alpha val="40000"/>
                  </a:schemeClr>
                </a:solidFill>
              </a:ln>
              <a:effectLst/>
            </c:spPr>
          </c:marker>
          <c:xVal>
            <c:numRef>
              <c:f>data!$K$56:$K$73</c:f>
              <c:numCache>
                <c:formatCode>0.0</c:formatCode>
                <c:ptCount val="18"/>
                <c:pt idx="0">
                  <c:v>298</c:v>
                </c:pt>
                <c:pt idx="1">
                  <c:v>191.5</c:v>
                </c:pt>
                <c:pt idx="2">
                  <c:v>235.5</c:v>
                </c:pt>
                <c:pt idx="3">
                  <c:v>156.5</c:v>
                </c:pt>
                <c:pt idx="4">
                  <c:v>155</c:v>
                </c:pt>
                <c:pt idx="5">
                  <c:v>205</c:v>
                </c:pt>
                <c:pt idx="6">
                  <c:v>239</c:v>
                </c:pt>
                <c:pt idx="7">
                  <c:v>252</c:v>
                </c:pt>
                <c:pt idx="8">
                  <c:v>241.5</c:v>
                </c:pt>
                <c:pt idx="9">
                  <c:v>306</c:v>
                </c:pt>
                <c:pt idx="10">
                  <c:v>206.5</c:v>
                </c:pt>
                <c:pt idx="11">
                  <c:v>262</c:v>
                </c:pt>
                <c:pt idx="12">
                  <c:v>200</c:v>
                </c:pt>
                <c:pt idx="13">
                  <c:v>232.5</c:v>
                </c:pt>
                <c:pt idx="14">
                  <c:v>297.5</c:v>
                </c:pt>
                <c:pt idx="15">
                  <c:v>257</c:v>
                </c:pt>
                <c:pt idx="16">
                  <c:v>276</c:v>
                </c:pt>
                <c:pt idx="17">
                  <c:v>227.5</c:v>
                </c:pt>
              </c:numCache>
            </c:numRef>
          </c:xVal>
          <c:yVal>
            <c:numRef>
              <c:f>data!$G$56:$G$73</c:f>
              <c:numCache>
                <c:formatCode>0.0</c:formatCode>
                <c:ptCount val="18"/>
                <c:pt idx="0">
                  <c:v>18</c:v>
                </c:pt>
                <c:pt idx="1">
                  <c:v>-19</c:v>
                </c:pt>
                <c:pt idx="2">
                  <c:v>27</c:v>
                </c:pt>
                <c:pt idx="3">
                  <c:v>-3</c:v>
                </c:pt>
                <c:pt idx="4">
                  <c:v>0</c:v>
                </c:pt>
                <c:pt idx="5">
                  <c:v>-46</c:v>
                </c:pt>
                <c:pt idx="6">
                  <c:v>66</c:v>
                </c:pt>
                <c:pt idx="7">
                  <c:v>-12</c:v>
                </c:pt>
                <c:pt idx="8">
                  <c:v>109</c:v>
                </c:pt>
                <c:pt idx="9">
                  <c:v>-4</c:v>
                </c:pt>
                <c:pt idx="10">
                  <c:v>17</c:v>
                </c:pt>
                <c:pt idx="11">
                  <c:v>4</c:v>
                </c:pt>
                <c:pt idx="12">
                  <c:v>-24</c:v>
                </c:pt>
                <c:pt idx="13">
                  <c:v>15</c:v>
                </c:pt>
                <c:pt idx="14">
                  <c:v>27</c:v>
                </c:pt>
                <c:pt idx="15">
                  <c:v>32</c:v>
                </c:pt>
                <c:pt idx="16">
                  <c:v>14</c:v>
                </c:pt>
                <c:pt idx="17">
                  <c:v>49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AAC2-E14C-9754-170306D39DCE}"/>
            </c:ext>
          </c:extLst>
        </c:ser>
        <c:ser>
          <c:idx val="6"/>
          <c:order val="5"/>
          <c:tx>
            <c:strRef>
              <c:f>data!$A$74</c:f>
              <c:strCache>
                <c:ptCount val="1"/>
                <c:pt idx="0">
                  <c:v>Clark et al. (2016)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8"/>
            <c:spPr>
              <a:solidFill>
                <a:srgbClr val="92D050">
                  <a:alpha val="40000"/>
                </a:srgbClr>
              </a:solidFill>
              <a:ln w="6350">
                <a:solidFill>
                  <a:schemeClr val="tx1">
                    <a:alpha val="40000"/>
                  </a:schemeClr>
                </a:solidFill>
              </a:ln>
              <a:effectLst/>
            </c:spPr>
          </c:marker>
          <c:xVal>
            <c:numRef>
              <c:f>data!$K$74:$K$93</c:f>
              <c:numCache>
                <c:formatCode>0.0</c:formatCode>
                <c:ptCount val="20"/>
                <c:pt idx="0">
                  <c:v>222.5</c:v>
                </c:pt>
                <c:pt idx="1">
                  <c:v>198</c:v>
                </c:pt>
                <c:pt idx="2">
                  <c:v>291.5</c:v>
                </c:pt>
                <c:pt idx="3">
                  <c:v>228.5</c:v>
                </c:pt>
                <c:pt idx="4">
                  <c:v>194</c:v>
                </c:pt>
                <c:pt idx="5">
                  <c:v>178.5</c:v>
                </c:pt>
                <c:pt idx="6">
                  <c:v>166</c:v>
                </c:pt>
                <c:pt idx="7">
                  <c:v>188.5</c:v>
                </c:pt>
                <c:pt idx="8">
                  <c:v>209</c:v>
                </c:pt>
                <c:pt idx="9">
                  <c:v>257</c:v>
                </c:pt>
                <c:pt idx="10">
                  <c:v>224</c:v>
                </c:pt>
                <c:pt idx="11">
                  <c:v>199.5</c:v>
                </c:pt>
                <c:pt idx="12">
                  <c:v>292</c:v>
                </c:pt>
                <c:pt idx="13">
                  <c:v>228.5</c:v>
                </c:pt>
                <c:pt idx="14">
                  <c:v>194.5</c:v>
                </c:pt>
                <c:pt idx="15">
                  <c:v>178.5</c:v>
                </c:pt>
                <c:pt idx="16">
                  <c:v>167</c:v>
                </c:pt>
                <c:pt idx="17">
                  <c:v>188.5</c:v>
                </c:pt>
                <c:pt idx="18">
                  <c:v>208</c:v>
                </c:pt>
                <c:pt idx="19">
                  <c:v>258</c:v>
                </c:pt>
              </c:numCache>
            </c:numRef>
          </c:xVal>
          <c:yVal>
            <c:numRef>
              <c:f>data!$G$74:$G$93</c:f>
              <c:numCache>
                <c:formatCode>0.0</c:formatCode>
                <c:ptCount val="20"/>
                <c:pt idx="0">
                  <c:v>-5</c:v>
                </c:pt>
                <c:pt idx="1">
                  <c:v>-6</c:v>
                </c:pt>
                <c:pt idx="2">
                  <c:v>11</c:v>
                </c:pt>
                <c:pt idx="3">
                  <c:v>23</c:v>
                </c:pt>
                <c:pt idx="4">
                  <c:v>-2</c:v>
                </c:pt>
                <c:pt idx="5">
                  <c:v>1</c:v>
                </c:pt>
                <c:pt idx="6">
                  <c:v>-4</c:v>
                </c:pt>
                <c:pt idx="7">
                  <c:v>-1</c:v>
                </c:pt>
                <c:pt idx="8">
                  <c:v>0</c:v>
                </c:pt>
                <c:pt idx="9">
                  <c:v>6</c:v>
                </c:pt>
                <c:pt idx="10">
                  <c:v>-8</c:v>
                </c:pt>
                <c:pt idx="11">
                  <c:v>-9</c:v>
                </c:pt>
                <c:pt idx="12">
                  <c:v>10</c:v>
                </c:pt>
                <c:pt idx="13">
                  <c:v>23</c:v>
                </c:pt>
                <c:pt idx="14">
                  <c:v>-3</c:v>
                </c:pt>
                <c:pt idx="15">
                  <c:v>1</c:v>
                </c:pt>
                <c:pt idx="16">
                  <c:v>-6</c:v>
                </c:pt>
                <c:pt idx="17">
                  <c:v>-1</c:v>
                </c:pt>
                <c:pt idx="18">
                  <c:v>2</c:v>
                </c:pt>
                <c:pt idx="19">
                  <c:v>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AAC2-E14C-9754-170306D39DCE}"/>
            </c:ext>
          </c:extLst>
        </c:ser>
        <c:ser>
          <c:idx val="7"/>
          <c:order val="6"/>
          <c:tx>
            <c:strRef>
              <c:f>data!$A$94</c:f>
              <c:strCache>
                <c:ptCount val="1"/>
                <c:pt idx="0">
                  <c:v>Bartram et al. (2017)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8"/>
            <c:spPr>
              <a:solidFill>
                <a:srgbClr val="00B050">
                  <a:alpha val="40000"/>
                </a:srgbClr>
              </a:solidFill>
              <a:ln w="6350">
                <a:solidFill>
                  <a:schemeClr val="tx1">
                    <a:alpha val="40000"/>
                  </a:schemeClr>
                </a:solidFill>
              </a:ln>
              <a:effectLst/>
            </c:spPr>
          </c:marker>
          <c:xVal>
            <c:numRef>
              <c:f>data!$K$94:$K$99</c:f>
              <c:numCache>
                <c:formatCode>0.0</c:formatCode>
                <c:ptCount val="6"/>
                <c:pt idx="0">
                  <c:v>349.5</c:v>
                </c:pt>
                <c:pt idx="1">
                  <c:v>375.5</c:v>
                </c:pt>
                <c:pt idx="2">
                  <c:v>387.5</c:v>
                </c:pt>
                <c:pt idx="3">
                  <c:v>377</c:v>
                </c:pt>
                <c:pt idx="4">
                  <c:v>339</c:v>
                </c:pt>
                <c:pt idx="5">
                  <c:v>429.5</c:v>
                </c:pt>
              </c:numCache>
            </c:numRef>
          </c:xVal>
          <c:yVal>
            <c:numRef>
              <c:f>data!$G$94:$G$99</c:f>
              <c:numCache>
                <c:formatCode>0.0</c:formatCode>
                <c:ptCount val="6"/>
                <c:pt idx="0">
                  <c:v>51</c:v>
                </c:pt>
                <c:pt idx="1">
                  <c:v>9</c:v>
                </c:pt>
                <c:pt idx="2">
                  <c:v>61</c:v>
                </c:pt>
                <c:pt idx="3">
                  <c:v>68</c:v>
                </c:pt>
                <c:pt idx="4">
                  <c:v>52</c:v>
                </c:pt>
                <c:pt idx="5">
                  <c:v>69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8-AAC2-E14C-9754-170306D39DCE}"/>
            </c:ext>
          </c:extLst>
        </c:ser>
        <c:ser>
          <c:idx val="8"/>
          <c:order val="7"/>
          <c:tx>
            <c:strRef>
              <c:f>data!$A$100</c:f>
              <c:strCache>
                <c:ptCount val="1"/>
                <c:pt idx="0">
                  <c:v>Wright et al. (2017)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8"/>
            <c:spPr>
              <a:solidFill>
                <a:srgbClr val="00B0F0">
                  <a:alpha val="40000"/>
                </a:srgbClr>
              </a:solidFill>
              <a:ln w="6350">
                <a:solidFill>
                  <a:schemeClr val="tx1">
                    <a:alpha val="40000"/>
                  </a:schemeClr>
                </a:solidFill>
              </a:ln>
              <a:effectLst/>
            </c:spPr>
          </c:marker>
          <c:xVal>
            <c:numRef>
              <c:f>data!$K$100:$K$123</c:f>
              <c:numCache>
                <c:formatCode>0.0</c:formatCode>
                <c:ptCount val="24"/>
                <c:pt idx="0">
                  <c:v>205.2</c:v>
                </c:pt>
                <c:pt idx="1">
                  <c:v>230.59999999999997</c:v>
                </c:pt>
                <c:pt idx="2">
                  <c:v>224.7</c:v>
                </c:pt>
                <c:pt idx="3">
                  <c:v>219.09999999999997</c:v>
                </c:pt>
                <c:pt idx="4">
                  <c:v>231.5</c:v>
                </c:pt>
                <c:pt idx="5">
                  <c:v>229.5</c:v>
                </c:pt>
                <c:pt idx="6">
                  <c:v>238.1</c:v>
                </c:pt>
                <c:pt idx="7">
                  <c:v>278.10000000000002</c:v>
                </c:pt>
                <c:pt idx="8">
                  <c:v>263.3</c:v>
                </c:pt>
                <c:pt idx="9">
                  <c:v>269</c:v>
                </c:pt>
                <c:pt idx="10">
                  <c:v>268.60000000000002</c:v>
                </c:pt>
                <c:pt idx="11">
                  <c:v>260.19999999999993</c:v>
                </c:pt>
                <c:pt idx="12">
                  <c:v>209.7</c:v>
                </c:pt>
                <c:pt idx="13">
                  <c:v>224.7</c:v>
                </c:pt>
                <c:pt idx="14">
                  <c:v>229.5</c:v>
                </c:pt>
                <c:pt idx="15">
                  <c:v>231.9</c:v>
                </c:pt>
                <c:pt idx="16">
                  <c:v>242.7</c:v>
                </c:pt>
                <c:pt idx="17">
                  <c:v>252</c:v>
                </c:pt>
                <c:pt idx="18">
                  <c:v>264.89999999999998</c:v>
                </c:pt>
                <c:pt idx="19">
                  <c:v>282.2</c:v>
                </c:pt>
                <c:pt idx="20">
                  <c:v>298.39999999999998</c:v>
                </c:pt>
                <c:pt idx="21">
                  <c:v>289.39999999999998</c:v>
                </c:pt>
                <c:pt idx="22">
                  <c:v>287.8</c:v>
                </c:pt>
                <c:pt idx="23">
                  <c:v>305.39999999999998</c:v>
                </c:pt>
              </c:numCache>
            </c:numRef>
          </c:xVal>
          <c:yVal>
            <c:numRef>
              <c:f>data!$G$100:$G$123</c:f>
              <c:numCache>
                <c:formatCode>0.0</c:formatCode>
                <c:ptCount val="24"/>
                <c:pt idx="0">
                  <c:v>20.400000000000006</c:v>
                </c:pt>
                <c:pt idx="1">
                  <c:v>11.900000000000006</c:v>
                </c:pt>
                <c:pt idx="2">
                  <c:v>3.6999999999999886</c:v>
                </c:pt>
                <c:pt idx="3">
                  <c:v>-10.099999999999994</c:v>
                </c:pt>
                <c:pt idx="4">
                  <c:v>-17</c:v>
                </c:pt>
                <c:pt idx="5">
                  <c:v>-30.099999999999994</c:v>
                </c:pt>
                <c:pt idx="6">
                  <c:v>-10</c:v>
                </c:pt>
                <c:pt idx="7">
                  <c:v>-21.199999999999989</c:v>
                </c:pt>
                <c:pt idx="8">
                  <c:v>-8</c:v>
                </c:pt>
                <c:pt idx="9">
                  <c:v>-5</c:v>
                </c:pt>
                <c:pt idx="10">
                  <c:v>3</c:v>
                </c:pt>
                <c:pt idx="11">
                  <c:v>13.800000000000011</c:v>
                </c:pt>
                <c:pt idx="12">
                  <c:v>29.800000000000011</c:v>
                </c:pt>
                <c:pt idx="13">
                  <c:v>4.3000000000000114</c:v>
                </c:pt>
                <c:pt idx="14">
                  <c:v>10.400000000000006</c:v>
                </c:pt>
                <c:pt idx="15">
                  <c:v>16</c:v>
                </c:pt>
                <c:pt idx="16">
                  <c:v>8.5</c:v>
                </c:pt>
                <c:pt idx="17">
                  <c:v>15.599999999999994</c:v>
                </c:pt>
                <c:pt idx="18">
                  <c:v>43.900000000000006</c:v>
                </c:pt>
                <c:pt idx="19">
                  <c:v>21.899999999999977</c:v>
                </c:pt>
                <c:pt idx="20">
                  <c:v>20</c:v>
                </c:pt>
                <c:pt idx="21">
                  <c:v>44.899999999999977</c:v>
                </c:pt>
                <c:pt idx="22">
                  <c:v>69.599999999999994</c:v>
                </c:pt>
                <c:pt idx="23">
                  <c:v>77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9-AAC2-E14C-9754-170306D39DCE}"/>
            </c:ext>
          </c:extLst>
        </c:ser>
        <c:ser>
          <c:idx val="9"/>
          <c:order val="8"/>
          <c:tx>
            <c:strRef>
              <c:f>data!$A$124</c:f>
              <c:strCache>
                <c:ptCount val="1"/>
                <c:pt idx="0">
                  <c:v>Clark et al. (2019)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8"/>
            <c:spPr>
              <a:solidFill>
                <a:srgbClr val="7030A0">
                  <a:alpha val="40000"/>
                </a:srgbClr>
              </a:solidFill>
              <a:ln w="6350">
                <a:solidFill>
                  <a:schemeClr val="tx1">
                    <a:alpha val="40000"/>
                  </a:schemeClr>
                </a:solidFill>
              </a:ln>
              <a:effectLst/>
            </c:spPr>
          </c:marker>
          <c:xVal>
            <c:numRef>
              <c:f>data!$K$124:$K$137</c:f>
              <c:numCache>
                <c:formatCode>0.0</c:formatCode>
                <c:ptCount val="14"/>
                <c:pt idx="0">
                  <c:v>170.85</c:v>
                </c:pt>
                <c:pt idx="1">
                  <c:v>213.7</c:v>
                </c:pt>
                <c:pt idx="2">
                  <c:v>216.45</c:v>
                </c:pt>
                <c:pt idx="3">
                  <c:v>218.3</c:v>
                </c:pt>
                <c:pt idx="4">
                  <c:v>230.15</c:v>
                </c:pt>
                <c:pt idx="5">
                  <c:v>248.6</c:v>
                </c:pt>
                <c:pt idx="6">
                  <c:v>258.54999999999995</c:v>
                </c:pt>
                <c:pt idx="7">
                  <c:v>269.64999999999998</c:v>
                </c:pt>
                <c:pt idx="8">
                  <c:v>267.39999999999998</c:v>
                </c:pt>
                <c:pt idx="9">
                  <c:v>270.05</c:v>
                </c:pt>
                <c:pt idx="10">
                  <c:v>279.05</c:v>
                </c:pt>
                <c:pt idx="11">
                  <c:v>280.55</c:v>
                </c:pt>
                <c:pt idx="12">
                  <c:v>327.79999999999995</c:v>
                </c:pt>
                <c:pt idx="13">
                  <c:v>340.2</c:v>
                </c:pt>
              </c:numCache>
            </c:numRef>
          </c:xVal>
          <c:yVal>
            <c:numRef>
              <c:f>data!$G$124:$G$137</c:f>
              <c:numCache>
                <c:formatCode>0.0</c:formatCode>
                <c:ptCount val="14"/>
                <c:pt idx="0">
                  <c:v>-34.699999999999989</c:v>
                </c:pt>
                <c:pt idx="1">
                  <c:v>-3</c:v>
                </c:pt>
                <c:pt idx="2">
                  <c:v>-9.9999999999994316E-2</c:v>
                </c:pt>
                <c:pt idx="3">
                  <c:v>-19.200000000000017</c:v>
                </c:pt>
                <c:pt idx="4">
                  <c:v>-21.300000000000011</c:v>
                </c:pt>
                <c:pt idx="5">
                  <c:v>0.19999999999998863</c:v>
                </c:pt>
                <c:pt idx="6">
                  <c:v>9.6999999999999886</c:v>
                </c:pt>
                <c:pt idx="7">
                  <c:v>-11.5</c:v>
                </c:pt>
                <c:pt idx="8">
                  <c:v>27.400000000000034</c:v>
                </c:pt>
                <c:pt idx="9">
                  <c:v>32.900000000000006</c:v>
                </c:pt>
                <c:pt idx="10">
                  <c:v>35.5</c:v>
                </c:pt>
                <c:pt idx="11">
                  <c:v>25.5</c:v>
                </c:pt>
                <c:pt idx="12">
                  <c:v>-18.199999999999989</c:v>
                </c:pt>
                <c:pt idx="13">
                  <c:v>19.399999999999977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A-AAC2-E14C-9754-170306D39DCE}"/>
            </c:ext>
          </c:extLst>
        </c:ser>
        <c:ser>
          <c:idx val="13"/>
          <c:order val="9"/>
          <c:tx>
            <c:strRef>
              <c:f>data!$A$138</c:f>
              <c:strCache>
                <c:ptCount val="1"/>
                <c:pt idx="0">
                  <c:v>Goulding et al. (2021)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8"/>
            <c:spPr>
              <a:solidFill>
                <a:srgbClr val="FF8AD8">
                  <a:alpha val="40000"/>
                </a:srgbClr>
              </a:solidFill>
              <a:ln w="6350">
                <a:solidFill>
                  <a:schemeClr val="tx1">
                    <a:alpha val="40000"/>
                  </a:schemeClr>
                </a:solidFill>
              </a:ln>
              <a:effectLst/>
            </c:spPr>
          </c:marker>
          <c:xVal>
            <c:numRef>
              <c:f>data!$K$138:$K$160</c:f>
              <c:numCache>
                <c:formatCode>0.0</c:formatCode>
                <c:ptCount val="23"/>
                <c:pt idx="0">
                  <c:v>137.15</c:v>
                </c:pt>
                <c:pt idx="1">
                  <c:v>174.64999999999998</c:v>
                </c:pt>
                <c:pt idx="2">
                  <c:v>174.85000000000002</c:v>
                </c:pt>
                <c:pt idx="3">
                  <c:v>194.2</c:v>
                </c:pt>
                <c:pt idx="4">
                  <c:v>191.75</c:v>
                </c:pt>
                <c:pt idx="5">
                  <c:v>212.75</c:v>
                </c:pt>
                <c:pt idx="6">
                  <c:v>225.65</c:v>
                </c:pt>
                <c:pt idx="7">
                  <c:v>234.05</c:v>
                </c:pt>
                <c:pt idx="8">
                  <c:v>224.95</c:v>
                </c:pt>
                <c:pt idx="9">
                  <c:v>235.3</c:v>
                </c:pt>
                <c:pt idx="10">
                  <c:v>263.85000000000002</c:v>
                </c:pt>
                <c:pt idx="11">
                  <c:v>267.35000000000002</c:v>
                </c:pt>
                <c:pt idx="12">
                  <c:v>268.25</c:v>
                </c:pt>
                <c:pt idx="13">
                  <c:v>273.75</c:v>
                </c:pt>
                <c:pt idx="14">
                  <c:v>278.5</c:v>
                </c:pt>
                <c:pt idx="15">
                  <c:v>227.95</c:v>
                </c:pt>
                <c:pt idx="16">
                  <c:v>153.19999999999999</c:v>
                </c:pt>
                <c:pt idx="17">
                  <c:v>144.55000000000001</c:v>
                </c:pt>
                <c:pt idx="18">
                  <c:v>135.44999999999999</c:v>
                </c:pt>
                <c:pt idx="19">
                  <c:v>120.05000000000001</c:v>
                </c:pt>
                <c:pt idx="20">
                  <c:v>112.35</c:v>
                </c:pt>
                <c:pt idx="21">
                  <c:v>111</c:v>
                </c:pt>
                <c:pt idx="22">
                  <c:v>96.5</c:v>
                </c:pt>
              </c:numCache>
            </c:numRef>
          </c:xVal>
          <c:yVal>
            <c:numRef>
              <c:f>data!$G$138:$G$160</c:f>
              <c:numCache>
                <c:formatCode>0.0</c:formatCode>
                <c:ptCount val="23"/>
                <c:pt idx="0">
                  <c:v>1.3000000000000114</c:v>
                </c:pt>
                <c:pt idx="1">
                  <c:v>4.9000000000000057</c:v>
                </c:pt>
                <c:pt idx="2">
                  <c:v>-1.0999999999999943</c:v>
                </c:pt>
                <c:pt idx="3">
                  <c:v>8</c:v>
                </c:pt>
                <c:pt idx="4">
                  <c:v>-3.6999999999999886</c:v>
                </c:pt>
                <c:pt idx="5">
                  <c:v>-5.6999999999999886</c:v>
                </c:pt>
                <c:pt idx="6">
                  <c:v>-18.699999999999989</c:v>
                </c:pt>
                <c:pt idx="7">
                  <c:v>-10.700000000000017</c:v>
                </c:pt>
                <c:pt idx="8">
                  <c:v>6.0999999999999943</c:v>
                </c:pt>
                <c:pt idx="9">
                  <c:v>22.200000000000017</c:v>
                </c:pt>
                <c:pt idx="10">
                  <c:v>25.699999999999989</c:v>
                </c:pt>
                <c:pt idx="11">
                  <c:v>21.900000000000034</c:v>
                </c:pt>
                <c:pt idx="12">
                  <c:v>21.5</c:v>
                </c:pt>
                <c:pt idx="13">
                  <c:v>9.2999999999999545</c:v>
                </c:pt>
                <c:pt idx="14">
                  <c:v>10.600000000000023</c:v>
                </c:pt>
                <c:pt idx="15">
                  <c:v>-14.099999999999994</c:v>
                </c:pt>
                <c:pt idx="16">
                  <c:v>-2</c:v>
                </c:pt>
                <c:pt idx="17">
                  <c:v>16.700000000000017</c:v>
                </c:pt>
                <c:pt idx="18">
                  <c:v>-6.7000000000000171</c:v>
                </c:pt>
                <c:pt idx="19">
                  <c:v>-17.700000000000003</c:v>
                </c:pt>
                <c:pt idx="20">
                  <c:v>-4.8999999999999915</c:v>
                </c:pt>
                <c:pt idx="21">
                  <c:v>-0.80000000000001137</c:v>
                </c:pt>
                <c:pt idx="22">
                  <c:v>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F585-C24A-9562-FC7E918372D0}"/>
            </c:ext>
          </c:extLst>
        </c:ser>
        <c:ser>
          <c:idx val="1"/>
          <c:order val="10"/>
          <c:tx>
            <c:v>Zero</c:v>
          </c:tx>
          <c:spPr>
            <a:ln w="12700" cap="rnd">
              <a:solidFill>
                <a:schemeClr val="bg1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xVal>
            <c:numLit>
              <c:formatCode>General</c:formatCode>
              <c:ptCount val="2"/>
              <c:pt idx="0">
                <c:v>50</c:v>
              </c:pt>
              <c:pt idx="1">
                <c:v>500</c:v>
              </c:pt>
            </c:numLit>
          </c:xVal>
          <c:yVal>
            <c:numLit>
              <c:formatCode>General</c:formatCode>
              <c:ptCount val="2"/>
              <c:pt idx="0">
                <c:v>0</c:v>
              </c:pt>
              <c:pt idx="1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B-AAC2-E14C-9754-170306D39DCE}"/>
            </c:ext>
          </c:extLst>
        </c:ser>
        <c:ser>
          <c:idx val="10"/>
          <c:order val="11"/>
          <c:tx>
            <c:v>Mean</c:v>
          </c:tx>
          <c:spPr>
            <a:ln w="19050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B0D-425D-AF10-50348F84296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Lit>
              <c:formatCode>General</c:formatCode>
              <c:ptCount val="2"/>
              <c:pt idx="0">
                <c:v>100</c:v>
              </c:pt>
              <c:pt idx="1">
                <c:v>450</c:v>
              </c:pt>
            </c:numLit>
          </c:xVal>
          <c:yVal>
            <c:numRef>
              <c:f>(data!$G$164,data!$G$164)</c:f>
              <c:numCache>
                <c:formatCode>0.0</c:formatCode>
                <c:ptCount val="2"/>
                <c:pt idx="0">
                  <c:v>11.723270440251575</c:v>
                </c:pt>
                <c:pt idx="1">
                  <c:v>11.723270440251575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C-AAC2-E14C-9754-170306D39DCE}"/>
            </c:ext>
          </c:extLst>
        </c:ser>
        <c:ser>
          <c:idx val="11"/>
          <c:order val="12"/>
          <c:tx>
            <c:v>+1.96 SD</c:v>
          </c:tx>
          <c:spPr>
            <a:ln w="12700" cap="rnd">
              <a:solidFill>
                <a:schemeClr val="tx1"/>
              </a:solidFill>
              <a:prstDash val="dash"/>
              <a:round/>
            </a:ln>
            <a:effectLst/>
          </c:spPr>
          <c:marker>
            <c:symbol val="none"/>
          </c:marker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B0D-425D-AF10-50348F84296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Lit>
              <c:formatCode>General</c:formatCode>
              <c:ptCount val="2"/>
              <c:pt idx="0">
                <c:v>100</c:v>
              </c:pt>
              <c:pt idx="1">
                <c:v>450</c:v>
              </c:pt>
            </c:numLit>
          </c:xVal>
          <c:yVal>
            <c:numRef>
              <c:f>(data!$G$163,data!$G$163)</c:f>
              <c:numCache>
                <c:formatCode>0.0</c:formatCode>
                <c:ptCount val="2"/>
                <c:pt idx="0">
                  <c:v>60.509587256341497</c:v>
                </c:pt>
                <c:pt idx="1">
                  <c:v>60.509587256341497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E-AAC2-E14C-9754-170306D39DCE}"/>
            </c:ext>
          </c:extLst>
        </c:ser>
        <c:ser>
          <c:idx val="12"/>
          <c:order val="13"/>
          <c:tx>
            <c:v>-1.96 SD</c:v>
          </c:tx>
          <c:spPr>
            <a:ln w="12700" cap="rnd">
              <a:solidFill>
                <a:schemeClr val="tx1"/>
              </a:solidFill>
              <a:prstDash val="dash"/>
              <a:round/>
            </a:ln>
            <a:effectLst/>
          </c:spPr>
          <c:marker>
            <c:symbol val="none"/>
          </c:marker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B0D-425D-AF10-50348F84296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Lit>
              <c:formatCode>General</c:formatCode>
              <c:ptCount val="2"/>
              <c:pt idx="0">
                <c:v>100</c:v>
              </c:pt>
              <c:pt idx="1">
                <c:v>450</c:v>
              </c:pt>
            </c:numLit>
          </c:xVal>
          <c:yVal>
            <c:numRef>
              <c:f>(data!$G$165,data!$G$165)</c:f>
              <c:numCache>
                <c:formatCode>0.0</c:formatCode>
                <c:ptCount val="2"/>
                <c:pt idx="0">
                  <c:v>-37.063046375838347</c:v>
                </c:pt>
                <c:pt idx="1">
                  <c:v>-37.063046375838347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F-AAC2-E14C-9754-170306D39D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77238352"/>
        <c:axId val="1376886720"/>
      </c:scatterChart>
      <c:valAx>
        <c:axId val="1377238352"/>
        <c:scaling>
          <c:orientation val="minMax"/>
          <c:max val="500"/>
          <c:min val="50"/>
        </c:scaling>
        <c:delete val="0"/>
        <c:axPos val="b"/>
        <c:majorGridlines>
          <c:spPr>
            <a:ln w="6350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ot"/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600" b="1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de-DE" sz="1600" b="1" i="0" u="none" strike="noStrike" baseline="0">
                    <a:effectLst/>
                  </a:rPr>
                  <a:t>x̄ (EP &amp; CP)</a:t>
                </a:r>
                <a:r>
                  <a:rPr lang="de-DE" sz="1600" b="1"/>
                  <a:t> </a:t>
                </a:r>
                <a:r>
                  <a:rPr lang="de-DE" sz="1600" b="0"/>
                  <a:t>[W]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600" b="1" i="0" u="none" strike="noStrike" kern="1200" baseline="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de-DE"/>
            </a:p>
          </c:txPr>
        </c:title>
        <c:numFmt formatCode="0" sourceLinked="0"/>
        <c:majorTickMark val="out"/>
        <c:minorTickMark val="in"/>
        <c:tickLblPos val="nextTo"/>
        <c:spPr>
          <a:noFill/>
          <a:ln w="63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de-DE"/>
          </a:p>
        </c:txPr>
        <c:crossAx val="1376886720"/>
        <c:crossesAt val="-100"/>
        <c:crossBetween val="midCat"/>
        <c:majorUnit val="50"/>
      </c:valAx>
      <c:valAx>
        <c:axId val="1376886720"/>
        <c:scaling>
          <c:orientation val="minMax"/>
          <c:max val="150"/>
          <c:min val="-100"/>
        </c:scaling>
        <c:delete val="0"/>
        <c:axPos val="l"/>
        <c:majorGridlines>
          <c:spPr>
            <a:ln w="6350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ot"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600" b="1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de-DE" sz="1600" b="1"/>
                  <a:t>EP–CP </a:t>
                </a:r>
                <a:r>
                  <a:rPr lang="de-DE" sz="1600" b="0"/>
                  <a:t>[W]</a:t>
                </a:r>
              </a:p>
            </c:rich>
          </c:tx>
          <c:layout>
            <c:manualLayout>
              <c:xMode val="edge"/>
              <c:yMode val="edge"/>
              <c:x val="1.322090360191547E-2"/>
              <c:y val="0.372773214285714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600" b="1" i="0" u="none" strike="noStrike" kern="1200" baseline="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de-DE"/>
            </a:p>
          </c:txPr>
        </c:title>
        <c:numFmt formatCode="0" sourceLinked="0"/>
        <c:majorTickMark val="out"/>
        <c:minorTickMark val="in"/>
        <c:tickLblPos val="nextTo"/>
        <c:spPr>
          <a:noFill/>
          <a:ln w="63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de-DE"/>
          </a:p>
        </c:txPr>
        <c:crossAx val="1377238352"/>
        <c:crosses val="autoZero"/>
        <c:crossBetween val="midCat"/>
        <c:majorUnit val="20"/>
      </c:valAx>
      <c:spPr>
        <a:solidFill>
          <a:schemeClr val="bg1"/>
        </a:solidFill>
        <a:ln>
          <a:noFill/>
        </a:ln>
        <a:effectLst/>
      </c:spPr>
    </c:plotArea>
    <c:legend>
      <c:legendPos val="r"/>
      <c:legendEntry>
        <c:idx val="0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2"/>
        <c:delete val="1"/>
      </c:legendEntry>
      <c:legendEntry>
        <c:idx val="13"/>
        <c:delete val="1"/>
      </c:legendEntry>
      <c:layout>
        <c:manualLayout>
          <c:xMode val="edge"/>
          <c:yMode val="edge"/>
          <c:x val="0.15630721524705124"/>
          <c:y val="3.5952967622011833E-2"/>
          <c:w val="0.25652525443530289"/>
          <c:h val="0.36177169238582918"/>
        </c:manualLayout>
      </c:layout>
      <c:overlay val="0"/>
      <c:spPr>
        <a:solidFill>
          <a:schemeClr val="bg1">
            <a:alpha val="90179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de-D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>
          <a:solidFill>
            <a:schemeClr val="tx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de-DE"/>
    </a:p>
  </c:txPr>
  <c:printSettings>
    <c:headerFooter/>
    <c:pageMargins b="0.78740157499999996" l="0.7" r="0.7" t="0.78740157499999996" header="0.3" footer="0.3"/>
    <c:pageSetup/>
  </c:printSettings>
  <c:userShapes r:id="rId3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4156308557151781"/>
          <c:y val="2.9482142857142856E-2"/>
          <c:w val="0.81213616489693941"/>
          <c:h val="0.85576428571428576"/>
        </c:manualLayout>
      </c:layout>
      <c:bubbleChart>
        <c:varyColors val="0"/>
        <c:ser>
          <c:idx val="0"/>
          <c:order val="0"/>
          <c:tx>
            <c:v>all</c:v>
          </c:tx>
          <c:spPr>
            <a:noFill/>
            <a:ln w="25400">
              <a:noFill/>
            </a:ln>
            <a:effectLst/>
          </c:spPr>
          <c:invertIfNegative val="0"/>
          <c:trendline>
            <c:spPr>
              <a:ln w="19050" cap="rnd">
                <a:solidFill>
                  <a:schemeClr val="tx1"/>
                </a:solidFill>
                <a:prstDash val="solid"/>
              </a:ln>
              <a:effectLst/>
            </c:spPr>
            <c:trendlineType val="linear"/>
            <c:dispRSqr val="0"/>
            <c:dispEq val="1"/>
            <c:trendlineLbl>
              <c:layout>
                <c:manualLayout>
                  <c:x val="9.4080282136905252E-2"/>
                  <c:y val="-6.8244324232839382E-2"/>
                </c:manualLayout>
              </c:layout>
              <c:numFmt formatCode="General" sourceLinked="0"/>
              <c:spPr>
                <a:solidFill>
                  <a:schemeClr val="bg1"/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400" b="0" i="0" u="none" strike="noStrike" kern="1200" baseline="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de-DE"/>
                </a:p>
              </c:txPr>
            </c:trendlineLbl>
          </c:trendline>
          <c:xVal>
            <c:numRef>
              <c:f>data!$H$2:$H$160</c:f>
              <c:numCache>
                <c:formatCode>0.0</c:formatCode>
                <c:ptCount val="159"/>
                <c:pt idx="0">
                  <c:v>9.3000000000000007</c:v>
                </c:pt>
                <c:pt idx="1">
                  <c:v>16</c:v>
                </c:pt>
                <c:pt idx="2">
                  <c:v>25.3</c:v>
                </c:pt>
                <c:pt idx="3">
                  <c:v>12.2</c:v>
                </c:pt>
                <c:pt idx="4">
                  <c:v>18</c:v>
                </c:pt>
                <c:pt idx="5">
                  <c:v>12.2</c:v>
                </c:pt>
                <c:pt idx="6">
                  <c:v>16.2</c:v>
                </c:pt>
                <c:pt idx="7">
                  <c:v>11.5</c:v>
                </c:pt>
                <c:pt idx="8">
                  <c:v>18.100000000000001</c:v>
                </c:pt>
                <c:pt idx="9">
                  <c:v>11.3</c:v>
                </c:pt>
                <c:pt idx="10">
                  <c:v>9.3000000000000007</c:v>
                </c:pt>
                <c:pt idx="11">
                  <c:v>16</c:v>
                </c:pt>
                <c:pt idx="12">
                  <c:v>25.3</c:v>
                </c:pt>
                <c:pt idx="13">
                  <c:v>12.2</c:v>
                </c:pt>
                <c:pt idx="14">
                  <c:v>18</c:v>
                </c:pt>
                <c:pt idx="15">
                  <c:v>12.2</c:v>
                </c:pt>
                <c:pt idx="16">
                  <c:v>16.2</c:v>
                </c:pt>
                <c:pt idx="17">
                  <c:v>11.5</c:v>
                </c:pt>
                <c:pt idx="18">
                  <c:v>18.100000000000001</c:v>
                </c:pt>
                <c:pt idx="19">
                  <c:v>11.3</c:v>
                </c:pt>
                <c:pt idx="20">
                  <c:v>12.5</c:v>
                </c:pt>
                <c:pt idx="21">
                  <c:v>8.3000000000000007</c:v>
                </c:pt>
                <c:pt idx="22">
                  <c:v>11.8</c:v>
                </c:pt>
                <c:pt idx="23">
                  <c:v>8.5</c:v>
                </c:pt>
                <c:pt idx="24">
                  <c:v>10.9</c:v>
                </c:pt>
                <c:pt idx="25">
                  <c:v>14.5</c:v>
                </c:pt>
                <c:pt idx="26">
                  <c:v>9.6</c:v>
                </c:pt>
                <c:pt idx="27">
                  <c:v>9.1</c:v>
                </c:pt>
                <c:pt idx="28">
                  <c:v>3</c:v>
                </c:pt>
                <c:pt idx="29">
                  <c:v>10</c:v>
                </c:pt>
                <c:pt idx="30">
                  <c:v>10.9</c:v>
                </c:pt>
                <c:pt idx="31">
                  <c:v>12</c:v>
                </c:pt>
                <c:pt idx="32">
                  <c:v>14</c:v>
                </c:pt>
                <c:pt idx="33">
                  <c:v>14</c:v>
                </c:pt>
                <c:pt idx="34">
                  <c:v>11</c:v>
                </c:pt>
                <c:pt idx="35">
                  <c:v>10.9</c:v>
                </c:pt>
                <c:pt idx="36">
                  <c:v>10.9</c:v>
                </c:pt>
                <c:pt idx="37">
                  <c:v>12</c:v>
                </c:pt>
                <c:pt idx="38">
                  <c:v>16</c:v>
                </c:pt>
                <c:pt idx="39">
                  <c:v>17</c:v>
                </c:pt>
                <c:pt idx="40">
                  <c:v>21</c:v>
                </c:pt>
                <c:pt idx="41">
                  <c:v>15.3</c:v>
                </c:pt>
                <c:pt idx="42">
                  <c:v>20.5</c:v>
                </c:pt>
                <c:pt idx="43">
                  <c:v>11.1</c:v>
                </c:pt>
                <c:pt idx="44">
                  <c:v>10</c:v>
                </c:pt>
                <c:pt idx="45">
                  <c:v>10</c:v>
                </c:pt>
                <c:pt idx="46">
                  <c:v>10</c:v>
                </c:pt>
                <c:pt idx="47">
                  <c:v>11.1</c:v>
                </c:pt>
                <c:pt idx="48">
                  <c:v>9</c:v>
                </c:pt>
                <c:pt idx="49">
                  <c:v>13.2</c:v>
                </c:pt>
                <c:pt idx="50">
                  <c:v>16.399999999999999</c:v>
                </c:pt>
                <c:pt idx="51">
                  <c:v>13.2</c:v>
                </c:pt>
                <c:pt idx="52">
                  <c:v>1.6</c:v>
                </c:pt>
                <c:pt idx="53">
                  <c:v>1.6</c:v>
                </c:pt>
                <c:pt idx="54">
                  <c:v>15.7</c:v>
                </c:pt>
                <c:pt idx="55">
                  <c:v>19.399999999999999</c:v>
                </c:pt>
                <c:pt idx="56">
                  <c:v>17.600000000000001</c:v>
                </c:pt>
                <c:pt idx="57">
                  <c:v>17.899999999999999</c:v>
                </c:pt>
                <c:pt idx="58">
                  <c:v>18.100000000000001</c:v>
                </c:pt>
                <c:pt idx="59">
                  <c:v>14.4</c:v>
                </c:pt>
                <c:pt idx="60">
                  <c:v>12.3</c:v>
                </c:pt>
                <c:pt idx="61">
                  <c:v>23.3</c:v>
                </c:pt>
                <c:pt idx="62">
                  <c:v>17</c:v>
                </c:pt>
                <c:pt idx="63">
                  <c:v>16</c:v>
                </c:pt>
                <c:pt idx="64">
                  <c:v>17.899999999999999</c:v>
                </c:pt>
                <c:pt idx="65">
                  <c:v>19.399999999999999</c:v>
                </c:pt>
                <c:pt idx="66">
                  <c:v>14.4</c:v>
                </c:pt>
                <c:pt idx="67">
                  <c:v>16.100000000000001</c:v>
                </c:pt>
                <c:pt idx="68">
                  <c:v>13</c:v>
                </c:pt>
                <c:pt idx="69">
                  <c:v>11</c:v>
                </c:pt>
                <c:pt idx="70">
                  <c:v>14.3</c:v>
                </c:pt>
                <c:pt idx="71">
                  <c:v>10.199999999999999</c:v>
                </c:pt>
                <c:pt idx="72">
                  <c:v>15.26</c:v>
                </c:pt>
                <c:pt idx="73">
                  <c:v>14.04</c:v>
                </c:pt>
                <c:pt idx="74">
                  <c:v>16.95</c:v>
                </c:pt>
                <c:pt idx="75">
                  <c:v>12.3</c:v>
                </c:pt>
                <c:pt idx="76">
                  <c:v>8.11</c:v>
                </c:pt>
                <c:pt idx="77">
                  <c:v>5.13</c:v>
                </c:pt>
                <c:pt idx="78">
                  <c:v>8.1199999999999992</c:v>
                </c:pt>
                <c:pt idx="79">
                  <c:v>8.52</c:v>
                </c:pt>
                <c:pt idx="80">
                  <c:v>8.07</c:v>
                </c:pt>
                <c:pt idx="81">
                  <c:v>15.08</c:v>
                </c:pt>
                <c:pt idx="82">
                  <c:v>15.26</c:v>
                </c:pt>
                <c:pt idx="83">
                  <c:v>14.04</c:v>
                </c:pt>
                <c:pt idx="84">
                  <c:v>16.95</c:v>
                </c:pt>
                <c:pt idx="85">
                  <c:v>12.3</c:v>
                </c:pt>
                <c:pt idx="86">
                  <c:v>8.11</c:v>
                </c:pt>
                <c:pt idx="87">
                  <c:v>5.13</c:v>
                </c:pt>
                <c:pt idx="88">
                  <c:v>8.1199999999999992</c:v>
                </c:pt>
                <c:pt idx="89">
                  <c:v>8.52</c:v>
                </c:pt>
                <c:pt idx="90">
                  <c:v>8.07</c:v>
                </c:pt>
                <c:pt idx="91">
                  <c:v>15.08</c:v>
                </c:pt>
                <c:pt idx="92">
                  <c:v>12.4</c:v>
                </c:pt>
                <c:pt idx="93">
                  <c:v>12.9</c:v>
                </c:pt>
                <c:pt idx="94">
                  <c:v>15</c:v>
                </c:pt>
                <c:pt idx="95">
                  <c:v>15.4</c:v>
                </c:pt>
                <c:pt idx="96">
                  <c:v>15.4</c:v>
                </c:pt>
                <c:pt idx="97">
                  <c:v>21.7</c:v>
                </c:pt>
                <c:pt idx="98">
                  <c:v>29.5</c:v>
                </c:pt>
                <c:pt idx="99">
                  <c:v>19.200000000000003</c:v>
                </c:pt>
                <c:pt idx="100">
                  <c:v>19.899999999999999</c:v>
                </c:pt>
                <c:pt idx="101">
                  <c:v>17.350000000000001</c:v>
                </c:pt>
                <c:pt idx="102">
                  <c:v>14.5</c:v>
                </c:pt>
                <c:pt idx="103">
                  <c:v>9.9</c:v>
                </c:pt>
                <c:pt idx="104">
                  <c:v>8.1</c:v>
                </c:pt>
                <c:pt idx="105">
                  <c:v>14.549999999999999</c:v>
                </c:pt>
                <c:pt idx="106">
                  <c:v>12.25</c:v>
                </c:pt>
                <c:pt idx="107">
                  <c:v>15.25</c:v>
                </c:pt>
                <c:pt idx="108">
                  <c:v>14.3</c:v>
                </c:pt>
                <c:pt idx="109">
                  <c:v>11.55</c:v>
                </c:pt>
                <c:pt idx="110">
                  <c:v>11.350000000000001</c:v>
                </c:pt>
                <c:pt idx="111">
                  <c:v>11.55</c:v>
                </c:pt>
                <c:pt idx="112">
                  <c:v>12.649999999999999</c:v>
                </c:pt>
                <c:pt idx="113">
                  <c:v>18.150000000000002</c:v>
                </c:pt>
                <c:pt idx="114">
                  <c:v>11.45</c:v>
                </c:pt>
                <c:pt idx="115">
                  <c:v>15.55</c:v>
                </c:pt>
                <c:pt idx="116">
                  <c:v>10.75</c:v>
                </c:pt>
                <c:pt idx="117">
                  <c:v>22.7</c:v>
                </c:pt>
                <c:pt idx="118">
                  <c:v>19.149999999999999</c:v>
                </c:pt>
                <c:pt idx="119">
                  <c:v>12.3</c:v>
                </c:pt>
                <c:pt idx="120">
                  <c:v>9.8500000000000014</c:v>
                </c:pt>
                <c:pt idx="121">
                  <c:v>5.85</c:v>
                </c:pt>
                <c:pt idx="122">
                  <c:v>7.6</c:v>
                </c:pt>
                <c:pt idx="123">
                  <c:v>7.4</c:v>
                </c:pt>
                <c:pt idx="124">
                  <c:v>9.5</c:v>
                </c:pt>
                <c:pt idx="125">
                  <c:v>9</c:v>
                </c:pt>
                <c:pt idx="126">
                  <c:v>13.4</c:v>
                </c:pt>
                <c:pt idx="127">
                  <c:v>12.4</c:v>
                </c:pt>
                <c:pt idx="128">
                  <c:v>14.1</c:v>
                </c:pt>
                <c:pt idx="129">
                  <c:v>25.5</c:v>
                </c:pt>
                <c:pt idx="130">
                  <c:v>19.399999999999999</c:v>
                </c:pt>
                <c:pt idx="131">
                  <c:v>19</c:v>
                </c:pt>
                <c:pt idx="132">
                  <c:v>19.100000000000001</c:v>
                </c:pt>
                <c:pt idx="133">
                  <c:v>17.3</c:v>
                </c:pt>
                <c:pt idx="134">
                  <c:v>16.8</c:v>
                </c:pt>
                <c:pt idx="135">
                  <c:v>15.4</c:v>
                </c:pt>
                <c:pt idx="136">
                  <c:v>11.700000000000001</c:v>
                </c:pt>
                <c:pt idx="137">
                  <c:v>20.399999999999999</c:v>
                </c:pt>
                <c:pt idx="138">
                  <c:v>18.95</c:v>
                </c:pt>
                <c:pt idx="139">
                  <c:v>21.45</c:v>
                </c:pt>
                <c:pt idx="140">
                  <c:v>18.25</c:v>
                </c:pt>
                <c:pt idx="141">
                  <c:v>17.7</c:v>
                </c:pt>
                <c:pt idx="142">
                  <c:v>7.25</c:v>
                </c:pt>
                <c:pt idx="143">
                  <c:v>9.0499999999999989</c:v>
                </c:pt>
                <c:pt idx="144">
                  <c:v>21.15</c:v>
                </c:pt>
                <c:pt idx="145">
                  <c:v>11.35</c:v>
                </c:pt>
                <c:pt idx="146">
                  <c:v>7.8999999999999995</c:v>
                </c:pt>
                <c:pt idx="147">
                  <c:v>10.549999999999999</c:v>
                </c:pt>
                <c:pt idx="148">
                  <c:v>15.299999999999999</c:v>
                </c:pt>
                <c:pt idx="149">
                  <c:v>12.9</c:v>
                </c:pt>
                <c:pt idx="150">
                  <c:v>13.4</c:v>
                </c:pt>
                <c:pt idx="151">
                  <c:v>5.55</c:v>
                </c:pt>
                <c:pt idx="152">
                  <c:v>6.8500000000000005</c:v>
                </c:pt>
                <c:pt idx="153">
                  <c:v>23.75</c:v>
                </c:pt>
                <c:pt idx="154">
                  <c:v>18.350000000000001</c:v>
                </c:pt>
                <c:pt idx="155">
                  <c:v>18.45</c:v>
                </c:pt>
                <c:pt idx="156">
                  <c:v>16.349999999999998</c:v>
                </c:pt>
                <c:pt idx="157">
                  <c:v>15.05</c:v>
                </c:pt>
                <c:pt idx="158">
                  <c:v>15.75</c:v>
                </c:pt>
              </c:numCache>
            </c:numRef>
          </c:xVal>
          <c:yVal>
            <c:numRef>
              <c:f>data!$I$2:$I$160</c:f>
              <c:numCache>
                <c:formatCode>0.0</c:formatCode>
                <c:ptCount val="159"/>
                <c:pt idx="0">
                  <c:v>9.6999999999999993</c:v>
                </c:pt>
                <c:pt idx="1">
                  <c:v>18.899999999999999</c:v>
                </c:pt>
                <c:pt idx="2">
                  <c:v>22.1</c:v>
                </c:pt>
                <c:pt idx="3">
                  <c:v>11.2</c:v>
                </c:pt>
                <c:pt idx="4">
                  <c:v>16.7</c:v>
                </c:pt>
                <c:pt idx="5">
                  <c:v>18.100000000000001</c:v>
                </c:pt>
                <c:pt idx="6">
                  <c:v>17.399999999999999</c:v>
                </c:pt>
                <c:pt idx="7">
                  <c:v>14.9</c:v>
                </c:pt>
                <c:pt idx="8">
                  <c:v>18.399999999999999</c:v>
                </c:pt>
                <c:pt idx="9">
                  <c:v>12.7</c:v>
                </c:pt>
                <c:pt idx="10">
                  <c:v>9.9</c:v>
                </c:pt>
                <c:pt idx="11">
                  <c:v>16.7</c:v>
                </c:pt>
                <c:pt idx="12">
                  <c:v>20.5</c:v>
                </c:pt>
                <c:pt idx="13">
                  <c:v>11.3</c:v>
                </c:pt>
                <c:pt idx="14">
                  <c:v>17.100000000000001</c:v>
                </c:pt>
                <c:pt idx="15">
                  <c:v>16.899999999999999</c:v>
                </c:pt>
                <c:pt idx="16">
                  <c:v>16.5</c:v>
                </c:pt>
                <c:pt idx="17">
                  <c:v>15.6</c:v>
                </c:pt>
                <c:pt idx="18">
                  <c:v>18.2</c:v>
                </c:pt>
                <c:pt idx="19">
                  <c:v>11</c:v>
                </c:pt>
                <c:pt idx="20">
                  <c:v>8.5</c:v>
                </c:pt>
                <c:pt idx="21">
                  <c:v>16.600000000000001</c:v>
                </c:pt>
                <c:pt idx="22">
                  <c:v>14.9</c:v>
                </c:pt>
                <c:pt idx="23">
                  <c:v>10.1</c:v>
                </c:pt>
                <c:pt idx="24">
                  <c:v>10.5</c:v>
                </c:pt>
                <c:pt idx="25">
                  <c:v>14.2</c:v>
                </c:pt>
                <c:pt idx="26">
                  <c:v>11.5</c:v>
                </c:pt>
                <c:pt idx="27">
                  <c:v>10.4</c:v>
                </c:pt>
                <c:pt idx="28">
                  <c:v>8</c:v>
                </c:pt>
                <c:pt idx="29">
                  <c:v>16</c:v>
                </c:pt>
                <c:pt idx="30">
                  <c:v>17</c:v>
                </c:pt>
                <c:pt idx="31">
                  <c:v>18</c:v>
                </c:pt>
                <c:pt idx="32">
                  <c:v>17</c:v>
                </c:pt>
                <c:pt idx="33">
                  <c:v>14</c:v>
                </c:pt>
                <c:pt idx="34">
                  <c:v>20</c:v>
                </c:pt>
                <c:pt idx="35">
                  <c:v>22</c:v>
                </c:pt>
                <c:pt idx="36">
                  <c:v>25</c:v>
                </c:pt>
                <c:pt idx="37">
                  <c:v>24</c:v>
                </c:pt>
                <c:pt idx="38">
                  <c:v>25</c:v>
                </c:pt>
                <c:pt idx="39">
                  <c:v>18</c:v>
                </c:pt>
                <c:pt idx="40">
                  <c:v>19</c:v>
                </c:pt>
                <c:pt idx="41">
                  <c:v>24</c:v>
                </c:pt>
                <c:pt idx="42">
                  <c:v>18</c:v>
                </c:pt>
                <c:pt idx="43">
                  <c:v>23</c:v>
                </c:pt>
                <c:pt idx="44">
                  <c:v>19</c:v>
                </c:pt>
                <c:pt idx="45">
                  <c:v>18</c:v>
                </c:pt>
                <c:pt idx="46">
                  <c:v>17</c:v>
                </c:pt>
                <c:pt idx="47">
                  <c:v>18</c:v>
                </c:pt>
                <c:pt idx="48">
                  <c:v>15</c:v>
                </c:pt>
                <c:pt idx="49">
                  <c:v>15</c:v>
                </c:pt>
                <c:pt idx="50">
                  <c:v>16</c:v>
                </c:pt>
                <c:pt idx="51">
                  <c:v>10</c:v>
                </c:pt>
                <c:pt idx="52">
                  <c:v>6</c:v>
                </c:pt>
                <c:pt idx="53">
                  <c:v>6</c:v>
                </c:pt>
                <c:pt idx="54">
                  <c:v>22.4</c:v>
                </c:pt>
                <c:pt idx="55">
                  <c:v>11</c:v>
                </c:pt>
                <c:pt idx="56">
                  <c:v>20.5</c:v>
                </c:pt>
                <c:pt idx="57">
                  <c:v>11.6</c:v>
                </c:pt>
                <c:pt idx="58">
                  <c:v>29.8</c:v>
                </c:pt>
                <c:pt idx="59">
                  <c:v>22.4</c:v>
                </c:pt>
                <c:pt idx="60">
                  <c:v>26.1</c:v>
                </c:pt>
                <c:pt idx="61">
                  <c:v>25</c:v>
                </c:pt>
                <c:pt idx="62">
                  <c:v>16.600000000000001</c:v>
                </c:pt>
                <c:pt idx="63">
                  <c:v>13.3</c:v>
                </c:pt>
                <c:pt idx="64">
                  <c:v>13.3</c:v>
                </c:pt>
                <c:pt idx="65">
                  <c:v>13.9</c:v>
                </c:pt>
                <c:pt idx="66">
                  <c:v>18.399999999999999</c:v>
                </c:pt>
                <c:pt idx="67">
                  <c:v>13.3</c:v>
                </c:pt>
                <c:pt idx="68">
                  <c:v>15.9</c:v>
                </c:pt>
                <c:pt idx="69">
                  <c:v>24</c:v>
                </c:pt>
                <c:pt idx="70">
                  <c:v>16.7</c:v>
                </c:pt>
                <c:pt idx="71">
                  <c:v>16.8</c:v>
                </c:pt>
                <c:pt idx="72">
                  <c:v>14.55</c:v>
                </c:pt>
                <c:pt idx="73">
                  <c:v>15.54</c:v>
                </c:pt>
                <c:pt idx="74">
                  <c:v>23.21</c:v>
                </c:pt>
                <c:pt idx="75">
                  <c:v>20.25</c:v>
                </c:pt>
                <c:pt idx="76">
                  <c:v>4.1100000000000003</c:v>
                </c:pt>
                <c:pt idx="77">
                  <c:v>5.61</c:v>
                </c:pt>
                <c:pt idx="78">
                  <c:v>7.1</c:v>
                </c:pt>
                <c:pt idx="79">
                  <c:v>8.0399999999999991</c:v>
                </c:pt>
                <c:pt idx="80">
                  <c:v>8.15</c:v>
                </c:pt>
                <c:pt idx="81">
                  <c:v>14.03</c:v>
                </c:pt>
                <c:pt idx="82">
                  <c:v>13.54</c:v>
                </c:pt>
                <c:pt idx="83">
                  <c:v>14.38</c:v>
                </c:pt>
                <c:pt idx="84">
                  <c:v>22.72</c:v>
                </c:pt>
                <c:pt idx="85">
                  <c:v>20.239999999999998</c:v>
                </c:pt>
                <c:pt idx="86">
                  <c:v>3.85</c:v>
                </c:pt>
                <c:pt idx="87">
                  <c:v>5.54</c:v>
                </c:pt>
                <c:pt idx="88">
                  <c:v>6.46</c:v>
                </c:pt>
                <c:pt idx="89">
                  <c:v>8.0299999999999994</c:v>
                </c:pt>
                <c:pt idx="90">
                  <c:v>8.83</c:v>
                </c:pt>
                <c:pt idx="91">
                  <c:v>13.37</c:v>
                </c:pt>
                <c:pt idx="92">
                  <c:v>25.8</c:v>
                </c:pt>
                <c:pt idx="93">
                  <c:v>21.8</c:v>
                </c:pt>
                <c:pt idx="94">
                  <c:v>25.9</c:v>
                </c:pt>
                <c:pt idx="95">
                  <c:v>20.9</c:v>
                </c:pt>
                <c:pt idx="96">
                  <c:v>31.6</c:v>
                </c:pt>
                <c:pt idx="97">
                  <c:v>19.7</c:v>
                </c:pt>
                <c:pt idx="98">
                  <c:v>33.700000000000003</c:v>
                </c:pt>
                <c:pt idx="99">
                  <c:v>30.400000000000002</c:v>
                </c:pt>
                <c:pt idx="100">
                  <c:v>22.5</c:v>
                </c:pt>
                <c:pt idx="101">
                  <c:v>24.650000000000002</c:v>
                </c:pt>
                <c:pt idx="102">
                  <c:v>23.9</c:v>
                </c:pt>
                <c:pt idx="103">
                  <c:v>24.700000000000003</c:v>
                </c:pt>
                <c:pt idx="104">
                  <c:v>23.9</c:v>
                </c:pt>
                <c:pt idx="105">
                  <c:v>20.849999999999998</c:v>
                </c:pt>
                <c:pt idx="106">
                  <c:v>18.75</c:v>
                </c:pt>
                <c:pt idx="107">
                  <c:v>16.149999999999999</c:v>
                </c:pt>
                <c:pt idx="108">
                  <c:v>16.7</c:v>
                </c:pt>
                <c:pt idx="109">
                  <c:v>15.450000000000001</c:v>
                </c:pt>
                <c:pt idx="110">
                  <c:v>15.450000000000001</c:v>
                </c:pt>
                <c:pt idx="111">
                  <c:v>16.25</c:v>
                </c:pt>
                <c:pt idx="112">
                  <c:v>16.75</c:v>
                </c:pt>
                <c:pt idx="113">
                  <c:v>22.450000000000003</c:v>
                </c:pt>
                <c:pt idx="114">
                  <c:v>18.75</c:v>
                </c:pt>
                <c:pt idx="115">
                  <c:v>24.65</c:v>
                </c:pt>
                <c:pt idx="116">
                  <c:v>20.85</c:v>
                </c:pt>
                <c:pt idx="117">
                  <c:v>33.700000000000003</c:v>
                </c:pt>
                <c:pt idx="118">
                  <c:v>30.25</c:v>
                </c:pt>
                <c:pt idx="119">
                  <c:v>24.700000000000003</c:v>
                </c:pt>
                <c:pt idx="120">
                  <c:v>24.75</c:v>
                </c:pt>
                <c:pt idx="121">
                  <c:v>23.950000000000003</c:v>
                </c:pt>
                <c:pt idx="122">
                  <c:v>8.8000000000000007</c:v>
                </c:pt>
                <c:pt idx="123">
                  <c:v>10.6</c:v>
                </c:pt>
                <c:pt idx="124">
                  <c:v>11.7</c:v>
                </c:pt>
                <c:pt idx="125">
                  <c:v>16.8</c:v>
                </c:pt>
                <c:pt idx="126">
                  <c:v>10.3</c:v>
                </c:pt>
                <c:pt idx="127">
                  <c:v>15.2</c:v>
                </c:pt>
                <c:pt idx="128">
                  <c:v>15.9</c:v>
                </c:pt>
                <c:pt idx="129">
                  <c:v>23.8</c:v>
                </c:pt>
                <c:pt idx="130">
                  <c:v>9.8000000000000007</c:v>
                </c:pt>
                <c:pt idx="131">
                  <c:v>11.4</c:v>
                </c:pt>
                <c:pt idx="132">
                  <c:v>15.5</c:v>
                </c:pt>
                <c:pt idx="133">
                  <c:v>19.8</c:v>
                </c:pt>
                <c:pt idx="134">
                  <c:v>20.6</c:v>
                </c:pt>
                <c:pt idx="135">
                  <c:v>22.2</c:v>
                </c:pt>
                <c:pt idx="136">
                  <c:v>24.9</c:v>
                </c:pt>
                <c:pt idx="137">
                  <c:v>25.4</c:v>
                </c:pt>
                <c:pt idx="138">
                  <c:v>23.05</c:v>
                </c:pt>
                <c:pt idx="139">
                  <c:v>21.95</c:v>
                </c:pt>
                <c:pt idx="140">
                  <c:v>17.549999999999997</c:v>
                </c:pt>
                <c:pt idx="141">
                  <c:v>11.9</c:v>
                </c:pt>
                <c:pt idx="142">
                  <c:v>6.15</c:v>
                </c:pt>
                <c:pt idx="143">
                  <c:v>15.35</c:v>
                </c:pt>
                <c:pt idx="144">
                  <c:v>19.850000000000001</c:v>
                </c:pt>
                <c:pt idx="145">
                  <c:v>12.85</c:v>
                </c:pt>
                <c:pt idx="146">
                  <c:v>12.3</c:v>
                </c:pt>
                <c:pt idx="147">
                  <c:v>15.85</c:v>
                </c:pt>
                <c:pt idx="148">
                  <c:v>18.099999999999998</c:v>
                </c:pt>
                <c:pt idx="149">
                  <c:v>15.299999999999999</c:v>
                </c:pt>
                <c:pt idx="150">
                  <c:v>15.799999999999999</c:v>
                </c:pt>
                <c:pt idx="151">
                  <c:v>7.45</c:v>
                </c:pt>
                <c:pt idx="152">
                  <c:v>7.95</c:v>
                </c:pt>
                <c:pt idx="153">
                  <c:v>13.049999999999999</c:v>
                </c:pt>
                <c:pt idx="154">
                  <c:v>14.65</c:v>
                </c:pt>
                <c:pt idx="155">
                  <c:v>13.95</c:v>
                </c:pt>
                <c:pt idx="156">
                  <c:v>11.049999999999999</c:v>
                </c:pt>
                <c:pt idx="157">
                  <c:v>8.9499999999999993</c:v>
                </c:pt>
                <c:pt idx="158">
                  <c:v>7.0500000000000007</c:v>
                </c:pt>
              </c:numCache>
            </c:numRef>
          </c:yVal>
          <c:bubbleSize>
            <c:numLit>
              <c:formatCode>General</c:formatCode>
              <c:ptCount val="144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  <c:pt idx="12">
                <c:v>1</c:v>
              </c:pt>
              <c:pt idx="13">
                <c:v>1</c:v>
              </c:pt>
              <c:pt idx="14">
                <c:v>1</c:v>
              </c:pt>
              <c:pt idx="15">
                <c:v>1</c:v>
              </c:pt>
              <c:pt idx="16">
                <c:v>1</c:v>
              </c:pt>
              <c:pt idx="17">
                <c:v>1</c:v>
              </c:pt>
              <c:pt idx="18">
                <c:v>1</c:v>
              </c:pt>
              <c:pt idx="19">
                <c:v>1</c:v>
              </c:pt>
              <c:pt idx="20">
                <c:v>1</c:v>
              </c:pt>
              <c:pt idx="21">
                <c:v>1</c:v>
              </c:pt>
              <c:pt idx="22">
                <c:v>1</c:v>
              </c:pt>
              <c:pt idx="23">
                <c:v>1</c:v>
              </c:pt>
              <c:pt idx="24">
                <c:v>1</c:v>
              </c:pt>
              <c:pt idx="25">
                <c:v>1</c:v>
              </c:pt>
              <c:pt idx="26">
                <c:v>1</c:v>
              </c:pt>
              <c:pt idx="27">
                <c:v>1</c:v>
              </c:pt>
              <c:pt idx="28">
                <c:v>1</c:v>
              </c:pt>
              <c:pt idx="29">
                <c:v>1</c:v>
              </c:pt>
              <c:pt idx="30">
                <c:v>1</c:v>
              </c:pt>
              <c:pt idx="31">
                <c:v>1</c:v>
              </c:pt>
              <c:pt idx="32">
                <c:v>1</c:v>
              </c:pt>
              <c:pt idx="33">
                <c:v>1</c:v>
              </c:pt>
              <c:pt idx="34">
                <c:v>1</c:v>
              </c:pt>
              <c:pt idx="35">
                <c:v>1</c:v>
              </c:pt>
              <c:pt idx="36">
                <c:v>1</c:v>
              </c:pt>
              <c:pt idx="37">
                <c:v>1</c:v>
              </c:pt>
              <c:pt idx="38">
                <c:v>1</c:v>
              </c:pt>
              <c:pt idx="39">
                <c:v>1</c:v>
              </c:pt>
              <c:pt idx="40">
                <c:v>1</c:v>
              </c:pt>
              <c:pt idx="41">
                <c:v>1</c:v>
              </c:pt>
              <c:pt idx="42">
                <c:v>1</c:v>
              </c:pt>
              <c:pt idx="43">
                <c:v>1</c:v>
              </c:pt>
              <c:pt idx="44">
                <c:v>1</c:v>
              </c:pt>
              <c:pt idx="45">
                <c:v>1</c:v>
              </c:pt>
              <c:pt idx="46">
                <c:v>1</c:v>
              </c:pt>
              <c:pt idx="47">
                <c:v>1</c:v>
              </c:pt>
              <c:pt idx="48">
                <c:v>1</c:v>
              </c:pt>
              <c:pt idx="49">
                <c:v>1</c:v>
              </c:pt>
              <c:pt idx="50">
                <c:v>1</c:v>
              </c:pt>
              <c:pt idx="51">
                <c:v>1</c:v>
              </c:pt>
              <c:pt idx="52">
                <c:v>1</c:v>
              </c:pt>
              <c:pt idx="53">
                <c:v>1</c:v>
              </c:pt>
              <c:pt idx="54">
                <c:v>1</c:v>
              </c:pt>
              <c:pt idx="55">
                <c:v>1</c:v>
              </c:pt>
              <c:pt idx="56">
                <c:v>1</c:v>
              </c:pt>
              <c:pt idx="57">
                <c:v>1</c:v>
              </c:pt>
              <c:pt idx="58">
                <c:v>1</c:v>
              </c:pt>
              <c:pt idx="59">
                <c:v>1</c:v>
              </c:pt>
              <c:pt idx="60">
                <c:v>1</c:v>
              </c:pt>
              <c:pt idx="61">
                <c:v>1</c:v>
              </c:pt>
              <c:pt idx="62">
                <c:v>1</c:v>
              </c:pt>
              <c:pt idx="63">
                <c:v>1</c:v>
              </c:pt>
              <c:pt idx="64">
                <c:v>1</c:v>
              </c:pt>
              <c:pt idx="65">
                <c:v>1</c:v>
              </c:pt>
              <c:pt idx="66">
                <c:v>1</c:v>
              </c:pt>
              <c:pt idx="67">
                <c:v>1</c:v>
              </c:pt>
              <c:pt idx="68">
                <c:v>1</c:v>
              </c:pt>
              <c:pt idx="69">
                <c:v>1</c:v>
              </c:pt>
              <c:pt idx="70">
                <c:v>1</c:v>
              </c:pt>
              <c:pt idx="71">
                <c:v>1</c:v>
              </c:pt>
              <c:pt idx="72">
                <c:v>1</c:v>
              </c:pt>
              <c:pt idx="73">
                <c:v>1</c:v>
              </c:pt>
              <c:pt idx="74">
                <c:v>1</c:v>
              </c:pt>
              <c:pt idx="75">
                <c:v>1</c:v>
              </c:pt>
              <c:pt idx="76">
                <c:v>1</c:v>
              </c:pt>
              <c:pt idx="77">
                <c:v>1</c:v>
              </c:pt>
              <c:pt idx="78">
                <c:v>1</c:v>
              </c:pt>
              <c:pt idx="79">
                <c:v>1</c:v>
              </c:pt>
              <c:pt idx="80">
                <c:v>1</c:v>
              </c:pt>
              <c:pt idx="81">
                <c:v>1</c:v>
              </c:pt>
              <c:pt idx="82">
                <c:v>1</c:v>
              </c:pt>
              <c:pt idx="83">
                <c:v>1</c:v>
              </c:pt>
              <c:pt idx="84">
                <c:v>1</c:v>
              </c:pt>
              <c:pt idx="85">
                <c:v>1</c:v>
              </c:pt>
              <c:pt idx="86">
                <c:v>1</c:v>
              </c:pt>
              <c:pt idx="87">
                <c:v>1</c:v>
              </c:pt>
              <c:pt idx="88">
                <c:v>1</c:v>
              </c:pt>
              <c:pt idx="89">
                <c:v>1</c:v>
              </c:pt>
              <c:pt idx="90">
                <c:v>1</c:v>
              </c:pt>
              <c:pt idx="91">
                <c:v>1</c:v>
              </c:pt>
              <c:pt idx="92">
                <c:v>1</c:v>
              </c:pt>
              <c:pt idx="93">
                <c:v>1</c:v>
              </c:pt>
              <c:pt idx="94">
                <c:v>1</c:v>
              </c:pt>
              <c:pt idx="95">
                <c:v>1</c:v>
              </c:pt>
              <c:pt idx="96">
                <c:v>1</c:v>
              </c:pt>
              <c:pt idx="97">
                <c:v>1</c:v>
              </c:pt>
              <c:pt idx="98">
                <c:v>1</c:v>
              </c:pt>
              <c:pt idx="99">
                <c:v>1</c:v>
              </c:pt>
              <c:pt idx="100">
                <c:v>1</c:v>
              </c:pt>
              <c:pt idx="101">
                <c:v>1</c:v>
              </c:pt>
              <c:pt idx="102">
                <c:v>1</c:v>
              </c:pt>
              <c:pt idx="103">
                <c:v>1</c:v>
              </c:pt>
              <c:pt idx="104">
                <c:v>1</c:v>
              </c:pt>
              <c:pt idx="105">
                <c:v>1</c:v>
              </c:pt>
              <c:pt idx="106">
                <c:v>1</c:v>
              </c:pt>
              <c:pt idx="107">
                <c:v>1</c:v>
              </c:pt>
              <c:pt idx="108">
                <c:v>1</c:v>
              </c:pt>
              <c:pt idx="109">
                <c:v>1</c:v>
              </c:pt>
              <c:pt idx="110">
                <c:v>1</c:v>
              </c:pt>
              <c:pt idx="111">
                <c:v>1</c:v>
              </c:pt>
              <c:pt idx="112">
                <c:v>1</c:v>
              </c:pt>
              <c:pt idx="113">
                <c:v>1</c:v>
              </c:pt>
              <c:pt idx="114">
                <c:v>1</c:v>
              </c:pt>
              <c:pt idx="115">
                <c:v>1</c:v>
              </c:pt>
              <c:pt idx="116">
                <c:v>1</c:v>
              </c:pt>
              <c:pt idx="117">
                <c:v>1</c:v>
              </c:pt>
              <c:pt idx="118">
                <c:v>1</c:v>
              </c:pt>
              <c:pt idx="119">
                <c:v>1</c:v>
              </c:pt>
              <c:pt idx="120">
                <c:v>1</c:v>
              </c:pt>
              <c:pt idx="121">
                <c:v>1</c:v>
              </c:pt>
              <c:pt idx="122">
                <c:v>1</c:v>
              </c:pt>
              <c:pt idx="123">
                <c:v>1</c:v>
              </c:pt>
              <c:pt idx="124">
                <c:v>1</c:v>
              </c:pt>
              <c:pt idx="125">
                <c:v>1</c:v>
              </c:pt>
              <c:pt idx="126">
                <c:v>1</c:v>
              </c:pt>
              <c:pt idx="127">
                <c:v>1</c:v>
              </c:pt>
              <c:pt idx="128">
                <c:v>1</c:v>
              </c:pt>
              <c:pt idx="129">
                <c:v>1</c:v>
              </c:pt>
              <c:pt idx="130">
                <c:v>1</c:v>
              </c:pt>
              <c:pt idx="131">
                <c:v>1</c:v>
              </c:pt>
              <c:pt idx="132">
                <c:v>1</c:v>
              </c:pt>
              <c:pt idx="133">
                <c:v>1</c:v>
              </c:pt>
              <c:pt idx="134">
                <c:v>1</c:v>
              </c:pt>
              <c:pt idx="135">
                <c:v>1</c:v>
              </c:pt>
              <c:pt idx="136">
                <c:v>1</c:v>
              </c:pt>
              <c:pt idx="137">
                <c:v>1</c:v>
              </c:pt>
              <c:pt idx="138">
                <c:v>1</c:v>
              </c:pt>
              <c:pt idx="139">
                <c:v>1</c:v>
              </c:pt>
              <c:pt idx="140">
                <c:v>1</c:v>
              </c:pt>
              <c:pt idx="141">
                <c:v>1</c:v>
              </c:pt>
              <c:pt idx="142">
                <c:v>1</c:v>
              </c:pt>
              <c:pt idx="143">
                <c:v>1</c:v>
              </c:pt>
            </c:numLit>
          </c:bubbleSize>
          <c:bubble3D val="0"/>
          <c:extLst>
            <c:ext xmlns:c16="http://schemas.microsoft.com/office/drawing/2014/chart" uri="{C3380CC4-5D6E-409C-BE32-E72D297353CC}">
              <c16:uniqueId val="{00000001-AFA0-1348-AD90-5E5372456E2E}"/>
            </c:ext>
          </c:extLst>
        </c:ser>
        <c:ser>
          <c:idx val="1"/>
          <c:order val="1"/>
          <c:tx>
            <c:v>Line of Identity</c:v>
          </c:tx>
          <c:spPr>
            <a:noFill/>
            <a:ln w="15875">
              <a:noFill/>
              <a:prstDash val="dash"/>
            </a:ln>
            <a:effectLst/>
          </c:spPr>
          <c:invertIfNegative val="0"/>
          <c:trendline>
            <c:spPr>
              <a:ln w="12700" cap="rnd">
                <a:solidFill>
                  <a:schemeClr val="tx1"/>
                </a:solidFill>
                <a:prstDash val="dash"/>
              </a:ln>
              <a:effectLst/>
            </c:spPr>
            <c:trendlineType val="linear"/>
            <c:dispRSqr val="0"/>
            <c:dispEq val="0"/>
          </c:trendline>
          <c:xVal>
            <c:numLit>
              <c:formatCode>General</c:formatCode>
              <c:ptCount val="2"/>
              <c:pt idx="0">
                <c:v>0</c:v>
              </c:pt>
              <c:pt idx="1">
                <c:v>500</c:v>
              </c:pt>
            </c:numLit>
          </c:xVal>
          <c:yVal>
            <c:numLit>
              <c:formatCode>General</c:formatCode>
              <c:ptCount val="2"/>
              <c:pt idx="0">
                <c:v>0</c:v>
              </c:pt>
              <c:pt idx="1">
                <c:v>500</c:v>
              </c:pt>
            </c:numLit>
          </c:yVal>
          <c:bubbleSize>
            <c:numLit>
              <c:formatCode>General</c:formatCode>
              <c:ptCount val="144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  <c:pt idx="12">
                <c:v>1</c:v>
              </c:pt>
              <c:pt idx="13">
                <c:v>1</c:v>
              </c:pt>
              <c:pt idx="14">
                <c:v>1</c:v>
              </c:pt>
              <c:pt idx="15">
                <c:v>1</c:v>
              </c:pt>
              <c:pt idx="16">
                <c:v>1</c:v>
              </c:pt>
              <c:pt idx="17">
                <c:v>1</c:v>
              </c:pt>
              <c:pt idx="18">
                <c:v>1</c:v>
              </c:pt>
              <c:pt idx="19">
                <c:v>1</c:v>
              </c:pt>
              <c:pt idx="20">
                <c:v>1</c:v>
              </c:pt>
              <c:pt idx="21">
                <c:v>1</c:v>
              </c:pt>
              <c:pt idx="22">
                <c:v>1</c:v>
              </c:pt>
              <c:pt idx="23">
                <c:v>1</c:v>
              </c:pt>
              <c:pt idx="24">
                <c:v>1</c:v>
              </c:pt>
              <c:pt idx="25">
                <c:v>1</c:v>
              </c:pt>
              <c:pt idx="26">
                <c:v>1</c:v>
              </c:pt>
              <c:pt idx="27">
                <c:v>1</c:v>
              </c:pt>
              <c:pt idx="28">
                <c:v>1</c:v>
              </c:pt>
              <c:pt idx="29">
                <c:v>1</c:v>
              </c:pt>
              <c:pt idx="30">
                <c:v>1</c:v>
              </c:pt>
              <c:pt idx="31">
                <c:v>1</c:v>
              </c:pt>
              <c:pt idx="32">
                <c:v>1</c:v>
              </c:pt>
              <c:pt idx="33">
                <c:v>1</c:v>
              </c:pt>
              <c:pt idx="34">
                <c:v>1</c:v>
              </c:pt>
              <c:pt idx="35">
                <c:v>1</c:v>
              </c:pt>
              <c:pt idx="36">
                <c:v>1</c:v>
              </c:pt>
              <c:pt idx="37">
                <c:v>1</c:v>
              </c:pt>
              <c:pt idx="38">
                <c:v>1</c:v>
              </c:pt>
              <c:pt idx="39">
                <c:v>1</c:v>
              </c:pt>
              <c:pt idx="40">
                <c:v>1</c:v>
              </c:pt>
              <c:pt idx="41">
                <c:v>1</c:v>
              </c:pt>
              <c:pt idx="42">
                <c:v>1</c:v>
              </c:pt>
              <c:pt idx="43">
                <c:v>1</c:v>
              </c:pt>
              <c:pt idx="44">
                <c:v>1</c:v>
              </c:pt>
              <c:pt idx="45">
                <c:v>1</c:v>
              </c:pt>
              <c:pt idx="46">
                <c:v>1</c:v>
              </c:pt>
              <c:pt idx="47">
                <c:v>1</c:v>
              </c:pt>
              <c:pt idx="48">
                <c:v>1</c:v>
              </c:pt>
              <c:pt idx="49">
                <c:v>1</c:v>
              </c:pt>
              <c:pt idx="50">
                <c:v>1</c:v>
              </c:pt>
              <c:pt idx="51">
                <c:v>1</c:v>
              </c:pt>
              <c:pt idx="52">
                <c:v>1</c:v>
              </c:pt>
              <c:pt idx="53">
                <c:v>1</c:v>
              </c:pt>
              <c:pt idx="54">
                <c:v>1</c:v>
              </c:pt>
              <c:pt idx="55">
                <c:v>1</c:v>
              </c:pt>
              <c:pt idx="56">
                <c:v>1</c:v>
              </c:pt>
              <c:pt idx="57">
                <c:v>1</c:v>
              </c:pt>
              <c:pt idx="58">
                <c:v>1</c:v>
              </c:pt>
              <c:pt idx="59">
                <c:v>1</c:v>
              </c:pt>
              <c:pt idx="60">
                <c:v>1</c:v>
              </c:pt>
              <c:pt idx="61">
                <c:v>1</c:v>
              </c:pt>
              <c:pt idx="62">
                <c:v>1</c:v>
              </c:pt>
              <c:pt idx="63">
                <c:v>1</c:v>
              </c:pt>
              <c:pt idx="64">
                <c:v>1</c:v>
              </c:pt>
              <c:pt idx="65">
                <c:v>1</c:v>
              </c:pt>
              <c:pt idx="66">
                <c:v>1</c:v>
              </c:pt>
              <c:pt idx="67">
                <c:v>1</c:v>
              </c:pt>
              <c:pt idx="68">
                <c:v>1</c:v>
              </c:pt>
              <c:pt idx="69">
                <c:v>1</c:v>
              </c:pt>
              <c:pt idx="70">
                <c:v>1</c:v>
              </c:pt>
              <c:pt idx="71">
                <c:v>1</c:v>
              </c:pt>
              <c:pt idx="72">
                <c:v>1</c:v>
              </c:pt>
              <c:pt idx="73">
                <c:v>1</c:v>
              </c:pt>
              <c:pt idx="74">
                <c:v>1</c:v>
              </c:pt>
              <c:pt idx="75">
                <c:v>1</c:v>
              </c:pt>
              <c:pt idx="76">
                <c:v>1</c:v>
              </c:pt>
              <c:pt idx="77">
                <c:v>1</c:v>
              </c:pt>
              <c:pt idx="78">
                <c:v>1</c:v>
              </c:pt>
              <c:pt idx="79">
                <c:v>1</c:v>
              </c:pt>
              <c:pt idx="80">
                <c:v>1</c:v>
              </c:pt>
              <c:pt idx="81">
                <c:v>1</c:v>
              </c:pt>
              <c:pt idx="82">
                <c:v>1</c:v>
              </c:pt>
              <c:pt idx="83">
                <c:v>1</c:v>
              </c:pt>
              <c:pt idx="84">
                <c:v>1</c:v>
              </c:pt>
              <c:pt idx="85">
                <c:v>1</c:v>
              </c:pt>
              <c:pt idx="86">
                <c:v>1</c:v>
              </c:pt>
              <c:pt idx="87">
                <c:v>1</c:v>
              </c:pt>
              <c:pt idx="88">
                <c:v>1</c:v>
              </c:pt>
              <c:pt idx="89">
                <c:v>1</c:v>
              </c:pt>
              <c:pt idx="90">
                <c:v>1</c:v>
              </c:pt>
              <c:pt idx="91">
                <c:v>1</c:v>
              </c:pt>
              <c:pt idx="92">
                <c:v>1</c:v>
              </c:pt>
              <c:pt idx="93">
                <c:v>1</c:v>
              </c:pt>
              <c:pt idx="94">
                <c:v>1</c:v>
              </c:pt>
              <c:pt idx="95">
                <c:v>1</c:v>
              </c:pt>
              <c:pt idx="96">
                <c:v>1</c:v>
              </c:pt>
              <c:pt idx="97">
                <c:v>1</c:v>
              </c:pt>
              <c:pt idx="98">
                <c:v>1</c:v>
              </c:pt>
              <c:pt idx="99">
                <c:v>1</c:v>
              </c:pt>
              <c:pt idx="100">
                <c:v>1</c:v>
              </c:pt>
              <c:pt idx="101">
                <c:v>1</c:v>
              </c:pt>
              <c:pt idx="102">
                <c:v>1</c:v>
              </c:pt>
              <c:pt idx="103">
                <c:v>1</c:v>
              </c:pt>
              <c:pt idx="104">
                <c:v>1</c:v>
              </c:pt>
              <c:pt idx="105">
                <c:v>1</c:v>
              </c:pt>
              <c:pt idx="106">
                <c:v>1</c:v>
              </c:pt>
              <c:pt idx="107">
                <c:v>1</c:v>
              </c:pt>
              <c:pt idx="108">
                <c:v>1</c:v>
              </c:pt>
              <c:pt idx="109">
                <c:v>1</c:v>
              </c:pt>
              <c:pt idx="110">
                <c:v>1</c:v>
              </c:pt>
              <c:pt idx="111">
                <c:v>1</c:v>
              </c:pt>
              <c:pt idx="112">
                <c:v>1</c:v>
              </c:pt>
              <c:pt idx="113">
                <c:v>1</c:v>
              </c:pt>
              <c:pt idx="114">
                <c:v>1</c:v>
              </c:pt>
              <c:pt idx="115">
                <c:v>1</c:v>
              </c:pt>
              <c:pt idx="116">
                <c:v>1</c:v>
              </c:pt>
              <c:pt idx="117">
                <c:v>1</c:v>
              </c:pt>
              <c:pt idx="118">
                <c:v>1</c:v>
              </c:pt>
              <c:pt idx="119">
                <c:v>1</c:v>
              </c:pt>
              <c:pt idx="120">
                <c:v>1</c:v>
              </c:pt>
              <c:pt idx="121">
                <c:v>1</c:v>
              </c:pt>
              <c:pt idx="122">
                <c:v>1</c:v>
              </c:pt>
              <c:pt idx="123">
                <c:v>1</c:v>
              </c:pt>
              <c:pt idx="124">
                <c:v>1</c:v>
              </c:pt>
              <c:pt idx="125">
                <c:v>1</c:v>
              </c:pt>
              <c:pt idx="126">
                <c:v>1</c:v>
              </c:pt>
              <c:pt idx="127">
                <c:v>1</c:v>
              </c:pt>
              <c:pt idx="128">
                <c:v>1</c:v>
              </c:pt>
              <c:pt idx="129">
                <c:v>1</c:v>
              </c:pt>
              <c:pt idx="130">
                <c:v>1</c:v>
              </c:pt>
              <c:pt idx="131">
                <c:v>1</c:v>
              </c:pt>
              <c:pt idx="132">
                <c:v>1</c:v>
              </c:pt>
              <c:pt idx="133">
                <c:v>1</c:v>
              </c:pt>
              <c:pt idx="134">
                <c:v>1</c:v>
              </c:pt>
              <c:pt idx="135">
                <c:v>1</c:v>
              </c:pt>
              <c:pt idx="136">
                <c:v>1</c:v>
              </c:pt>
              <c:pt idx="137">
                <c:v>1</c:v>
              </c:pt>
              <c:pt idx="138">
                <c:v>1</c:v>
              </c:pt>
              <c:pt idx="139">
                <c:v>1</c:v>
              </c:pt>
              <c:pt idx="140">
                <c:v>1</c:v>
              </c:pt>
              <c:pt idx="141">
                <c:v>1</c:v>
              </c:pt>
              <c:pt idx="142">
                <c:v>1</c:v>
              </c:pt>
              <c:pt idx="143">
                <c:v>1</c:v>
              </c:pt>
            </c:numLit>
          </c:bubbleSize>
          <c:bubble3D val="0"/>
          <c:extLst>
            <c:ext xmlns:c16="http://schemas.microsoft.com/office/drawing/2014/chart" uri="{C3380CC4-5D6E-409C-BE32-E72D297353CC}">
              <c16:uniqueId val="{00000003-AFA0-1348-AD90-5E5372456E2E}"/>
            </c:ext>
          </c:extLst>
        </c:ser>
        <c:ser>
          <c:idx val="2"/>
          <c:order val="2"/>
          <c:tx>
            <c:strRef>
              <c:f>data!$A$2</c:f>
              <c:strCache>
                <c:ptCount val="1"/>
                <c:pt idx="0">
                  <c:v>Vanhatalo et al. (2007)</c:v>
                </c:pt>
              </c:strCache>
            </c:strRef>
          </c:tx>
          <c:spPr>
            <a:solidFill>
              <a:srgbClr val="C00000">
                <a:alpha val="40000"/>
              </a:srgbClr>
            </a:solidFill>
            <a:ln w="6350">
              <a:solidFill>
                <a:schemeClr val="tx1">
                  <a:alpha val="40000"/>
                </a:schemeClr>
              </a:solidFill>
            </a:ln>
            <a:effectLst/>
          </c:spPr>
          <c:invertIfNegative val="0"/>
          <c:xVal>
            <c:numRef>
              <c:f>data!$H$2:$H$21</c:f>
              <c:numCache>
                <c:formatCode>0.0</c:formatCode>
                <c:ptCount val="20"/>
                <c:pt idx="0">
                  <c:v>9.3000000000000007</c:v>
                </c:pt>
                <c:pt idx="1">
                  <c:v>16</c:v>
                </c:pt>
                <c:pt idx="2">
                  <c:v>25.3</c:v>
                </c:pt>
                <c:pt idx="3">
                  <c:v>12.2</c:v>
                </c:pt>
                <c:pt idx="4">
                  <c:v>18</c:v>
                </c:pt>
                <c:pt idx="5">
                  <c:v>12.2</c:v>
                </c:pt>
                <c:pt idx="6">
                  <c:v>16.2</c:v>
                </c:pt>
                <c:pt idx="7">
                  <c:v>11.5</c:v>
                </c:pt>
                <c:pt idx="8">
                  <c:v>18.100000000000001</c:v>
                </c:pt>
                <c:pt idx="9">
                  <c:v>11.3</c:v>
                </c:pt>
                <c:pt idx="10">
                  <c:v>9.3000000000000007</c:v>
                </c:pt>
                <c:pt idx="11">
                  <c:v>16</c:v>
                </c:pt>
                <c:pt idx="12">
                  <c:v>25.3</c:v>
                </c:pt>
                <c:pt idx="13">
                  <c:v>12.2</c:v>
                </c:pt>
                <c:pt idx="14">
                  <c:v>18</c:v>
                </c:pt>
                <c:pt idx="15">
                  <c:v>12.2</c:v>
                </c:pt>
                <c:pt idx="16">
                  <c:v>16.2</c:v>
                </c:pt>
                <c:pt idx="17">
                  <c:v>11.5</c:v>
                </c:pt>
                <c:pt idx="18">
                  <c:v>18.100000000000001</c:v>
                </c:pt>
                <c:pt idx="19">
                  <c:v>11.3</c:v>
                </c:pt>
              </c:numCache>
            </c:numRef>
          </c:xVal>
          <c:yVal>
            <c:numRef>
              <c:f>data!$I$2:$I$21</c:f>
              <c:numCache>
                <c:formatCode>0.0</c:formatCode>
                <c:ptCount val="20"/>
                <c:pt idx="0">
                  <c:v>9.6999999999999993</c:v>
                </c:pt>
                <c:pt idx="1">
                  <c:v>18.899999999999999</c:v>
                </c:pt>
                <c:pt idx="2">
                  <c:v>22.1</c:v>
                </c:pt>
                <c:pt idx="3">
                  <c:v>11.2</c:v>
                </c:pt>
                <c:pt idx="4">
                  <c:v>16.7</c:v>
                </c:pt>
                <c:pt idx="5">
                  <c:v>18.100000000000001</c:v>
                </c:pt>
                <c:pt idx="6">
                  <c:v>17.399999999999999</c:v>
                </c:pt>
                <c:pt idx="7">
                  <c:v>14.9</c:v>
                </c:pt>
                <c:pt idx="8">
                  <c:v>18.399999999999999</c:v>
                </c:pt>
                <c:pt idx="9">
                  <c:v>12.7</c:v>
                </c:pt>
                <c:pt idx="10">
                  <c:v>9.9</c:v>
                </c:pt>
                <c:pt idx="11">
                  <c:v>16.7</c:v>
                </c:pt>
                <c:pt idx="12">
                  <c:v>20.5</c:v>
                </c:pt>
                <c:pt idx="13">
                  <c:v>11.3</c:v>
                </c:pt>
                <c:pt idx="14">
                  <c:v>17.100000000000001</c:v>
                </c:pt>
                <c:pt idx="15">
                  <c:v>16.899999999999999</c:v>
                </c:pt>
                <c:pt idx="16">
                  <c:v>16.5</c:v>
                </c:pt>
                <c:pt idx="17">
                  <c:v>15.6</c:v>
                </c:pt>
                <c:pt idx="18">
                  <c:v>18.2</c:v>
                </c:pt>
                <c:pt idx="19">
                  <c:v>11</c:v>
                </c:pt>
              </c:numCache>
            </c:numRef>
          </c:yVal>
          <c:bubbleSize>
            <c:numRef>
              <c:f>data!$O$2:$O$21</c:f>
              <c:numCache>
                <c:formatCode>General</c:formatCode>
                <c:ptCount val="20"/>
                <c:pt idx="0">
                  <c:v>0.82936862662891009</c:v>
                </c:pt>
                <c:pt idx="1">
                  <c:v>0.82936862662891009</c:v>
                </c:pt>
                <c:pt idx="2">
                  <c:v>0.82936862662891009</c:v>
                </c:pt>
                <c:pt idx="3">
                  <c:v>0.82936862662891009</c:v>
                </c:pt>
                <c:pt idx="4">
                  <c:v>0.82936862662891009</c:v>
                </c:pt>
                <c:pt idx="5">
                  <c:v>0.82936862662891009</c:v>
                </c:pt>
                <c:pt idx="6">
                  <c:v>0.82936862662891009</c:v>
                </c:pt>
                <c:pt idx="7">
                  <c:v>0.82936862662891009</c:v>
                </c:pt>
                <c:pt idx="8">
                  <c:v>0.82936862662891009</c:v>
                </c:pt>
                <c:pt idx="9">
                  <c:v>0.82936862662891009</c:v>
                </c:pt>
                <c:pt idx="10">
                  <c:v>0.82936862662891009</c:v>
                </c:pt>
                <c:pt idx="11">
                  <c:v>0.82936862662891009</c:v>
                </c:pt>
                <c:pt idx="12">
                  <c:v>0.82936862662891009</c:v>
                </c:pt>
                <c:pt idx="13">
                  <c:v>0.82936862662891009</c:v>
                </c:pt>
                <c:pt idx="14">
                  <c:v>0.82936862662891009</c:v>
                </c:pt>
                <c:pt idx="15">
                  <c:v>0.82936862662891009</c:v>
                </c:pt>
                <c:pt idx="16">
                  <c:v>0.82936862662891009</c:v>
                </c:pt>
                <c:pt idx="17">
                  <c:v>0.82936862662891009</c:v>
                </c:pt>
                <c:pt idx="18">
                  <c:v>0.82936862662891009</c:v>
                </c:pt>
                <c:pt idx="19">
                  <c:v>0.82936862662891009</c:v>
                </c:pt>
              </c:numCache>
            </c:numRef>
          </c:bubbleSize>
          <c:bubble3D val="0"/>
          <c:extLst>
            <c:ext xmlns:c16="http://schemas.microsoft.com/office/drawing/2014/chart" uri="{C3380CC4-5D6E-409C-BE32-E72D297353CC}">
              <c16:uniqueId val="{00000004-AFA0-1348-AD90-5E5372456E2E}"/>
            </c:ext>
          </c:extLst>
        </c:ser>
        <c:ser>
          <c:idx val="3"/>
          <c:order val="3"/>
          <c:tx>
            <c:strRef>
              <c:f>data!$A$22</c:f>
              <c:strCache>
                <c:ptCount val="1"/>
                <c:pt idx="0">
                  <c:v>Barker et al. (2011)</c:v>
                </c:pt>
              </c:strCache>
            </c:strRef>
          </c:tx>
          <c:spPr>
            <a:solidFill>
              <a:srgbClr val="FF0000">
                <a:alpha val="40000"/>
              </a:srgbClr>
            </a:solidFill>
            <a:ln w="6350">
              <a:solidFill>
                <a:schemeClr val="tx1">
                  <a:alpha val="40000"/>
                </a:schemeClr>
              </a:solidFill>
            </a:ln>
            <a:effectLst/>
          </c:spPr>
          <c:invertIfNegative val="0"/>
          <c:xVal>
            <c:numRef>
              <c:f>data!$H$22:$H$29</c:f>
              <c:numCache>
                <c:formatCode>0.0</c:formatCode>
                <c:ptCount val="8"/>
                <c:pt idx="0">
                  <c:v>12.5</c:v>
                </c:pt>
                <c:pt idx="1">
                  <c:v>8.3000000000000007</c:v>
                </c:pt>
                <c:pt idx="2">
                  <c:v>11.8</c:v>
                </c:pt>
                <c:pt idx="3">
                  <c:v>8.5</c:v>
                </c:pt>
                <c:pt idx="4">
                  <c:v>10.9</c:v>
                </c:pt>
                <c:pt idx="5">
                  <c:v>14.5</c:v>
                </c:pt>
                <c:pt idx="6">
                  <c:v>9.6</c:v>
                </c:pt>
                <c:pt idx="7">
                  <c:v>9.1</c:v>
                </c:pt>
              </c:numCache>
            </c:numRef>
          </c:xVal>
          <c:yVal>
            <c:numRef>
              <c:f>data!$I$22:$I$29</c:f>
              <c:numCache>
                <c:formatCode>0.0</c:formatCode>
                <c:ptCount val="8"/>
                <c:pt idx="0">
                  <c:v>8.5</c:v>
                </c:pt>
                <c:pt idx="1">
                  <c:v>16.600000000000001</c:v>
                </c:pt>
                <c:pt idx="2">
                  <c:v>14.9</c:v>
                </c:pt>
                <c:pt idx="3">
                  <c:v>10.1</c:v>
                </c:pt>
                <c:pt idx="4">
                  <c:v>10.5</c:v>
                </c:pt>
                <c:pt idx="5">
                  <c:v>14.2</c:v>
                </c:pt>
                <c:pt idx="6">
                  <c:v>11.5</c:v>
                </c:pt>
                <c:pt idx="7">
                  <c:v>10.4</c:v>
                </c:pt>
              </c:numCache>
            </c:numRef>
          </c:yVal>
          <c:bubbleSize>
            <c:numRef>
              <c:f>data!$O$22:$O$29</c:f>
              <c:numCache>
                <c:formatCode>General</c:formatCode>
                <c:ptCount val="8"/>
                <c:pt idx="0">
                  <c:v>2.8796219651184379E-2</c:v>
                </c:pt>
                <c:pt idx="1">
                  <c:v>2.8796219651184379E-2</c:v>
                </c:pt>
                <c:pt idx="2">
                  <c:v>2.8796219651184379E-2</c:v>
                </c:pt>
                <c:pt idx="3">
                  <c:v>2.8796219651184379E-2</c:v>
                </c:pt>
                <c:pt idx="4">
                  <c:v>2.8796219651184379E-2</c:v>
                </c:pt>
                <c:pt idx="5">
                  <c:v>2.8796219651184379E-2</c:v>
                </c:pt>
                <c:pt idx="6">
                  <c:v>2.8796219651184379E-2</c:v>
                </c:pt>
                <c:pt idx="7">
                  <c:v>2.8796219651184379E-2</c:v>
                </c:pt>
              </c:numCache>
            </c:numRef>
          </c:bubbleSize>
          <c:bubble3D val="0"/>
          <c:extLst>
            <c:ext xmlns:c16="http://schemas.microsoft.com/office/drawing/2014/chart" uri="{C3380CC4-5D6E-409C-BE32-E72D297353CC}">
              <c16:uniqueId val="{00000005-AFA0-1348-AD90-5E5372456E2E}"/>
            </c:ext>
          </c:extLst>
        </c:ser>
        <c:ser>
          <c:idx val="4"/>
          <c:order val="4"/>
          <c:tx>
            <c:strRef>
              <c:f>data!$A$30</c:f>
              <c:strCache>
                <c:ptCount val="1"/>
                <c:pt idx="0">
                  <c:v>Karsten et al. (2013)</c:v>
                </c:pt>
              </c:strCache>
            </c:strRef>
          </c:tx>
          <c:spPr>
            <a:solidFill>
              <a:srgbClr val="FFC000">
                <a:alpha val="40000"/>
              </a:srgbClr>
            </a:solidFill>
            <a:ln w="6350">
              <a:solidFill>
                <a:schemeClr val="tx1">
                  <a:alpha val="40000"/>
                </a:schemeClr>
              </a:solidFill>
            </a:ln>
            <a:effectLst/>
          </c:spPr>
          <c:invertIfNegative val="0"/>
          <c:xVal>
            <c:numRef>
              <c:f>data!$H$30:$H$55</c:f>
              <c:numCache>
                <c:formatCode>0.0</c:formatCode>
                <c:ptCount val="26"/>
                <c:pt idx="0">
                  <c:v>3</c:v>
                </c:pt>
                <c:pt idx="1">
                  <c:v>10</c:v>
                </c:pt>
                <c:pt idx="2">
                  <c:v>10.9</c:v>
                </c:pt>
                <c:pt idx="3">
                  <c:v>12</c:v>
                </c:pt>
                <c:pt idx="4">
                  <c:v>14</c:v>
                </c:pt>
                <c:pt idx="5">
                  <c:v>14</c:v>
                </c:pt>
                <c:pt idx="6">
                  <c:v>11</c:v>
                </c:pt>
                <c:pt idx="7">
                  <c:v>10.9</c:v>
                </c:pt>
                <c:pt idx="8">
                  <c:v>10.9</c:v>
                </c:pt>
                <c:pt idx="9">
                  <c:v>12</c:v>
                </c:pt>
                <c:pt idx="10">
                  <c:v>16</c:v>
                </c:pt>
                <c:pt idx="11">
                  <c:v>17</c:v>
                </c:pt>
                <c:pt idx="12">
                  <c:v>21</c:v>
                </c:pt>
                <c:pt idx="13">
                  <c:v>15.3</c:v>
                </c:pt>
                <c:pt idx="14">
                  <c:v>20.5</c:v>
                </c:pt>
                <c:pt idx="15">
                  <c:v>11.1</c:v>
                </c:pt>
                <c:pt idx="16">
                  <c:v>10</c:v>
                </c:pt>
                <c:pt idx="17">
                  <c:v>10</c:v>
                </c:pt>
                <c:pt idx="18">
                  <c:v>10</c:v>
                </c:pt>
                <c:pt idx="19">
                  <c:v>11.1</c:v>
                </c:pt>
                <c:pt idx="20">
                  <c:v>9</c:v>
                </c:pt>
                <c:pt idx="21">
                  <c:v>13.2</c:v>
                </c:pt>
                <c:pt idx="22">
                  <c:v>16.399999999999999</c:v>
                </c:pt>
                <c:pt idx="23">
                  <c:v>13.2</c:v>
                </c:pt>
                <c:pt idx="24">
                  <c:v>1.6</c:v>
                </c:pt>
                <c:pt idx="25">
                  <c:v>1.6</c:v>
                </c:pt>
              </c:numCache>
            </c:numRef>
          </c:xVal>
          <c:yVal>
            <c:numRef>
              <c:f>data!$I$30:$I$55</c:f>
              <c:numCache>
                <c:formatCode>0.0</c:formatCode>
                <c:ptCount val="26"/>
                <c:pt idx="0">
                  <c:v>8</c:v>
                </c:pt>
                <c:pt idx="1">
                  <c:v>16</c:v>
                </c:pt>
                <c:pt idx="2">
                  <c:v>17</c:v>
                </c:pt>
                <c:pt idx="3">
                  <c:v>18</c:v>
                </c:pt>
                <c:pt idx="4">
                  <c:v>17</c:v>
                </c:pt>
                <c:pt idx="5">
                  <c:v>14</c:v>
                </c:pt>
                <c:pt idx="6">
                  <c:v>20</c:v>
                </c:pt>
                <c:pt idx="7">
                  <c:v>22</c:v>
                </c:pt>
                <c:pt idx="8">
                  <c:v>25</c:v>
                </c:pt>
                <c:pt idx="9">
                  <c:v>24</c:v>
                </c:pt>
                <c:pt idx="10">
                  <c:v>25</c:v>
                </c:pt>
                <c:pt idx="11">
                  <c:v>18</c:v>
                </c:pt>
                <c:pt idx="12">
                  <c:v>19</c:v>
                </c:pt>
                <c:pt idx="13">
                  <c:v>24</c:v>
                </c:pt>
                <c:pt idx="14">
                  <c:v>18</c:v>
                </c:pt>
                <c:pt idx="15">
                  <c:v>23</c:v>
                </c:pt>
                <c:pt idx="16">
                  <c:v>19</c:v>
                </c:pt>
                <c:pt idx="17">
                  <c:v>18</c:v>
                </c:pt>
                <c:pt idx="18">
                  <c:v>17</c:v>
                </c:pt>
                <c:pt idx="19">
                  <c:v>18</c:v>
                </c:pt>
                <c:pt idx="20">
                  <c:v>15</c:v>
                </c:pt>
                <c:pt idx="21">
                  <c:v>15</c:v>
                </c:pt>
                <c:pt idx="22">
                  <c:v>16</c:v>
                </c:pt>
                <c:pt idx="23">
                  <c:v>10</c:v>
                </c:pt>
                <c:pt idx="24">
                  <c:v>6</c:v>
                </c:pt>
                <c:pt idx="25">
                  <c:v>6</c:v>
                </c:pt>
              </c:numCache>
            </c:numRef>
          </c:yVal>
          <c:bubbleSize>
            <c:numRef>
              <c:f>data!$O$30:$O$55</c:f>
              <c:numCache>
                <c:formatCode>General</c:formatCode>
                <c:ptCount val="26"/>
                <c:pt idx="0">
                  <c:v>0.56642633173365708</c:v>
                </c:pt>
                <c:pt idx="1">
                  <c:v>0.56642633173365708</c:v>
                </c:pt>
                <c:pt idx="2">
                  <c:v>0.56642633173365708</c:v>
                </c:pt>
                <c:pt idx="3">
                  <c:v>0.56642633173365708</c:v>
                </c:pt>
                <c:pt idx="4">
                  <c:v>0.56642633173365708</c:v>
                </c:pt>
                <c:pt idx="5">
                  <c:v>0.56642633173365708</c:v>
                </c:pt>
                <c:pt idx="6">
                  <c:v>0.56642633173365708</c:v>
                </c:pt>
                <c:pt idx="7">
                  <c:v>0.56642633173365708</c:v>
                </c:pt>
                <c:pt idx="8">
                  <c:v>0.56642633173365708</c:v>
                </c:pt>
                <c:pt idx="9">
                  <c:v>0.56642633173365708</c:v>
                </c:pt>
                <c:pt idx="10">
                  <c:v>0.56642633173365708</c:v>
                </c:pt>
                <c:pt idx="11">
                  <c:v>0.56642633173365708</c:v>
                </c:pt>
                <c:pt idx="12">
                  <c:v>0.56642633173365708</c:v>
                </c:pt>
                <c:pt idx="13">
                  <c:v>0.56642633173365708</c:v>
                </c:pt>
                <c:pt idx="14">
                  <c:v>0.56642633173365708</c:v>
                </c:pt>
                <c:pt idx="15">
                  <c:v>0.56642633173365708</c:v>
                </c:pt>
                <c:pt idx="16">
                  <c:v>0.56642633173365708</c:v>
                </c:pt>
                <c:pt idx="17">
                  <c:v>0.56642633173365708</c:v>
                </c:pt>
                <c:pt idx="18">
                  <c:v>0.56642633173365708</c:v>
                </c:pt>
                <c:pt idx="19">
                  <c:v>0.56642633173365708</c:v>
                </c:pt>
                <c:pt idx="20">
                  <c:v>0.56642633173365708</c:v>
                </c:pt>
                <c:pt idx="21">
                  <c:v>0.56642633173365708</c:v>
                </c:pt>
                <c:pt idx="22">
                  <c:v>0.56642633173365708</c:v>
                </c:pt>
                <c:pt idx="23">
                  <c:v>0.56642633173365708</c:v>
                </c:pt>
                <c:pt idx="24">
                  <c:v>0.56642633173365708</c:v>
                </c:pt>
                <c:pt idx="25">
                  <c:v>0.56642633173365708</c:v>
                </c:pt>
              </c:numCache>
            </c:numRef>
          </c:bubbleSize>
          <c:bubble3D val="0"/>
          <c:extLst>
            <c:ext xmlns:c16="http://schemas.microsoft.com/office/drawing/2014/chart" uri="{C3380CC4-5D6E-409C-BE32-E72D297353CC}">
              <c16:uniqueId val="{00000006-AFA0-1348-AD90-5E5372456E2E}"/>
            </c:ext>
          </c:extLst>
        </c:ser>
        <c:ser>
          <c:idx val="5"/>
          <c:order val="5"/>
          <c:tx>
            <c:strRef>
              <c:f>data!$A$56</c:f>
              <c:strCache>
                <c:ptCount val="1"/>
                <c:pt idx="0">
                  <c:v>Dekerle et al. (2013)</c:v>
                </c:pt>
              </c:strCache>
            </c:strRef>
          </c:tx>
          <c:spPr>
            <a:solidFill>
              <a:srgbClr val="FFFF00">
                <a:alpha val="40000"/>
              </a:srgbClr>
            </a:solidFill>
            <a:ln w="6350">
              <a:solidFill>
                <a:schemeClr val="tx1">
                  <a:alpha val="40000"/>
                </a:schemeClr>
              </a:solidFill>
            </a:ln>
            <a:effectLst/>
          </c:spPr>
          <c:invertIfNegative val="0"/>
          <c:xVal>
            <c:numRef>
              <c:f>data!$H$56:$H$73</c:f>
              <c:numCache>
                <c:formatCode>0.0</c:formatCode>
                <c:ptCount val="18"/>
                <c:pt idx="0">
                  <c:v>15.7</c:v>
                </c:pt>
                <c:pt idx="1">
                  <c:v>19.399999999999999</c:v>
                </c:pt>
                <c:pt idx="2">
                  <c:v>17.600000000000001</c:v>
                </c:pt>
                <c:pt idx="3">
                  <c:v>17.899999999999999</c:v>
                </c:pt>
                <c:pt idx="4">
                  <c:v>18.100000000000001</c:v>
                </c:pt>
                <c:pt idx="5">
                  <c:v>14.4</c:v>
                </c:pt>
                <c:pt idx="6">
                  <c:v>12.3</c:v>
                </c:pt>
                <c:pt idx="7">
                  <c:v>23.3</c:v>
                </c:pt>
                <c:pt idx="8">
                  <c:v>17</c:v>
                </c:pt>
                <c:pt idx="9">
                  <c:v>16</c:v>
                </c:pt>
                <c:pt idx="10">
                  <c:v>17.899999999999999</c:v>
                </c:pt>
                <c:pt idx="11">
                  <c:v>19.399999999999999</c:v>
                </c:pt>
                <c:pt idx="12">
                  <c:v>14.4</c:v>
                </c:pt>
                <c:pt idx="13">
                  <c:v>16.100000000000001</c:v>
                </c:pt>
                <c:pt idx="14">
                  <c:v>13</c:v>
                </c:pt>
                <c:pt idx="15">
                  <c:v>11</c:v>
                </c:pt>
                <c:pt idx="16">
                  <c:v>14.3</c:v>
                </c:pt>
                <c:pt idx="17">
                  <c:v>10.199999999999999</c:v>
                </c:pt>
              </c:numCache>
            </c:numRef>
          </c:xVal>
          <c:yVal>
            <c:numRef>
              <c:f>data!$I$56:$I$73</c:f>
              <c:numCache>
                <c:formatCode>0.0</c:formatCode>
                <c:ptCount val="18"/>
                <c:pt idx="0">
                  <c:v>22.4</c:v>
                </c:pt>
                <c:pt idx="1">
                  <c:v>11</c:v>
                </c:pt>
                <c:pt idx="2">
                  <c:v>20.5</c:v>
                </c:pt>
                <c:pt idx="3">
                  <c:v>11.6</c:v>
                </c:pt>
                <c:pt idx="4">
                  <c:v>29.8</c:v>
                </c:pt>
                <c:pt idx="5">
                  <c:v>22.4</c:v>
                </c:pt>
                <c:pt idx="6">
                  <c:v>26.1</c:v>
                </c:pt>
                <c:pt idx="7">
                  <c:v>25</c:v>
                </c:pt>
                <c:pt idx="8">
                  <c:v>16.600000000000001</c:v>
                </c:pt>
                <c:pt idx="9">
                  <c:v>13.3</c:v>
                </c:pt>
                <c:pt idx="10">
                  <c:v>13.3</c:v>
                </c:pt>
                <c:pt idx="11">
                  <c:v>13.9</c:v>
                </c:pt>
                <c:pt idx="12">
                  <c:v>18.399999999999999</c:v>
                </c:pt>
                <c:pt idx="13">
                  <c:v>13.3</c:v>
                </c:pt>
                <c:pt idx="14">
                  <c:v>15.9</c:v>
                </c:pt>
                <c:pt idx="15">
                  <c:v>24</c:v>
                </c:pt>
                <c:pt idx="16">
                  <c:v>16.7</c:v>
                </c:pt>
                <c:pt idx="17">
                  <c:v>16.8</c:v>
                </c:pt>
              </c:numCache>
            </c:numRef>
          </c:yVal>
          <c:bubbleSize>
            <c:numRef>
              <c:f>data!$O$56:$O$73</c:f>
              <c:numCache>
                <c:formatCode>General</c:formatCode>
                <c:ptCount val="18"/>
                <c:pt idx="0">
                  <c:v>-0.11241950713431811</c:v>
                </c:pt>
                <c:pt idx="1">
                  <c:v>-0.11241950713431811</c:v>
                </c:pt>
                <c:pt idx="2">
                  <c:v>-0.11241950713431811</c:v>
                </c:pt>
                <c:pt idx="3">
                  <c:v>-0.11241950713431811</c:v>
                </c:pt>
                <c:pt idx="4">
                  <c:v>-0.11241950713431811</c:v>
                </c:pt>
                <c:pt idx="5">
                  <c:v>-0.11241950713431811</c:v>
                </c:pt>
                <c:pt idx="6">
                  <c:v>-0.11241950713431811</c:v>
                </c:pt>
                <c:pt idx="7">
                  <c:v>-0.11241950713431811</c:v>
                </c:pt>
                <c:pt idx="8">
                  <c:v>-0.11241950713431811</c:v>
                </c:pt>
                <c:pt idx="9">
                  <c:v>-0.11241950713431811</c:v>
                </c:pt>
                <c:pt idx="10">
                  <c:v>-0.11241950713431811</c:v>
                </c:pt>
                <c:pt idx="11">
                  <c:v>-0.11241950713431811</c:v>
                </c:pt>
                <c:pt idx="12">
                  <c:v>-0.11241950713431811</c:v>
                </c:pt>
                <c:pt idx="13">
                  <c:v>-0.11241950713431811</c:v>
                </c:pt>
                <c:pt idx="14">
                  <c:v>-0.11241950713431811</c:v>
                </c:pt>
                <c:pt idx="15">
                  <c:v>-0.11241950713431811</c:v>
                </c:pt>
                <c:pt idx="16">
                  <c:v>-0.11241950713431811</c:v>
                </c:pt>
                <c:pt idx="17">
                  <c:v>-0.11241950713431811</c:v>
                </c:pt>
              </c:numCache>
            </c:numRef>
          </c:bubbleSize>
          <c:bubble3D val="0"/>
          <c:extLst>
            <c:ext xmlns:c16="http://schemas.microsoft.com/office/drawing/2014/chart" uri="{C3380CC4-5D6E-409C-BE32-E72D297353CC}">
              <c16:uniqueId val="{00000007-AFA0-1348-AD90-5E5372456E2E}"/>
            </c:ext>
          </c:extLst>
        </c:ser>
        <c:ser>
          <c:idx val="6"/>
          <c:order val="6"/>
          <c:tx>
            <c:strRef>
              <c:f>data!$A$74</c:f>
              <c:strCache>
                <c:ptCount val="1"/>
                <c:pt idx="0">
                  <c:v>Clark et al. (2016)</c:v>
                </c:pt>
              </c:strCache>
            </c:strRef>
          </c:tx>
          <c:spPr>
            <a:solidFill>
              <a:srgbClr val="92D050">
                <a:alpha val="40000"/>
              </a:srgbClr>
            </a:solidFill>
            <a:ln w="6350">
              <a:solidFill>
                <a:schemeClr val="tx1">
                  <a:alpha val="40000"/>
                </a:schemeClr>
              </a:solidFill>
            </a:ln>
            <a:effectLst/>
          </c:spPr>
          <c:invertIfNegative val="0"/>
          <c:xVal>
            <c:numRef>
              <c:f>data!$H$74:$H$93</c:f>
              <c:numCache>
                <c:formatCode>0.0</c:formatCode>
                <c:ptCount val="20"/>
                <c:pt idx="0">
                  <c:v>15.26</c:v>
                </c:pt>
                <c:pt idx="1">
                  <c:v>14.04</c:v>
                </c:pt>
                <c:pt idx="2">
                  <c:v>16.95</c:v>
                </c:pt>
                <c:pt idx="3">
                  <c:v>12.3</c:v>
                </c:pt>
                <c:pt idx="4">
                  <c:v>8.11</c:v>
                </c:pt>
                <c:pt idx="5">
                  <c:v>5.13</c:v>
                </c:pt>
                <c:pt idx="6">
                  <c:v>8.1199999999999992</c:v>
                </c:pt>
                <c:pt idx="7">
                  <c:v>8.52</c:v>
                </c:pt>
                <c:pt idx="8">
                  <c:v>8.07</c:v>
                </c:pt>
                <c:pt idx="9">
                  <c:v>15.08</c:v>
                </c:pt>
                <c:pt idx="10">
                  <c:v>15.26</c:v>
                </c:pt>
                <c:pt idx="11">
                  <c:v>14.04</c:v>
                </c:pt>
                <c:pt idx="12">
                  <c:v>16.95</c:v>
                </c:pt>
                <c:pt idx="13">
                  <c:v>12.3</c:v>
                </c:pt>
                <c:pt idx="14">
                  <c:v>8.11</c:v>
                </c:pt>
                <c:pt idx="15">
                  <c:v>5.13</c:v>
                </c:pt>
                <c:pt idx="16">
                  <c:v>8.1199999999999992</c:v>
                </c:pt>
                <c:pt idx="17">
                  <c:v>8.52</c:v>
                </c:pt>
                <c:pt idx="18">
                  <c:v>8.07</c:v>
                </c:pt>
                <c:pt idx="19">
                  <c:v>15.08</c:v>
                </c:pt>
              </c:numCache>
            </c:numRef>
          </c:xVal>
          <c:yVal>
            <c:numRef>
              <c:f>data!$I$74:$I$93</c:f>
              <c:numCache>
                <c:formatCode>0.0</c:formatCode>
                <c:ptCount val="20"/>
                <c:pt idx="0">
                  <c:v>14.55</c:v>
                </c:pt>
                <c:pt idx="1">
                  <c:v>15.54</c:v>
                </c:pt>
                <c:pt idx="2">
                  <c:v>23.21</c:v>
                </c:pt>
                <c:pt idx="3">
                  <c:v>20.25</c:v>
                </c:pt>
                <c:pt idx="4">
                  <c:v>4.1100000000000003</c:v>
                </c:pt>
                <c:pt idx="5">
                  <c:v>5.61</c:v>
                </c:pt>
                <c:pt idx="6">
                  <c:v>7.1</c:v>
                </c:pt>
                <c:pt idx="7">
                  <c:v>8.0399999999999991</c:v>
                </c:pt>
                <c:pt idx="8">
                  <c:v>8.15</c:v>
                </c:pt>
                <c:pt idx="9">
                  <c:v>14.03</c:v>
                </c:pt>
                <c:pt idx="10">
                  <c:v>13.54</c:v>
                </c:pt>
                <c:pt idx="11">
                  <c:v>14.38</c:v>
                </c:pt>
                <c:pt idx="12">
                  <c:v>22.72</c:v>
                </c:pt>
                <c:pt idx="13">
                  <c:v>20.239999999999998</c:v>
                </c:pt>
                <c:pt idx="14">
                  <c:v>3.85</c:v>
                </c:pt>
                <c:pt idx="15">
                  <c:v>5.54</c:v>
                </c:pt>
                <c:pt idx="16">
                  <c:v>6.46</c:v>
                </c:pt>
                <c:pt idx="17">
                  <c:v>8.0299999999999994</c:v>
                </c:pt>
                <c:pt idx="18">
                  <c:v>8.83</c:v>
                </c:pt>
                <c:pt idx="19">
                  <c:v>13.37</c:v>
                </c:pt>
              </c:numCache>
            </c:numRef>
          </c:yVal>
          <c:bubbleSize>
            <c:numRef>
              <c:f>data!$O$74:$O$93</c:f>
              <c:numCache>
                <c:formatCode>General</c:formatCode>
                <c:ptCount val="20"/>
                <c:pt idx="0">
                  <c:v>0.84970762568997049</c:v>
                </c:pt>
                <c:pt idx="1">
                  <c:v>0.84970762568997049</c:v>
                </c:pt>
                <c:pt idx="2">
                  <c:v>0.84970762568997049</c:v>
                </c:pt>
                <c:pt idx="3">
                  <c:v>0.84970762568997049</c:v>
                </c:pt>
                <c:pt idx="4">
                  <c:v>0.84970762568997049</c:v>
                </c:pt>
                <c:pt idx="5">
                  <c:v>0.84970762568997049</c:v>
                </c:pt>
                <c:pt idx="6">
                  <c:v>0.84970762568997049</c:v>
                </c:pt>
                <c:pt idx="7">
                  <c:v>0.84970762568997049</c:v>
                </c:pt>
                <c:pt idx="8">
                  <c:v>0.84970762568997049</c:v>
                </c:pt>
                <c:pt idx="9">
                  <c:v>0.84970762568997049</c:v>
                </c:pt>
                <c:pt idx="10">
                  <c:v>0.84970762568997049</c:v>
                </c:pt>
                <c:pt idx="11">
                  <c:v>0.84970762568997049</c:v>
                </c:pt>
                <c:pt idx="12">
                  <c:v>0.84970762568997049</c:v>
                </c:pt>
                <c:pt idx="13">
                  <c:v>0.84970762568997049</c:v>
                </c:pt>
                <c:pt idx="14">
                  <c:v>0.84970762568997049</c:v>
                </c:pt>
                <c:pt idx="15">
                  <c:v>0.84970762568997049</c:v>
                </c:pt>
                <c:pt idx="16">
                  <c:v>0.84970762568997049</c:v>
                </c:pt>
                <c:pt idx="17">
                  <c:v>0.84970762568997049</c:v>
                </c:pt>
                <c:pt idx="18">
                  <c:v>0.84970762568997049</c:v>
                </c:pt>
                <c:pt idx="19">
                  <c:v>0.84970762568997049</c:v>
                </c:pt>
              </c:numCache>
            </c:numRef>
          </c:bubbleSize>
          <c:bubble3D val="0"/>
          <c:extLst>
            <c:ext xmlns:c16="http://schemas.microsoft.com/office/drawing/2014/chart" uri="{C3380CC4-5D6E-409C-BE32-E72D297353CC}">
              <c16:uniqueId val="{00000008-AFA0-1348-AD90-5E5372456E2E}"/>
            </c:ext>
          </c:extLst>
        </c:ser>
        <c:ser>
          <c:idx val="7"/>
          <c:order val="7"/>
          <c:tx>
            <c:strRef>
              <c:f>data!$A$94</c:f>
              <c:strCache>
                <c:ptCount val="1"/>
                <c:pt idx="0">
                  <c:v>Bartram et al. (2017)</c:v>
                </c:pt>
              </c:strCache>
            </c:strRef>
          </c:tx>
          <c:spPr>
            <a:solidFill>
              <a:srgbClr val="00B050">
                <a:alpha val="40000"/>
              </a:srgbClr>
            </a:solidFill>
            <a:ln w="6350">
              <a:solidFill>
                <a:schemeClr val="tx1">
                  <a:alpha val="40000"/>
                </a:schemeClr>
              </a:solidFill>
            </a:ln>
            <a:effectLst/>
          </c:spPr>
          <c:invertIfNegative val="0"/>
          <c:xVal>
            <c:numRef>
              <c:f>data!$H$94:$H$99</c:f>
              <c:numCache>
                <c:formatCode>0.0</c:formatCode>
                <c:ptCount val="6"/>
                <c:pt idx="0">
                  <c:v>12.4</c:v>
                </c:pt>
                <c:pt idx="1">
                  <c:v>12.9</c:v>
                </c:pt>
                <c:pt idx="2">
                  <c:v>15</c:v>
                </c:pt>
                <c:pt idx="3">
                  <c:v>15.4</c:v>
                </c:pt>
                <c:pt idx="4">
                  <c:v>15.4</c:v>
                </c:pt>
                <c:pt idx="5">
                  <c:v>21.7</c:v>
                </c:pt>
              </c:numCache>
            </c:numRef>
          </c:xVal>
          <c:yVal>
            <c:numRef>
              <c:f>data!$I$94:$I$99</c:f>
              <c:numCache>
                <c:formatCode>0.0</c:formatCode>
                <c:ptCount val="6"/>
                <c:pt idx="0">
                  <c:v>25.8</c:v>
                </c:pt>
                <c:pt idx="1">
                  <c:v>21.8</c:v>
                </c:pt>
                <c:pt idx="2">
                  <c:v>25.9</c:v>
                </c:pt>
                <c:pt idx="3">
                  <c:v>20.9</c:v>
                </c:pt>
                <c:pt idx="4">
                  <c:v>31.6</c:v>
                </c:pt>
                <c:pt idx="5">
                  <c:v>19.7</c:v>
                </c:pt>
              </c:numCache>
            </c:numRef>
          </c:yVal>
          <c:bubbleSize>
            <c:numRef>
              <c:f>data!$O$94:$O$99</c:f>
              <c:numCache>
                <c:formatCode>General</c:formatCode>
                <c:ptCount val="6"/>
                <c:pt idx="0">
                  <c:v>-0.38108653368596573</c:v>
                </c:pt>
                <c:pt idx="1">
                  <c:v>-0.38108653368596573</c:v>
                </c:pt>
                <c:pt idx="2">
                  <c:v>-0.38108653368596573</c:v>
                </c:pt>
                <c:pt idx="3">
                  <c:v>-0.38108653368596573</c:v>
                </c:pt>
                <c:pt idx="4">
                  <c:v>-0.38108653368596573</c:v>
                </c:pt>
                <c:pt idx="5">
                  <c:v>-0.38108653368596573</c:v>
                </c:pt>
              </c:numCache>
            </c:numRef>
          </c:bubbleSize>
          <c:bubble3D val="0"/>
          <c:extLst>
            <c:ext xmlns:c16="http://schemas.microsoft.com/office/drawing/2014/chart" uri="{C3380CC4-5D6E-409C-BE32-E72D297353CC}">
              <c16:uniqueId val="{00000009-AFA0-1348-AD90-5E5372456E2E}"/>
            </c:ext>
          </c:extLst>
        </c:ser>
        <c:ser>
          <c:idx val="8"/>
          <c:order val="8"/>
          <c:tx>
            <c:strRef>
              <c:f>data!$A$100</c:f>
              <c:strCache>
                <c:ptCount val="1"/>
                <c:pt idx="0">
                  <c:v>Wright et al. (2017)</c:v>
                </c:pt>
              </c:strCache>
            </c:strRef>
          </c:tx>
          <c:spPr>
            <a:solidFill>
              <a:srgbClr val="00B0F0">
                <a:alpha val="40000"/>
              </a:srgbClr>
            </a:solidFill>
            <a:ln w="6350">
              <a:solidFill>
                <a:schemeClr val="tx1">
                  <a:alpha val="40000"/>
                </a:schemeClr>
              </a:solidFill>
            </a:ln>
            <a:effectLst/>
          </c:spPr>
          <c:invertIfNegative val="0"/>
          <c:xVal>
            <c:numRef>
              <c:f>data!$H$100:$H$123</c:f>
              <c:numCache>
                <c:formatCode>0.0</c:formatCode>
                <c:ptCount val="24"/>
                <c:pt idx="0">
                  <c:v>29.5</c:v>
                </c:pt>
                <c:pt idx="1">
                  <c:v>19.200000000000003</c:v>
                </c:pt>
                <c:pt idx="2">
                  <c:v>19.899999999999999</c:v>
                </c:pt>
                <c:pt idx="3">
                  <c:v>17.350000000000001</c:v>
                </c:pt>
                <c:pt idx="4">
                  <c:v>14.5</c:v>
                </c:pt>
                <c:pt idx="5">
                  <c:v>9.9</c:v>
                </c:pt>
                <c:pt idx="6">
                  <c:v>8.1</c:v>
                </c:pt>
                <c:pt idx="7">
                  <c:v>14.549999999999999</c:v>
                </c:pt>
                <c:pt idx="8">
                  <c:v>12.25</c:v>
                </c:pt>
                <c:pt idx="9">
                  <c:v>15.25</c:v>
                </c:pt>
                <c:pt idx="10">
                  <c:v>14.3</c:v>
                </c:pt>
                <c:pt idx="11">
                  <c:v>11.55</c:v>
                </c:pt>
                <c:pt idx="12">
                  <c:v>11.350000000000001</c:v>
                </c:pt>
                <c:pt idx="13">
                  <c:v>11.55</c:v>
                </c:pt>
                <c:pt idx="14">
                  <c:v>12.649999999999999</c:v>
                </c:pt>
                <c:pt idx="15">
                  <c:v>18.150000000000002</c:v>
                </c:pt>
                <c:pt idx="16">
                  <c:v>11.45</c:v>
                </c:pt>
                <c:pt idx="17">
                  <c:v>15.55</c:v>
                </c:pt>
                <c:pt idx="18">
                  <c:v>10.75</c:v>
                </c:pt>
                <c:pt idx="19">
                  <c:v>22.7</c:v>
                </c:pt>
                <c:pt idx="20">
                  <c:v>19.149999999999999</c:v>
                </c:pt>
                <c:pt idx="21">
                  <c:v>12.3</c:v>
                </c:pt>
                <c:pt idx="22">
                  <c:v>9.8500000000000014</c:v>
                </c:pt>
                <c:pt idx="23">
                  <c:v>5.85</c:v>
                </c:pt>
              </c:numCache>
            </c:numRef>
          </c:xVal>
          <c:yVal>
            <c:numRef>
              <c:f>data!$I$100:$I$123</c:f>
              <c:numCache>
                <c:formatCode>0.0</c:formatCode>
                <c:ptCount val="24"/>
                <c:pt idx="0">
                  <c:v>33.700000000000003</c:v>
                </c:pt>
                <c:pt idx="1">
                  <c:v>30.400000000000002</c:v>
                </c:pt>
                <c:pt idx="2">
                  <c:v>22.5</c:v>
                </c:pt>
                <c:pt idx="3">
                  <c:v>24.650000000000002</c:v>
                </c:pt>
                <c:pt idx="4">
                  <c:v>23.9</c:v>
                </c:pt>
                <c:pt idx="5">
                  <c:v>24.700000000000003</c:v>
                </c:pt>
                <c:pt idx="6">
                  <c:v>23.9</c:v>
                </c:pt>
                <c:pt idx="7">
                  <c:v>20.849999999999998</c:v>
                </c:pt>
                <c:pt idx="8">
                  <c:v>18.75</c:v>
                </c:pt>
                <c:pt idx="9">
                  <c:v>16.149999999999999</c:v>
                </c:pt>
                <c:pt idx="10">
                  <c:v>16.7</c:v>
                </c:pt>
                <c:pt idx="11">
                  <c:v>15.450000000000001</c:v>
                </c:pt>
                <c:pt idx="12">
                  <c:v>15.450000000000001</c:v>
                </c:pt>
                <c:pt idx="13">
                  <c:v>16.25</c:v>
                </c:pt>
                <c:pt idx="14">
                  <c:v>16.75</c:v>
                </c:pt>
                <c:pt idx="15">
                  <c:v>22.450000000000003</c:v>
                </c:pt>
                <c:pt idx="16">
                  <c:v>18.75</c:v>
                </c:pt>
                <c:pt idx="17">
                  <c:v>24.65</c:v>
                </c:pt>
                <c:pt idx="18">
                  <c:v>20.85</c:v>
                </c:pt>
                <c:pt idx="19">
                  <c:v>33.700000000000003</c:v>
                </c:pt>
                <c:pt idx="20">
                  <c:v>30.25</c:v>
                </c:pt>
                <c:pt idx="21">
                  <c:v>24.700000000000003</c:v>
                </c:pt>
                <c:pt idx="22">
                  <c:v>24.75</c:v>
                </c:pt>
                <c:pt idx="23">
                  <c:v>23.950000000000003</c:v>
                </c:pt>
              </c:numCache>
            </c:numRef>
          </c:yVal>
          <c:bubbleSize>
            <c:numRef>
              <c:f>data!$O$100:$O$123</c:f>
              <c:numCache>
                <c:formatCode>General</c:formatCode>
                <c:ptCount val="24"/>
                <c:pt idx="0">
                  <c:v>0.60251136797863547</c:v>
                </c:pt>
                <c:pt idx="1">
                  <c:v>0.60251136797863547</c:v>
                </c:pt>
                <c:pt idx="2">
                  <c:v>0.60251136797863547</c:v>
                </c:pt>
                <c:pt idx="3">
                  <c:v>0.60251136797863547</c:v>
                </c:pt>
                <c:pt idx="4">
                  <c:v>0.60251136797863547</c:v>
                </c:pt>
                <c:pt idx="5">
                  <c:v>0.60251136797863547</c:v>
                </c:pt>
                <c:pt idx="6">
                  <c:v>0.60251136797863547</c:v>
                </c:pt>
                <c:pt idx="7">
                  <c:v>0.60251136797863547</c:v>
                </c:pt>
                <c:pt idx="8">
                  <c:v>0.60251136797863547</c:v>
                </c:pt>
                <c:pt idx="9">
                  <c:v>0.60251136797863547</c:v>
                </c:pt>
                <c:pt idx="10">
                  <c:v>0.60251136797863547</c:v>
                </c:pt>
                <c:pt idx="11">
                  <c:v>0.60251136797863547</c:v>
                </c:pt>
                <c:pt idx="12">
                  <c:v>0.60251136797863547</c:v>
                </c:pt>
                <c:pt idx="13">
                  <c:v>0.60251136797863547</c:v>
                </c:pt>
                <c:pt idx="14">
                  <c:v>0.60251136797863547</c:v>
                </c:pt>
                <c:pt idx="15">
                  <c:v>0.60251136797863547</c:v>
                </c:pt>
                <c:pt idx="16">
                  <c:v>0.60251136797863547</c:v>
                </c:pt>
                <c:pt idx="17">
                  <c:v>0.60251136797863547</c:v>
                </c:pt>
                <c:pt idx="18">
                  <c:v>0.60251136797863547</c:v>
                </c:pt>
                <c:pt idx="19">
                  <c:v>0.60251136797863547</c:v>
                </c:pt>
                <c:pt idx="20">
                  <c:v>0.60251136797863547</c:v>
                </c:pt>
                <c:pt idx="21">
                  <c:v>0.60251136797863547</c:v>
                </c:pt>
                <c:pt idx="22">
                  <c:v>0.60251136797863547</c:v>
                </c:pt>
                <c:pt idx="23">
                  <c:v>0.60251136797863547</c:v>
                </c:pt>
              </c:numCache>
            </c:numRef>
          </c:bubbleSize>
          <c:bubble3D val="0"/>
          <c:extLst>
            <c:ext xmlns:c16="http://schemas.microsoft.com/office/drawing/2014/chart" uri="{C3380CC4-5D6E-409C-BE32-E72D297353CC}">
              <c16:uniqueId val="{0000000A-AFA0-1348-AD90-5E5372456E2E}"/>
            </c:ext>
          </c:extLst>
        </c:ser>
        <c:ser>
          <c:idx val="9"/>
          <c:order val="9"/>
          <c:tx>
            <c:strRef>
              <c:f>data!$A$124</c:f>
              <c:strCache>
                <c:ptCount val="1"/>
                <c:pt idx="0">
                  <c:v>Clark et al. (2019)</c:v>
                </c:pt>
              </c:strCache>
            </c:strRef>
          </c:tx>
          <c:spPr>
            <a:solidFill>
              <a:srgbClr val="7030A0">
                <a:alpha val="40000"/>
              </a:srgbClr>
            </a:solidFill>
            <a:ln w="6350">
              <a:solidFill>
                <a:schemeClr val="tx1">
                  <a:alpha val="40000"/>
                </a:schemeClr>
              </a:solidFill>
            </a:ln>
            <a:effectLst/>
          </c:spPr>
          <c:invertIfNegative val="0"/>
          <c:xVal>
            <c:numRef>
              <c:f>data!$H$124:$H$137</c:f>
              <c:numCache>
                <c:formatCode>0.0</c:formatCode>
                <c:ptCount val="14"/>
                <c:pt idx="0">
                  <c:v>7.6</c:v>
                </c:pt>
                <c:pt idx="1">
                  <c:v>7.4</c:v>
                </c:pt>
                <c:pt idx="2">
                  <c:v>9.5</c:v>
                </c:pt>
                <c:pt idx="3">
                  <c:v>9</c:v>
                </c:pt>
                <c:pt idx="4">
                  <c:v>13.4</c:v>
                </c:pt>
                <c:pt idx="5">
                  <c:v>12.4</c:v>
                </c:pt>
                <c:pt idx="6">
                  <c:v>14.1</c:v>
                </c:pt>
                <c:pt idx="7">
                  <c:v>25.5</c:v>
                </c:pt>
                <c:pt idx="8">
                  <c:v>19.399999999999999</c:v>
                </c:pt>
                <c:pt idx="9">
                  <c:v>19</c:v>
                </c:pt>
                <c:pt idx="10">
                  <c:v>19.100000000000001</c:v>
                </c:pt>
                <c:pt idx="11">
                  <c:v>17.3</c:v>
                </c:pt>
                <c:pt idx="12">
                  <c:v>16.8</c:v>
                </c:pt>
                <c:pt idx="13">
                  <c:v>15.4</c:v>
                </c:pt>
              </c:numCache>
            </c:numRef>
          </c:xVal>
          <c:yVal>
            <c:numRef>
              <c:f>data!$I$124:$I$137</c:f>
              <c:numCache>
                <c:formatCode>0.0</c:formatCode>
                <c:ptCount val="14"/>
                <c:pt idx="0">
                  <c:v>8.8000000000000007</c:v>
                </c:pt>
                <c:pt idx="1">
                  <c:v>10.6</c:v>
                </c:pt>
                <c:pt idx="2">
                  <c:v>11.7</c:v>
                </c:pt>
                <c:pt idx="3">
                  <c:v>16.8</c:v>
                </c:pt>
                <c:pt idx="4">
                  <c:v>10.3</c:v>
                </c:pt>
                <c:pt idx="5">
                  <c:v>15.2</c:v>
                </c:pt>
                <c:pt idx="6">
                  <c:v>15.9</c:v>
                </c:pt>
                <c:pt idx="7">
                  <c:v>23.8</c:v>
                </c:pt>
                <c:pt idx="8">
                  <c:v>9.8000000000000007</c:v>
                </c:pt>
                <c:pt idx="9">
                  <c:v>11.4</c:v>
                </c:pt>
                <c:pt idx="10">
                  <c:v>15.5</c:v>
                </c:pt>
                <c:pt idx="11">
                  <c:v>19.8</c:v>
                </c:pt>
                <c:pt idx="12">
                  <c:v>20.6</c:v>
                </c:pt>
                <c:pt idx="13">
                  <c:v>22.2</c:v>
                </c:pt>
              </c:numCache>
            </c:numRef>
          </c:yVal>
          <c:bubbleSize>
            <c:numRef>
              <c:f>data!$O$124:$O$137</c:f>
              <c:numCache>
                <c:formatCode>General</c:formatCode>
                <c:ptCount val="14"/>
                <c:pt idx="0">
                  <c:v>0.51696841060077037</c:v>
                </c:pt>
                <c:pt idx="1">
                  <c:v>0.51696841060077037</c:v>
                </c:pt>
                <c:pt idx="2">
                  <c:v>0.51696841060077037</c:v>
                </c:pt>
                <c:pt idx="3">
                  <c:v>0.51696841060077037</c:v>
                </c:pt>
                <c:pt idx="4">
                  <c:v>0.51696841060077037</c:v>
                </c:pt>
                <c:pt idx="5">
                  <c:v>0.51696841060077037</c:v>
                </c:pt>
                <c:pt idx="6">
                  <c:v>0.51696841060077037</c:v>
                </c:pt>
                <c:pt idx="7">
                  <c:v>0.51696841060077037</c:v>
                </c:pt>
                <c:pt idx="8">
                  <c:v>0.51696841060077037</c:v>
                </c:pt>
                <c:pt idx="9">
                  <c:v>0.51696841060077037</c:v>
                </c:pt>
                <c:pt idx="10">
                  <c:v>0.51696841060077037</c:v>
                </c:pt>
                <c:pt idx="11">
                  <c:v>0.51696841060077037</c:v>
                </c:pt>
                <c:pt idx="12">
                  <c:v>0.51696841060077037</c:v>
                </c:pt>
                <c:pt idx="13">
                  <c:v>0.51696841060077037</c:v>
                </c:pt>
              </c:numCache>
            </c:numRef>
          </c:bubbleSize>
          <c:bubble3D val="0"/>
          <c:extLst>
            <c:ext xmlns:c16="http://schemas.microsoft.com/office/drawing/2014/chart" uri="{C3380CC4-5D6E-409C-BE32-E72D297353CC}">
              <c16:uniqueId val="{0000000B-AFA0-1348-AD90-5E5372456E2E}"/>
            </c:ext>
          </c:extLst>
        </c:ser>
        <c:ser>
          <c:idx val="10"/>
          <c:order val="10"/>
          <c:tx>
            <c:strRef>
              <c:f>data!$A$138</c:f>
              <c:strCache>
                <c:ptCount val="1"/>
                <c:pt idx="0">
                  <c:v>Goulding et al. (2021)</c:v>
                </c:pt>
              </c:strCache>
            </c:strRef>
          </c:tx>
          <c:spPr>
            <a:solidFill>
              <a:srgbClr val="FF8AD8">
                <a:alpha val="40000"/>
              </a:srgbClr>
            </a:solidFill>
            <a:ln w="6350">
              <a:solidFill>
                <a:schemeClr val="tx1">
                  <a:alpha val="40000"/>
                </a:schemeClr>
              </a:solidFill>
            </a:ln>
            <a:effectLst/>
          </c:spPr>
          <c:invertIfNegative val="0"/>
          <c:xVal>
            <c:numRef>
              <c:f>data!$H$138:$H$160</c:f>
              <c:numCache>
                <c:formatCode>0.0</c:formatCode>
                <c:ptCount val="23"/>
                <c:pt idx="0">
                  <c:v>11.700000000000001</c:v>
                </c:pt>
                <c:pt idx="1">
                  <c:v>20.399999999999999</c:v>
                </c:pt>
                <c:pt idx="2">
                  <c:v>18.95</c:v>
                </c:pt>
                <c:pt idx="3">
                  <c:v>21.45</c:v>
                </c:pt>
                <c:pt idx="4">
                  <c:v>18.25</c:v>
                </c:pt>
                <c:pt idx="5">
                  <c:v>17.7</c:v>
                </c:pt>
                <c:pt idx="6">
                  <c:v>7.25</c:v>
                </c:pt>
                <c:pt idx="7">
                  <c:v>9.0499999999999989</c:v>
                </c:pt>
                <c:pt idx="8">
                  <c:v>21.15</c:v>
                </c:pt>
                <c:pt idx="9">
                  <c:v>11.35</c:v>
                </c:pt>
                <c:pt idx="10">
                  <c:v>7.8999999999999995</c:v>
                </c:pt>
                <c:pt idx="11">
                  <c:v>10.549999999999999</c:v>
                </c:pt>
                <c:pt idx="12">
                  <c:v>15.299999999999999</c:v>
                </c:pt>
                <c:pt idx="13">
                  <c:v>12.9</c:v>
                </c:pt>
                <c:pt idx="14">
                  <c:v>13.4</c:v>
                </c:pt>
                <c:pt idx="15">
                  <c:v>5.55</c:v>
                </c:pt>
                <c:pt idx="16">
                  <c:v>6.8500000000000005</c:v>
                </c:pt>
                <c:pt idx="17">
                  <c:v>23.75</c:v>
                </c:pt>
                <c:pt idx="18">
                  <c:v>18.350000000000001</c:v>
                </c:pt>
                <c:pt idx="19">
                  <c:v>18.45</c:v>
                </c:pt>
                <c:pt idx="20">
                  <c:v>16.349999999999998</c:v>
                </c:pt>
                <c:pt idx="21">
                  <c:v>15.05</c:v>
                </c:pt>
                <c:pt idx="22">
                  <c:v>15.75</c:v>
                </c:pt>
              </c:numCache>
            </c:numRef>
          </c:xVal>
          <c:yVal>
            <c:numRef>
              <c:f>data!$I$138:$I$160</c:f>
              <c:numCache>
                <c:formatCode>0.0</c:formatCode>
                <c:ptCount val="23"/>
                <c:pt idx="0">
                  <c:v>24.9</c:v>
                </c:pt>
                <c:pt idx="1">
                  <c:v>25.4</c:v>
                </c:pt>
                <c:pt idx="2">
                  <c:v>23.05</c:v>
                </c:pt>
                <c:pt idx="3">
                  <c:v>21.95</c:v>
                </c:pt>
                <c:pt idx="4">
                  <c:v>17.549999999999997</c:v>
                </c:pt>
                <c:pt idx="5">
                  <c:v>11.9</c:v>
                </c:pt>
                <c:pt idx="6">
                  <c:v>6.15</c:v>
                </c:pt>
                <c:pt idx="7">
                  <c:v>15.35</c:v>
                </c:pt>
                <c:pt idx="8">
                  <c:v>19.850000000000001</c:v>
                </c:pt>
                <c:pt idx="9">
                  <c:v>12.85</c:v>
                </c:pt>
                <c:pt idx="10">
                  <c:v>12.3</c:v>
                </c:pt>
                <c:pt idx="11">
                  <c:v>15.85</c:v>
                </c:pt>
                <c:pt idx="12">
                  <c:v>18.099999999999998</c:v>
                </c:pt>
                <c:pt idx="13">
                  <c:v>15.299999999999999</c:v>
                </c:pt>
                <c:pt idx="14">
                  <c:v>15.799999999999999</c:v>
                </c:pt>
                <c:pt idx="15">
                  <c:v>7.45</c:v>
                </c:pt>
                <c:pt idx="16">
                  <c:v>7.95</c:v>
                </c:pt>
                <c:pt idx="17">
                  <c:v>13.049999999999999</c:v>
                </c:pt>
                <c:pt idx="18">
                  <c:v>14.65</c:v>
                </c:pt>
                <c:pt idx="19">
                  <c:v>13.95</c:v>
                </c:pt>
                <c:pt idx="20">
                  <c:v>11.049999999999999</c:v>
                </c:pt>
                <c:pt idx="21">
                  <c:v>8.9499999999999993</c:v>
                </c:pt>
                <c:pt idx="22">
                  <c:v>7.0500000000000007</c:v>
                </c:pt>
              </c:numCache>
            </c:numRef>
          </c:yVal>
          <c:bubbleSize>
            <c:numRef>
              <c:f>data!$O$138:$O$160</c:f>
              <c:numCache>
                <c:formatCode>General</c:formatCode>
                <c:ptCount val="23"/>
                <c:pt idx="0">
                  <c:v>0.64511177972357414</c:v>
                </c:pt>
                <c:pt idx="1">
                  <c:v>0.64511177972357414</c:v>
                </c:pt>
                <c:pt idx="2">
                  <c:v>0.64511177972357414</c:v>
                </c:pt>
                <c:pt idx="3">
                  <c:v>0.64511177972357414</c:v>
                </c:pt>
                <c:pt idx="4">
                  <c:v>0.64511177972357414</c:v>
                </c:pt>
                <c:pt idx="5">
                  <c:v>0.64511177972357414</c:v>
                </c:pt>
                <c:pt idx="6">
                  <c:v>0.64511177972357414</c:v>
                </c:pt>
                <c:pt idx="7">
                  <c:v>0.64511177972357414</c:v>
                </c:pt>
                <c:pt idx="8">
                  <c:v>0.64511177972357414</c:v>
                </c:pt>
                <c:pt idx="9">
                  <c:v>0.64511177972357414</c:v>
                </c:pt>
                <c:pt idx="10">
                  <c:v>0.64511177972357414</c:v>
                </c:pt>
                <c:pt idx="11">
                  <c:v>0.64511177972357414</c:v>
                </c:pt>
                <c:pt idx="12">
                  <c:v>0.64511177972357414</c:v>
                </c:pt>
                <c:pt idx="13">
                  <c:v>0.64511177972357414</c:v>
                </c:pt>
                <c:pt idx="14">
                  <c:v>0.64511177972357414</c:v>
                </c:pt>
                <c:pt idx="15">
                  <c:v>0.7342095288270003</c:v>
                </c:pt>
                <c:pt idx="16">
                  <c:v>0.7342095288270003</c:v>
                </c:pt>
                <c:pt idx="17">
                  <c:v>0.7342095288270003</c:v>
                </c:pt>
                <c:pt idx="18">
                  <c:v>0.7342095288270003</c:v>
                </c:pt>
                <c:pt idx="19">
                  <c:v>0.7342095288270003</c:v>
                </c:pt>
                <c:pt idx="20">
                  <c:v>0.7342095288270003</c:v>
                </c:pt>
                <c:pt idx="21">
                  <c:v>0.7342095288270003</c:v>
                </c:pt>
                <c:pt idx="22">
                  <c:v>0.7342095288270003</c:v>
                </c:pt>
              </c:numCache>
            </c:numRef>
          </c:bubbleSize>
          <c:bubble3D val="0"/>
          <c:extLst>
            <c:ext xmlns:c16="http://schemas.microsoft.com/office/drawing/2014/chart" uri="{C3380CC4-5D6E-409C-BE32-E72D297353CC}">
              <c16:uniqueId val="{00000002-A1DC-4843-87C2-00E421EF9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bubbleScale val="13"/>
        <c:showNegBubbles val="1"/>
        <c:sizeRepresents val="w"/>
        <c:axId val="1377238352"/>
        <c:axId val="1376886720"/>
      </c:bubbleChart>
      <c:valAx>
        <c:axId val="1377238352"/>
        <c:scaling>
          <c:orientation val="minMax"/>
          <c:max val="35"/>
          <c:min val="0"/>
        </c:scaling>
        <c:delete val="0"/>
        <c:axPos val="b"/>
        <c:majorGridlines>
          <c:spPr>
            <a:ln w="6350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ot"/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600" b="1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de-DE" sz="1600" b="1"/>
                  <a:t>WEP </a:t>
                </a:r>
                <a:r>
                  <a:rPr lang="de-DE" sz="1600" b="0"/>
                  <a:t>[kJ]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600" b="1" i="0" u="none" strike="noStrike" kern="1200" baseline="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de-DE"/>
            </a:p>
          </c:txPr>
        </c:title>
        <c:numFmt formatCode="0" sourceLinked="0"/>
        <c:majorTickMark val="out"/>
        <c:minorTickMark val="in"/>
        <c:tickLblPos val="nextTo"/>
        <c:spPr>
          <a:noFill/>
          <a:ln w="63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de-DE"/>
          </a:p>
        </c:txPr>
        <c:crossAx val="1376886720"/>
        <c:crosses val="autoZero"/>
        <c:crossBetween val="midCat"/>
        <c:majorUnit val="5"/>
      </c:valAx>
      <c:valAx>
        <c:axId val="1376886720"/>
        <c:scaling>
          <c:orientation val="minMax"/>
          <c:max val="35"/>
          <c:min val="0"/>
        </c:scaling>
        <c:delete val="0"/>
        <c:axPos val="l"/>
        <c:majorGridlines>
          <c:spPr>
            <a:ln w="6350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ot"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600" b="1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de-DE" sz="1600" b="1"/>
                  <a:t>W' </a:t>
                </a:r>
                <a:r>
                  <a:rPr lang="de-DE" sz="1600" b="0"/>
                  <a:t>[kJ]</a:t>
                </a:r>
              </a:p>
            </c:rich>
          </c:tx>
          <c:layout>
            <c:manualLayout>
              <c:xMode val="edge"/>
              <c:yMode val="edge"/>
              <c:x val="1.322090360191547E-2"/>
              <c:y val="0.372773214285714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600" b="1" i="0" u="none" strike="noStrike" kern="1200" baseline="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de-DE"/>
            </a:p>
          </c:txPr>
        </c:title>
        <c:numFmt formatCode="0" sourceLinked="0"/>
        <c:majorTickMark val="out"/>
        <c:minorTickMark val="in"/>
        <c:tickLblPos val="nextTo"/>
        <c:spPr>
          <a:noFill/>
          <a:ln w="63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de-DE"/>
          </a:p>
        </c:txPr>
        <c:crossAx val="1377238352"/>
        <c:crosses val="autoZero"/>
        <c:crossBetween val="midCat"/>
        <c:majorUnit val="5"/>
      </c:valAx>
      <c:spPr>
        <a:solidFill>
          <a:schemeClr val="bg1"/>
        </a:solidFill>
        <a:ln>
          <a:noFill/>
        </a:ln>
        <a:effectLst/>
      </c:spPr>
    </c:plotArea>
    <c:legend>
      <c:legendPos val="r"/>
      <c:legendEntry>
        <c:idx val="0"/>
        <c:delete val="1"/>
      </c:legendEntry>
      <c:legendEntry>
        <c:idx val="1"/>
        <c:delete val="1"/>
      </c:legendEntry>
      <c:legendEntry>
        <c:idx val="11"/>
        <c:delete val="1"/>
      </c:legendEntry>
      <c:legendEntry>
        <c:idx val="12"/>
        <c:delete val="1"/>
      </c:legendEntry>
      <c:layout>
        <c:manualLayout>
          <c:xMode val="edge"/>
          <c:yMode val="edge"/>
          <c:x val="0.72201041666666665"/>
          <c:y val="0.48765753968253966"/>
          <c:w val="0.25963012506474731"/>
          <c:h val="0.38300126148005798"/>
        </c:manualLayout>
      </c:layout>
      <c:overlay val="0"/>
      <c:spPr>
        <a:solidFill>
          <a:schemeClr val="bg1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de-D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>
          <a:solidFill>
            <a:schemeClr val="tx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de-DE"/>
    </a:p>
  </c:txPr>
  <c:printSettings>
    <c:headerFooter/>
    <c:pageMargins b="0.78740157499999996" l="0.7" r="0.7" t="0.78740157499999996" header="0.3" footer="0.3"/>
    <c:pageSetup/>
  </c:printSettings>
  <c:userShapes r:id="rId3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4156308557151781"/>
          <c:y val="2.9482142857142856E-2"/>
          <c:w val="0.81213616489693941"/>
          <c:h val="0.85576428571428576"/>
        </c:manualLayout>
      </c:layout>
      <c:scatterChart>
        <c:scatterStyle val="lineMarker"/>
        <c:varyColors val="0"/>
        <c:ser>
          <c:idx val="0"/>
          <c:order val="0"/>
          <c:tx>
            <c:v>all</c:v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xVal>
            <c:numRef>
              <c:f>data!$L$2:$L$160</c:f>
              <c:numCache>
                <c:formatCode>0.0</c:formatCode>
                <c:ptCount val="159"/>
                <c:pt idx="0">
                  <c:v>9.5</c:v>
                </c:pt>
                <c:pt idx="1">
                  <c:v>17.45</c:v>
                </c:pt>
                <c:pt idx="2">
                  <c:v>23.700000000000003</c:v>
                </c:pt>
                <c:pt idx="3">
                  <c:v>11.7</c:v>
                </c:pt>
                <c:pt idx="4">
                  <c:v>17.350000000000001</c:v>
                </c:pt>
                <c:pt idx="5">
                  <c:v>15.15</c:v>
                </c:pt>
                <c:pt idx="6">
                  <c:v>16.799999999999997</c:v>
                </c:pt>
                <c:pt idx="7">
                  <c:v>13.2</c:v>
                </c:pt>
                <c:pt idx="8">
                  <c:v>18.25</c:v>
                </c:pt>
                <c:pt idx="9">
                  <c:v>12</c:v>
                </c:pt>
                <c:pt idx="10">
                  <c:v>9.6000000000000014</c:v>
                </c:pt>
                <c:pt idx="11">
                  <c:v>16.350000000000001</c:v>
                </c:pt>
                <c:pt idx="12">
                  <c:v>22.9</c:v>
                </c:pt>
                <c:pt idx="13">
                  <c:v>11.75</c:v>
                </c:pt>
                <c:pt idx="14">
                  <c:v>17.55</c:v>
                </c:pt>
                <c:pt idx="15">
                  <c:v>14.549999999999999</c:v>
                </c:pt>
                <c:pt idx="16">
                  <c:v>16.350000000000001</c:v>
                </c:pt>
                <c:pt idx="17">
                  <c:v>13.55</c:v>
                </c:pt>
                <c:pt idx="18">
                  <c:v>18.149999999999999</c:v>
                </c:pt>
                <c:pt idx="19">
                  <c:v>11.15</c:v>
                </c:pt>
                <c:pt idx="20">
                  <c:v>10.5</c:v>
                </c:pt>
                <c:pt idx="21">
                  <c:v>12.450000000000001</c:v>
                </c:pt>
                <c:pt idx="22">
                  <c:v>13.350000000000001</c:v>
                </c:pt>
                <c:pt idx="23">
                  <c:v>9.3000000000000007</c:v>
                </c:pt>
                <c:pt idx="24">
                  <c:v>10.7</c:v>
                </c:pt>
                <c:pt idx="25">
                  <c:v>14.35</c:v>
                </c:pt>
                <c:pt idx="26">
                  <c:v>10.55</c:v>
                </c:pt>
                <c:pt idx="27">
                  <c:v>9.75</c:v>
                </c:pt>
                <c:pt idx="28">
                  <c:v>5.5</c:v>
                </c:pt>
                <c:pt idx="29">
                  <c:v>13</c:v>
                </c:pt>
                <c:pt idx="30">
                  <c:v>13.95</c:v>
                </c:pt>
                <c:pt idx="31">
                  <c:v>15</c:v>
                </c:pt>
                <c:pt idx="32">
                  <c:v>15.5</c:v>
                </c:pt>
                <c:pt idx="33">
                  <c:v>14</c:v>
                </c:pt>
                <c:pt idx="34">
                  <c:v>15.5</c:v>
                </c:pt>
                <c:pt idx="35">
                  <c:v>16.45</c:v>
                </c:pt>
                <c:pt idx="36">
                  <c:v>17.95</c:v>
                </c:pt>
                <c:pt idx="37">
                  <c:v>18</c:v>
                </c:pt>
                <c:pt idx="38">
                  <c:v>20.5</c:v>
                </c:pt>
                <c:pt idx="39">
                  <c:v>17.5</c:v>
                </c:pt>
                <c:pt idx="40">
                  <c:v>20</c:v>
                </c:pt>
                <c:pt idx="41">
                  <c:v>19.649999999999999</c:v>
                </c:pt>
                <c:pt idx="42">
                  <c:v>19.25</c:v>
                </c:pt>
                <c:pt idx="43">
                  <c:v>17.05</c:v>
                </c:pt>
                <c:pt idx="44">
                  <c:v>14.5</c:v>
                </c:pt>
                <c:pt idx="45">
                  <c:v>14</c:v>
                </c:pt>
                <c:pt idx="46">
                  <c:v>13.5</c:v>
                </c:pt>
                <c:pt idx="47">
                  <c:v>14.55</c:v>
                </c:pt>
                <c:pt idx="48">
                  <c:v>12</c:v>
                </c:pt>
                <c:pt idx="49">
                  <c:v>14.1</c:v>
                </c:pt>
                <c:pt idx="50">
                  <c:v>16.2</c:v>
                </c:pt>
                <c:pt idx="51">
                  <c:v>11.6</c:v>
                </c:pt>
                <c:pt idx="52">
                  <c:v>3.8</c:v>
                </c:pt>
                <c:pt idx="53">
                  <c:v>3.8</c:v>
                </c:pt>
                <c:pt idx="54">
                  <c:v>19.049999999999997</c:v>
                </c:pt>
                <c:pt idx="55">
                  <c:v>15.2</c:v>
                </c:pt>
                <c:pt idx="56">
                  <c:v>19.05</c:v>
                </c:pt>
                <c:pt idx="57">
                  <c:v>14.75</c:v>
                </c:pt>
                <c:pt idx="58">
                  <c:v>23.950000000000003</c:v>
                </c:pt>
                <c:pt idx="59">
                  <c:v>18.399999999999999</c:v>
                </c:pt>
                <c:pt idx="60">
                  <c:v>19.200000000000003</c:v>
                </c:pt>
                <c:pt idx="61">
                  <c:v>24.15</c:v>
                </c:pt>
                <c:pt idx="62">
                  <c:v>16.8</c:v>
                </c:pt>
                <c:pt idx="63">
                  <c:v>14.65</c:v>
                </c:pt>
                <c:pt idx="64">
                  <c:v>15.6</c:v>
                </c:pt>
                <c:pt idx="65">
                  <c:v>16.649999999999999</c:v>
                </c:pt>
                <c:pt idx="66">
                  <c:v>16.399999999999999</c:v>
                </c:pt>
                <c:pt idx="67">
                  <c:v>14.700000000000001</c:v>
                </c:pt>
                <c:pt idx="68">
                  <c:v>14.45</c:v>
                </c:pt>
                <c:pt idx="69">
                  <c:v>17.5</c:v>
                </c:pt>
                <c:pt idx="70">
                  <c:v>15.5</c:v>
                </c:pt>
                <c:pt idx="71">
                  <c:v>13.5</c:v>
                </c:pt>
                <c:pt idx="72">
                  <c:v>14.905000000000001</c:v>
                </c:pt>
                <c:pt idx="73">
                  <c:v>14.79</c:v>
                </c:pt>
                <c:pt idx="74">
                  <c:v>20.079999999999998</c:v>
                </c:pt>
                <c:pt idx="75">
                  <c:v>16.274999999999999</c:v>
                </c:pt>
                <c:pt idx="76">
                  <c:v>6.1099999999999994</c:v>
                </c:pt>
                <c:pt idx="77">
                  <c:v>5.37</c:v>
                </c:pt>
                <c:pt idx="78">
                  <c:v>7.6099999999999994</c:v>
                </c:pt>
                <c:pt idx="79">
                  <c:v>8.2799999999999994</c:v>
                </c:pt>
                <c:pt idx="80">
                  <c:v>8.11</c:v>
                </c:pt>
                <c:pt idx="81">
                  <c:v>14.555</c:v>
                </c:pt>
                <c:pt idx="82">
                  <c:v>14.399999999999999</c:v>
                </c:pt>
                <c:pt idx="83">
                  <c:v>14.21</c:v>
                </c:pt>
                <c:pt idx="84">
                  <c:v>19.835000000000001</c:v>
                </c:pt>
                <c:pt idx="85">
                  <c:v>16.27</c:v>
                </c:pt>
                <c:pt idx="86">
                  <c:v>5.9799999999999995</c:v>
                </c:pt>
                <c:pt idx="87">
                  <c:v>5.335</c:v>
                </c:pt>
                <c:pt idx="88">
                  <c:v>7.2899999999999991</c:v>
                </c:pt>
                <c:pt idx="89">
                  <c:v>8.2749999999999986</c:v>
                </c:pt>
                <c:pt idx="90">
                  <c:v>8.4499999999999993</c:v>
                </c:pt>
                <c:pt idx="91">
                  <c:v>14.225</c:v>
                </c:pt>
                <c:pt idx="92">
                  <c:v>19.100000000000001</c:v>
                </c:pt>
                <c:pt idx="93">
                  <c:v>17.350000000000001</c:v>
                </c:pt>
                <c:pt idx="94">
                  <c:v>20.45</c:v>
                </c:pt>
                <c:pt idx="95">
                  <c:v>18.149999999999999</c:v>
                </c:pt>
                <c:pt idx="96">
                  <c:v>23.5</c:v>
                </c:pt>
                <c:pt idx="97">
                  <c:v>20.7</c:v>
                </c:pt>
                <c:pt idx="98">
                  <c:v>31.6</c:v>
                </c:pt>
                <c:pt idx="99">
                  <c:v>24.800000000000004</c:v>
                </c:pt>
                <c:pt idx="100">
                  <c:v>21.2</c:v>
                </c:pt>
                <c:pt idx="101">
                  <c:v>21</c:v>
                </c:pt>
                <c:pt idx="102">
                  <c:v>19.2</c:v>
                </c:pt>
                <c:pt idx="103">
                  <c:v>17.3</c:v>
                </c:pt>
                <c:pt idx="104">
                  <c:v>16</c:v>
                </c:pt>
                <c:pt idx="105">
                  <c:v>17.7</c:v>
                </c:pt>
                <c:pt idx="106">
                  <c:v>15.5</c:v>
                </c:pt>
                <c:pt idx="107">
                  <c:v>15.7</c:v>
                </c:pt>
                <c:pt idx="108">
                  <c:v>15.5</c:v>
                </c:pt>
                <c:pt idx="109">
                  <c:v>13.5</c:v>
                </c:pt>
                <c:pt idx="110">
                  <c:v>13.400000000000002</c:v>
                </c:pt>
                <c:pt idx="111">
                  <c:v>13.9</c:v>
                </c:pt>
                <c:pt idx="112">
                  <c:v>14.7</c:v>
                </c:pt>
                <c:pt idx="113">
                  <c:v>20.300000000000004</c:v>
                </c:pt>
                <c:pt idx="114">
                  <c:v>15.1</c:v>
                </c:pt>
                <c:pt idx="115">
                  <c:v>20.100000000000001</c:v>
                </c:pt>
                <c:pt idx="116">
                  <c:v>15.8</c:v>
                </c:pt>
                <c:pt idx="117">
                  <c:v>28.200000000000003</c:v>
                </c:pt>
                <c:pt idx="118">
                  <c:v>24.7</c:v>
                </c:pt>
                <c:pt idx="119">
                  <c:v>18.5</c:v>
                </c:pt>
                <c:pt idx="120">
                  <c:v>17.3</c:v>
                </c:pt>
                <c:pt idx="121">
                  <c:v>14.900000000000002</c:v>
                </c:pt>
                <c:pt idx="122">
                  <c:v>8.1999999999999993</c:v>
                </c:pt>
                <c:pt idx="123">
                  <c:v>9</c:v>
                </c:pt>
                <c:pt idx="124">
                  <c:v>10.6</c:v>
                </c:pt>
                <c:pt idx="125">
                  <c:v>12.9</c:v>
                </c:pt>
                <c:pt idx="126">
                  <c:v>11.850000000000001</c:v>
                </c:pt>
                <c:pt idx="127">
                  <c:v>13.8</c:v>
                </c:pt>
                <c:pt idx="128">
                  <c:v>15</c:v>
                </c:pt>
                <c:pt idx="129">
                  <c:v>24.65</c:v>
                </c:pt>
                <c:pt idx="130">
                  <c:v>14.6</c:v>
                </c:pt>
                <c:pt idx="131">
                  <c:v>15.2</c:v>
                </c:pt>
                <c:pt idx="132">
                  <c:v>17.3</c:v>
                </c:pt>
                <c:pt idx="133">
                  <c:v>18.55</c:v>
                </c:pt>
                <c:pt idx="134">
                  <c:v>18.700000000000003</c:v>
                </c:pt>
                <c:pt idx="135">
                  <c:v>18.8</c:v>
                </c:pt>
                <c:pt idx="136">
                  <c:v>18.3</c:v>
                </c:pt>
                <c:pt idx="137">
                  <c:v>22.9</c:v>
                </c:pt>
                <c:pt idx="138">
                  <c:v>21</c:v>
                </c:pt>
                <c:pt idx="139">
                  <c:v>21.7</c:v>
                </c:pt>
                <c:pt idx="140">
                  <c:v>17.899999999999999</c:v>
                </c:pt>
                <c:pt idx="141">
                  <c:v>14.8</c:v>
                </c:pt>
                <c:pt idx="142">
                  <c:v>6.7</c:v>
                </c:pt>
                <c:pt idx="143">
                  <c:v>12.2</c:v>
                </c:pt>
                <c:pt idx="144">
                  <c:v>20.5</c:v>
                </c:pt>
                <c:pt idx="145">
                  <c:v>12.1</c:v>
                </c:pt>
                <c:pt idx="146">
                  <c:v>10.1</c:v>
                </c:pt>
                <c:pt idx="147">
                  <c:v>13.2</c:v>
                </c:pt>
                <c:pt idx="148">
                  <c:v>16.7</c:v>
                </c:pt>
                <c:pt idx="149">
                  <c:v>14.1</c:v>
                </c:pt>
                <c:pt idx="150">
                  <c:v>14.6</c:v>
                </c:pt>
                <c:pt idx="151">
                  <c:v>6.5</c:v>
                </c:pt>
                <c:pt idx="152">
                  <c:v>7.4</c:v>
                </c:pt>
                <c:pt idx="153">
                  <c:v>18.399999999999999</c:v>
                </c:pt>
                <c:pt idx="154">
                  <c:v>16.5</c:v>
                </c:pt>
                <c:pt idx="155">
                  <c:v>16.2</c:v>
                </c:pt>
                <c:pt idx="156">
                  <c:v>13.7</c:v>
                </c:pt>
                <c:pt idx="157">
                  <c:v>12</c:v>
                </c:pt>
                <c:pt idx="158">
                  <c:v>11.4</c:v>
                </c:pt>
              </c:numCache>
            </c:numRef>
          </c:xVal>
          <c:yVal>
            <c:numRef>
              <c:f>data!$J$2:$J$160</c:f>
              <c:numCache>
                <c:formatCode>0.0</c:formatCode>
                <c:ptCount val="159"/>
                <c:pt idx="0">
                  <c:v>-0.39999999999999858</c:v>
                </c:pt>
                <c:pt idx="1">
                  <c:v>-2.8999999999999986</c:v>
                </c:pt>
                <c:pt idx="2">
                  <c:v>3.1999999999999993</c:v>
                </c:pt>
                <c:pt idx="3">
                  <c:v>1</c:v>
                </c:pt>
                <c:pt idx="4">
                  <c:v>1.3000000000000007</c:v>
                </c:pt>
                <c:pt idx="5">
                  <c:v>-5.9000000000000021</c:v>
                </c:pt>
                <c:pt idx="6">
                  <c:v>-1.1999999999999993</c:v>
                </c:pt>
                <c:pt idx="7">
                  <c:v>-3.4000000000000004</c:v>
                </c:pt>
                <c:pt idx="8">
                  <c:v>-0.29999999999999716</c:v>
                </c:pt>
                <c:pt idx="9">
                  <c:v>-1.3999999999999986</c:v>
                </c:pt>
                <c:pt idx="10">
                  <c:v>-0.59999999999999964</c:v>
                </c:pt>
                <c:pt idx="11">
                  <c:v>-0.69999999999999929</c:v>
                </c:pt>
                <c:pt idx="12">
                  <c:v>4.8000000000000007</c:v>
                </c:pt>
                <c:pt idx="13">
                  <c:v>0.89999999999999858</c:v>
                </c:pt>
                <c:pt idx="14">
                  <c:v>0.89999999999999858</c:v>
                </c:pt>
                <c:pt idx="15">
                  <c:v>-4.6999999999999993</c:v>
                </c:pt>
                <c:pt idx="16">
                  <c:v>-0.30000000000000071</c:v>
                </c:pt>
                <c:pt idx="17">
                  <c:v>-4.0999999999999996</c:v>
                </c:pt>
                <c:pt idx="18">
                  <c:v>-9.9999999999997868E-2</c:v>
                </c:pt>
                <c:pt idx="19">
                  <c:v>0.30000000000000071</c:v>
                </c:pt>
                <c:pt idx="20">
                  <c:v>4</c:v>
                </c:pt>
                <c:pt idx="21">
                  <c:v>-8.3000000000000007</c:v>
                </c:pt>
                <c:pt idx="22">
                  <c:v>-3.0999999999999996</c:v>
                </c:pt>
                <c:pt idx="23">
                  <c:v>-1.5999999999999996</c:v>
                </c:pt>
                <c:pt idx="24">
                  <c:v>0.40000000000000036</c:v>
                </c:pt>
                <c:pt idx="25">
                  <c:v>0.30000000000000071</c:v>
                </c:pt>
                <c:pt idx="26">
                  <c:v>-1.9000000000000004</c:v>
                </c:pt>
                <c:pt idx="27">
                  <c:v>-1.3000000000000007</c:v>
                </c:pt>
                <c:pt idx="28">
                  <c:v>-5</c:v>
                </c:pt>
                <c:pt idx="29">
                  <c:v>-6</c:v>
                </c:pt>
                <c:pt idx="30">
                  <c:v>-6.1</c:v>
                </c:pt>
                <c:pt idx="31">
                  <c:v>-6</c:v>
                </c:pt>
                <c:pt idx="32">
                  <c:v>-3</c:v>
                </c:pt>
                <c:pt idx="33">
                  <c:v>0</c:v>
                </c:pt>
                <c:pt idx="34">
                  <c:v>-9</c:v>
                </c:pt>
                <c:pt idx="35">
                  <c:v>-11.1</c:v>
                </c:pt>
                <c:pt idx="36">
                  <c:v>-14.1</c:v>
                </c:pt>
                <c:pt idx="37">
                  <c:v>-12</c:v>
                </c:pt>
                <c:pt idx="38">
                  <c:v>-9</c:v>
                </c:pt>
                <c:pt idx="39">
                  <c:v>-1</c:v>
                </c:pt>
                <c:pt idx="40">
                  <c:v>2</c:v>
                </c:pt>
                <c:pt idx="41">
                  <c:v>-8.6999999999999993</c:v>
                </c:pt>
                <c:pt idx="42">
                  <c:v>2.5</c:v>
                </c:pt>
                <c:pt idx="43">
                  <c:v>-11.9</c:v>
                </c:pt>
                <c:pt idx="44">
                  <c:v>-9</c:v>
                </c:pt>
                <c:pt idx="45">
                  <c:v>-8</c:v>
                </c:pt>
                <c:pt idx="46">
                  <c:v>-7</c:v>
                </c:pt>
                <c:pt idx="47">
                  <c:v>-6.9</c:v>
                </c:pt>
                <c:pt idx="48">
                  <c:v>-6</c:v>
                </c:pt>
                <c:pt idx="49">
                  <c:v>-1.8000000000000007</c:v>
                </c:pt>
                <c:pt idx="50">
                  <c:v>0.39999999999999858</c:v>
                </c:pt>
                <c:pt idx="51">
                  <c:v>3.1999999999999993</c:v>
                </c:pt>
                <c:pt idx="52">
                  <c:v>-4.4000000000000004</c:v>
                </c:pt>
                <c:pt idx="53">
                  <c:v>0</c:v>
                </c:pt>
                <c:pt idx="54">
                  <c:v>-6.6999999999999993</c:v>
                </c:pt>
                <c:pt idx="55">
                  <c:v>8.3999999999999986</c:v>
                </c:pt>
                <c:pt idx="56">
                  <c:v>-2.8999999999999986</c:v>
                </c:pt>
                <c:pt idx="57">
                  <c:v>6.2999999999999989</c:v>
                </c:pt>
                <c:pt idx="58">
                  <c:v>-11.7</c:v>
                </c:pt>
                <c:pt idx="59">
                  <c:v>-7.9999999999999982</c:v>
                </c:pt>
                <c:pt idx="60">
                  <c:v>-13.8</c:v>
                </c:pt>
                <c:pt idx="61">
                  <c:v>-1.6999999999999993</c:v>
                </c:pt>
                <c:pt idx="62">
                  <c:v>0.39999999999999858</c:v>
                </c:pt>
                <c:pt idx="63">
                  <c:v>2.6999999999999993</c:v>
                </c:pt>
                <c:pt idx="64">
                  <c:v>4.5999999999999979</c:v>
                </c:pt>
                <c:pt idx="65">
                  <c:v>5.4999999999999982</c:v>
                </c:pt>
                <c:pt idx="66">
                  <c:v>-3.9999999999999982</c:v>
                </c:pt>
                <c:pt idx="67">
                  <c:v>2.8000000000000007</c:v>
                </c:pt>
                <c:pt idx="68">
                  <c:v>-2.9000000000000004</c:v>
                </c:pt>
                <c:pt idx="69">
                  <c:v>-13</c:v>
                </c:pt>
                <c:pt idx="70">
                  <c:v>-2.3999999999999986</c:v>
                </c:pt>
                <c:pt idx="71">
                  <c:v>-6.6000000000000014</c:v>
                </c:pt>
                <c:pt idx="72">
                  <c:v>0.70999999999999908</c:v>
                </c:pt>
                <c:pt idx="73">
                  <c:v>-1.5</c:v>
                </c:pt>
                <c:pt idx="74">
                  <c:v>-6.2600000000000016</c:v>
                </c:pt>
                <c:pt idx="75">
                  <c:v>-7.9499999999999993</c:v>
                </c:pt>
                <c:pt idx="76">
                  <c:v>3.9999999999999991</c:v>
                </c:pt>
                <c:pt idx="77">
                  <c:v>-0.48000000000000043</c:v>
                </c:pt>
                <c:pt idx="78">
                  <c:v>1.0199999999999996</c:v>
                </c:pt>
                <c:pt idx="79">
                  <c:v>0.48000000000000043</c:v>
                </c:pt>
                <c:pt idx="80">
                  <c:v>-8.0000000000000071E-2</c:v>
                </c:pt>
                <c:pt idx="81">
                  <c:v>1.0500000000000007</c:v>
                </c:pt>
                <c:pt idx="82">
                  <c:v>1.7200000000000006</c:v>
                </c:pt>
                <c:pt idx="83">
                  <c:v>-0.34000000000000163</c:v>
                </c:pt>
                <c:pt idx="84">
                  <c:v>-5.77</c:v>
                </c:pt>
                <c:pt idx="85">
                  <c:v>-7.9399999999999977</c:v>
                </c:pt>
                <c:pt idx="86">
                  <c:v>4.26</c:v>
                </c:pt>
                <c:pt idx="87">
                  <c:v>-0.41000000000000014</c:v>
                </c:pt>
                <c:pt idx="88">
                  <c:v>1.6599999999999993</c:v>
                </c:pt>
                <c:pt idx="89">
                  <c:v>0.49000000000000021</c:v>
                </c:pt>
                <c:pt idx="90">
                  <c:v>-0.75999999999999979</c:v>
                </c:pt>
                <c:pt idx="91">
                  <c:v>1.7100000000000009</c:v>
                </c:pt>
                <c:pt idx="92">
                  <c:v>-13.4</c:v>
                </c:pt>
                <c:pt idx="93">
                  <c:v>-8.9</c:v>
                </c:pt>
                <c:pt idx="94">
                  <c:v>-10.899999999999999</c:v>
                </c:pt>
                <c:pt idx="95">
                  <c:v>-5.4999999999999982</c:v>
                </c:pt>
                <c:pt idx="96">
                  <c:v>-16.200000000000003</c:v>
                </c:pt>
                <c:pt idx="97">
                  <c:v>2</c:v>
                </c:pt>
                <c:pt idx="98">
                  <c:v>-4.2000000000000028</c:v>
                </c:pt>
                <c:pt idx="99">
                  <c:v>-11.2</c:v>
                </c:pt>
                <c:pt idx="100">
                  <c:v>-2.6000000000000014</c:v>
                </c:pt>
                <c:pt idx="101">
                  <c:v>-7.3000000000000007</c:v>
                </c:pt>
                <c:pt idx="102">
                  <c:v>-9.3999999999999986</c:v>
                </c:pt>
                <c:pt idx="103">
                  <c:v>-14.800000000000002</c:v>
                </c:pt>
                <c:pt idx="104">
                  <c:v>-15.799999999999999</c:v>
                </c:pt>
                <c:pt idx="105">
                  <c:v>-6.2999999999999989</c:v>
                </c:pt>
                <c:pt idx="106">
                  <c:v>-6.5</c:v>
                </c:pt>
                <c:pt idx="107">
                  <c:v>-0.89999999999999858</c:v>
                </c:pt>
                <c:pt idx="108">
                  <c:v>-2.3999999999999986</c:v>
                </c:pt>
                <c:pt idx="109">
                  <c:v>-3.9000000000000004</c:v>
                </c:pt>
                <c:pt idx="110">
                  <c:v>-4.0999999999999996</c:v>
                </c:pt>
                <c:pt idx="111">
                  <c:v>-4.6999999999999993</c:v>
                </c:pt>
                <c:pt idx="112">
                  <c:v>-4.1000000000000014</c:v>
                </c:pt>
                <c:pt idx="113">
                  <c:v>-4.3000000000000007</c:v>
                </c:pt>
                <c:pt idx="114">
                  <c:v>-7.3000000000000007</c:v>
                </c:pt>
                <c:pt idx="115">
                  <c:v>-9.0999999999999979</c:v>
                </c:pt>
                <c:pt idx="116">
                  <c:v>-10.100000000000001</c:v>
                </c:pt>
                <c:pt idx="117">
                  <c:v>-11.000000000000004</c:v>
                </c:pt>
                <c:pt idx="118">
                  <c:v>-11.100000000000001</c:v>
                </c:pt>
                <c:pt idx="119">
                  <c:v>-12.400000000000002</c:v>
                </c:pt>
                <c:pt idx="120">
                  <c:v>-14.899999999999999</c:v>
                </c:pt>
                <c:pt idx="121">
                  <c:v>-18.100000000000001</c:v>
                </c:pt>
                <c:pt idx="122">
                  <c:v>-1.2000000000000011</c:v>
                </c:pt>
                <c:pt idx="123">
                  <c:v>-3.1999999999999993</c:v>
                </c:pt>
                <c:pt idx="124">
                  <c:v>-2.1999999999999993</c:v>
                </c:pt>
                <c:pt idx="125">
                  <c:v>-7.8000000000000007</c:v>
                </c:pt>
                <c:pt idx="126">
                  <c:v>3.0999999999999996</c:v>
                </c:pt>
                <c:pt idx="127">
                  <c:v>-2.7999999999999989</c:v>
                </c:pt>
                <c:pt idx="128">
                  <c:v>-1.8000000000000007</c:v>
                </c:pt>
                <c:pt idx="129">
                  <c:v>1.6999999999999993</c:v>
                </c:pt>
                <c:pt idx="130">
                  <c:v>9.5999999999999979</c:v>
                </c:pt>
                <c:pt idx="131">
                  <c:v>7.6</c:v>
                </c:pt>
                <c:pt idx="132">
                  <c:v>3.6000000000000014</c:v>
                </c:pt>
                <c:pt idx="133">
                  <c:v>-2.5</c:v>
                </c:pt>
                <c:pt idx="134">
                  <c:v>-3.8000000000000007</c:v>
                </c:pt>
                <c:pt idx="135">
                  <c:v>-6.7999999999999989</c:v>
                </c:pt>
                <c:pt idx="136">
                  <c:v>-13.199999999999998</c:v>
                </c:pt>
                <c:pt idx="137">
                  <c:v>-5</c:v>
                </c:pt>
                <c:pt idx="138">
                  <c:v>-4.1000000000000014</c:v>
                </c:pt>
                <c:pt idx="139">
                  <c:v>-0.5</c:v>
                </c:pt>
                <c:pt idx="140">
                  <c:v>0.70000000000000284</c:v>
                </c:pt>
                <c:pt idx="141">
                  <c:v>5.7999999999999989</c:v>
                </c:pt>
                <c:pt idx="142">
                  <c:v>1.0999999999999996</c:v>
                </c:pt>
                <c:pt idx="143">
                  <c:v>-6.3000000000000007</c:v>
                </c:pt>
                <c:pt idx="144">
                  <c:v>1.2999999999999972</c:v>
                </c:pt>
                <c:pt idx="145">
                  <c:v>-1.5</c:v>
                </c:pt>
                <c:pt idx="146">
                  <c:v>-4.4000000000000012</c:v>
                </c:pt>
                <c:pt idx="147">
                  <c:v>-5.3000000000000007</c:v>
                </c:pt>
                <c:pt idx="148">
                  <c:v>-2.7999999999999989</c:v>
                </c:pt>
                <c:pt idx="149">
                  <c:v>-2.3999999999999986</c:v>
                </c:pt>
                <c:pt idx="150">
                  <c:v>-2.3999999999999986</c:v>
                </c:pt>
                <c:pt idx="151">
                  <c:v>-1.9000000000000004</c:v>
                </c:pt>
                <c:pt idx="152">
                  <c:v>-1.0999999999999996</c:v>
                </c:pt>
                <c:pt idx="153">
                  <c:v>10.700000000000001</c:v>
                </c:pt>
                <c:pt idx="154">
                  <c:v>3.7000000000000011</c:v>
                </c:pt>
                <c:pt idx="155">
                  <c:v>4.5</c:v>
                </c:pt>
                <c:pt idx="156">
                  <c:v>5.2999999999999989</c:v>
                </c:pt>
                <c:pt idx="157">
                  <c:v>6.1000000000000014</c:v>
                </c:pt>
                <c:pt idx="158">
                  <c:v>8.6999999999999993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6CC7-FE4E-A63C-0511E93E471E}"/>
            </c:ext>
          </c:extLst>
        </c:ser>
        <c:ser>
          <c:idx val="2"/>
          <c:order val="1"/>
          <c:tx>
            <c:strRef>
              <c:f>data!$A$2</c:f>
              <c:strCache>
                <c:ptCount val="1"/>
                <c:pt idx="0">
                  <c:v>Vanhatalo et al. (2007)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8"/>
            <c:spPr>
              <a:solidFill>
                <a:srgbClr val="C00000">
                  <a:alpha val="40000"/>
                </a:srgbClr>
              </a:solidFill>
              <a:ln w="6350">
                <a:solidFill>
                  <a:schemeClr val="tx1">
                    <a:alpha val="40000"/>
                  </a:schemeClr>
                </a:solidFill>
              </a:ln>
              <a:effectLst/>
            </c:spPr>
          </c:marker>
          <c:xVal>
            <c:numRef>
              <c:f>data!$L$2:$L$21</c:f>
              <c:numCache>
                <c:formatCode>0.0</c:formatCode>
                <c:ptCount val="20"/>
                <c:pt idx="0">
                  <c:v>9.5</c:v>
                </c:pt>
                <c:pt idx="1">
                  <c:v>17.45</c:v>
                </c:pt>
                <c:pt idx="2">
                  <c:v>23.700000000000003</c:v>
                </c:pt>
                <c:pt idx="3">
                  <c:v>11.7</c:v>
                </c:pt>
                <c:pt idx="4">
                  <c:v>17.350000000000001</c:v>
                </c:pt>
                <c:pt idx="5">
                  <c:v>15.15</c:v>
                </c:pt>
                <c:pt idx="6">
                  <c:v>16.799999999999997</c:v>
                </c:pt>
                <c:pt idx="7">
                  <c:v>13.2</c:v>
                </c:pt>
                <c:pt idx="8">
                  <c:v>18.25</c:v>
                </c:pt>
                <c:pt idx="9">
                  <c:v>12</c:v>
                </c:pt>
                <c:pt idx="10">
                  <c:v>9.6000000000000014</c:v>
                </c:pt>
                <c:pt idx="11">
                  <c:v>16.350000000000001</c:v>
                </c:pt>
                <c:pt idx="12">
                  <c:v>22.9</c:v>
                </c:pt>
                <c:pt idx="13">
                  <c:v>11.75</c:v>
                </c:pt>
                <c:pt idx="14">
                  <c:v>17.55</c:v>
                </c:pt>
                <c:pt idx="15">
                  <c:v>14.549999999999999</c:v>
                </c:pt>
                <c:pt idx="16">
                  <c:v>16.350000000000001</c:v>
                </c:pt>
                <c:pt idx="17">
                  <c:v>13.55</c:v>
                </c:pt>
                <c:pt idx="18">
                  <c:v>18.149999999999999</c:v>
                </c:pt>
                <c:pt idx="19">
                  <c:v>11.15</c:v>
                </c:pt>
              </c:numCache>
            </c:numRef>
          </c:xVal>
          <c:yVal>
            <c:numRef>
              <c:f>data!$J$2:$J$21</c:f>
              <c:numCache>
                <c:formatCode>0.0</c:formatCode>
                <c:ptCount val="20"/>
                <c:pt idx="0">
                  <c:v>-0.39999999999999858</c:v>
                </c:pt>
                <c:pt idx="1">
                  <c:v>-2.8999999999999986</c:v>
                </c:pt>
                <c:pt idx="2">
                  <c:v>3.1999999999999993</c:v>
                </c:pt>
                <c:pt idx="3">
                  <c:v>1</c:v>
                </c:pt>
                <c:pt idx="4">
                  <c:v>1.3000000000000007</c:v>
                </c:pt>
                <c:pt idx="5">
                  <c:v>-5.9000000000000021</c:v>
                </c:pt>
                <c:pt idx="6">
                  <c:v>-1.1999999999999993</c:v>
                </c:pt>
                <c:pt idx="7">
                  <c:v>-3.4000000000000004</c:v>
                </c:pt>
                <c:pt idx="8">
                  <c:v>-0.29999999999999716</c:v>
                </c:pt>
                <c:pt idx="9">
                  <c:v>-1.3999999999999986</c:v>
                </c:pt>
                <c:pt idx="10">
                  <c:v>-0.59999999999999964</c:v>
                </c:pt>
                <c:pt idx="11">
                  <c:v>-0.69999999999999929</c:v>
                </c:pt>
                <c:pt idx="12">
                  <c:v>4.8000000000000007</c:v>
                </c:pt>
                <c:pt idx="13">
                  <c:v>0.89999999999999858</c:v>
                </c:pt>
                <c:pt idx="14">
                  <c:v>0.89999999999999858</c:v>
                </c:pt>
                <c:pt idx="15">
                  <c:v>-4.6999999999999993</c:v>
                </c:pt>
                <c:pt idx="16">
                  <c:v>-0.30000000000000071</c:v>
                </c:pt>
                <c:pt idx="17">
                  <c:v>-4.0999999999999996</c:v>
                </c:pt>
                <c:pt idx="18">
                  <c:v>-9.9999999999997868E-2</c:v>
                </c:pt>
                <c:pt idx="19">
                  <c:v>0.30000000000000071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6CC7-FE4E-A63C-0511E93E471E}"/>
            </c:ext>
          </c:extLst>
        </c:ser>
        <c:ser>
          <c:idx val="3"/>
          <c:order val="2"/>
          <c:tx>
            <c:strRef>
              <c:f>data!$A$22</c:f>
              <c:strCache>
                <c:ptCount val="1"/>
                <c:pt idx="0">
                  <c:v>Barker et al. (2011)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8"/>
            <c:spPr>
              <a:solidFill>
                <a:srgbClr val="FF0000">
                  <a:alpha val="40000"/>
                </a:srgbClr>
              </a:solidFill>
              <a:ln w="6350">
                <a:solidFill>
                  <a:schemeClr val="tx1">
                    <a:alpha val="40000"/>
                  </a:schemeClr>
                </a:solidFill>
              </a:ln>
              <a:effectLst/>
            </c:spPr>
          </c:marker>
          <c:xVal>
            <c:numRef>
              <c:f>data!$L$22:$L$29</c:f>
              <c:numCache>
                <c:formatCode>0.0</c:formatCode>
                <c:ptCount val="8"/>
                <c:pt idx="0">
                  <c:v>10.5</c:v>
                </c:pt>
                <c:pt idx="1">
                  <c:v>12.450000000000001</c:v>
                </c:pt>
                <c:pt idx="2">
                  <c:v>13.350000000000001</c:v>
                </c:pt>
                <c:pt idx="3">
                  <c:v>9.3000000000000007</c:v>
                </c:pt>
                <c:pt idx="4">
                  <c:v>10.7</c:v>
                </c:pt>
                <c:pt idx="5">
                  <c:v>14.35</c:v>
                </c:pt>
                <c:pt idx="6">
                  <c:v>10.55</c:v>
                </c:pt>
                <c:pt idx="7">
                  <c:v>9.75</c:v>
                </c:pt>
              </c:numCache>
            </c:numRef>
          </c:xVal>
          <c:yVal>
            <c:numRef>
              <c:f>data!$J$22:$J$29</c:f>
              <c:numCache>
                <c:formatCode>0.0</c:formatCode>
                <c:ptCount val="8"/>
                <c:pt idx="0">
                  <c:v>4</c:v>
                </c:pt>
                <c:pt idx="1">
                  <c:v>-8.3000000000000007</c:v>
                </c:pt>
                <c:pt idx="2">
                  <c:v>-3.0999999999999996</c:v>
                </c:pt>
                <c:pt idx="3">
                  <c:v>-1.5999999999999996</c:v>
                </c:pt>
                <c:pt idx="4">
                  <c:v>0.40000000000000036</c:v>
                </c:pt>
                <c:pt idx="5">
                  <c:v>0.30000000000000071</c:v>
                </c:pt>
                <c:pt idx="6">
                  <c:v>-1.9000000000000004</c:v>
                </c:pt>
                <c:pt idx="7">
                  <c:v>-1.3000000000000007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6CC7-FE4E-A63C-0511E93E471E}"/>
            </c:ext>
          </c:extLst>
        </c:ser>
        <c:ser>
          <c:idx val="4"/>
          <c:order val="3"/>
          <c:tx>
            <c:strRef>
              <c:f>data!$A$30</c:f>
              <c:strCache>
                <c:ptCount val="1"/>
                <c:pt idx="0">
                  <c:v>Karsten et al. (2013)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8"/>
            <c:spPr>
              <a:solidFill>
                <a:srgbClr val="FFC000">
                  <a:alpha val="40000"/>
                </a:srgbClr>
              </a:solidFill>
              <a:ln w="6350">
                <a:solidFill>
                  <a:schemeClr val="tx1">
                    <a:alpha val="40000"/>
                  </a:schemeClr>
                </a:solidFill>
              </a:ln>
              <a:effectLst/>
            </c:spPr>
          </c:marker>
          <c:xVal>
            <c:numRef>
              <c:f>data!$L$30:$L$55</c:f>
              <c:numCache>
                <c:formatCode>0.0</c:formatCode>
                <c:ptCount val="26"/>
                <c:pt idx="0">
                  <c:v>5.5</c:v>
                </c:pt>
                <c:pt idx="1">
                  <c:v>13</c:v>
                </c:pt>
                <c:pt idx="2">
                  <c:v>13.95</c:v>
                </c:pt>
                <c:pt idx="3">
                  <c:v>15</c:v>
                </c:pt>
                <c:pt idx="4">
                  <c:v>15.5</c:v>
                </c:pt>
                <c:pt idx="5">
                  <c:v>14</c:v>
                </c:pt>
                <c:pt idx="6">
                  <c:v>15.5</c:v>
                </c:pt>
                <c:pt idx="7">
                  <c:v>16.45</c:v>
                </c:pt>
                <c:pt idx="8">
                  <c:v>17.95</c:v>
                </c:pt>
                <c:pt idx="9">
                  <c:v>18</c:v>
                </c:pt>
                <c:pt idx="10">
                  <c:v>20.5</c:v>
                </c:pt>
                <c:pt idx="11">
                  <c:v>17.5</c:v>
                </c:pt>
                <c:pt idx="12">
                  <c:v>20</c:v>
                </c:pt>
                <c:pt idx="13">
                  <c:v>19.649999999999999</c:v>
                </c:pt>
                <c:pt idx="14">
                  <c:v>19.25</c:v>
                </c:pt>
                <c:pt idx="15">
                  <c:v>17.05</c:v>
                </c:pt>
                <c:pt idx="16">
                  <c:v>14.5</c:v>
                </c:pt>
                <c:pt idx="17">
                  <c:v>14</c:v>
                </c:pt>
                <c:pt idx="18">
                  <c:v>13.5</c:v>
                </c:pt>
                <c:pt idx="19">
                  <c:v>14.55</c:v>
                </c:pt>
                <c:pt idx="20">
                  <c:v>12</c:v>
                </c:pt>
                <c:pt idx="21">
                  <c:v>14.1</c:v>
                </c:pt>
                <c:pt idx="22">
                  <c:v>16.2</c:v>
                </c:pt>
                <c:pt idx="23">
                  <c:v>11.6</c:v>
                </c:pt>
                <c:pt idx="24">
                  <c:v>3.8</c:v>
                </c:pt>
                <c:pt idx="25">
                  <c:v>3.8</c:v>
                </c:pt>
              </c:numCache>
            </c:numRef>
          </c:xVal>
          <c:yVal>
            <c:numRef>
              <c:f>data!$J$30:$J$55</c:f>
              <c:numCache>
                <c:formatCode>0.0</c:formatCode>
                <c:ptCount val="26"/>
                <c:pt idx="0">
                  <c:v>-5</c:v>
                </c:pt>
                <c:pt idx="1">
                  <c:v>-6</c:v>
                </c:pt>
                <c:pt idx="2">
                  <c:v>-6.1</c:v>
                </c:pt>
                <c:pt idx="3">
                  <c:v>-6</c:v>
                </c:pt>
                <c:pt idx="4">
                  <c:v>-3</c:v>
                </c:pt>
                <c:pt idx="5">
                  <c:v>0</c:v>
                </c:pt>
                <c:pt idx="6">
                  <c:v>-9</c:v>
                </c:pt>
                <c:pt idx="7">
                  <c:v>-11.1</c:v>
                </c:pt>
                <c:pt idx="8">
                  <c:v>-14.1</c:v>
                </c:pt>
                <c:pt idx="9">
                  <c:v>-12</c:v>
                </c:pt>
                <c:pt idx="10">
                  <c:v>-9</c:v>
                </c:pt>
                <c:pt idx="11">
                  <c:v>-1</c:v>
                </c:pt>
                <c:pt idx="12">
                  <c:v>2</c:v>
                </c:pt>
                <c:pt idx="13">
                  <c:v>-8.6999999999999993</c:v>
                </c:pt>
                <c:pt idx="14">
                  <c:v>2.5</c:v>
                </c:pt>
                <c:pt idx="15">
                  <c:v>-11.9</c:v>
                </c:pt>
                <c:pt idx="16">
                  <c:v>-9</c:v>
                </c:pt>
                <c:pt idx="17">
                  <c:v>-8</c:v>
                </c:pt>
                <c:pt idx="18">
                  <c:v>-7</c:v>
                </c:pt>
                <c:pt idx="19">
                  <c:v>-6.9</c:v>
                </c:pt>
                <c:pt idx="20">
                  <c:v>-6</c:v>
                </c:pt>
                <c:pt idx="21">
                  <c:v>-1.8000000000000007</c:v>
                </c:pt>
                <c:pt idx="22">
                  <c:v>0.39999999999999858</c:v>
                </c:pt>
                <c:pt idx="23">
                  <c:v>3.1999999999999993</c:v>
                </c:pt>
                <c:pt idx="24">
                  <c:v>-4.4000000000000004</c:v>
                </c:pt>
                <c:pt idx="25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6CC7-FE4E-A63C-0511E93E471E}"/>
            </c:ext>
          </c:extLst>
        </c:ser>
        <c:ser>
          <c:idx val="5"/>
          <c:order val="4"/>
          <c:tx>
            <c:strRef>
              <c:f>data!$A$56</c:f>
              <c:strCache>
                <c:ptCount val="1"/>
                <c:pt idx="0">
                  <c:v>Dekerle et al. (2013)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8"/>
            <c:spPr>
              <a:solidFill>
                <a:srgbClr val="FFFF00">
                  <a:alpha val="40000"/>
                </a:srgbClr>
              </a:solidFill>
              <a:ln w="6350">
                <a:solidFill>
                  <a:schemeClr val="tx1">
                    <a:alpha val="40000"/>
                  </a:schemeClr>
                </a:solidFill>
              </a:ln>
              <a:effectLst/>
            </c:spPr>
          </c:marker>
          <c:xVal>
            <c:numRef>
              <c:f>data!$L$56:$L$73</c:f>
              <c:numCache>
                <c:formatCode>0.0</c:formatCode>
                <c:ptCount val="18"/>
                <c:pt idx="0">
                  <c:v>19.049999999999997</c:v>
                </c:pt>
                <c:pt idx="1">
                  <c:v>15.2</c:v>
                </c:pt>
                <c:pt idx="2">
                  <c:v>19.05</c:v>
                </c:pt>
                <c:pt idx="3">
                  <c:v>14.75</c:v>
                </c:pt>
                <c:pt idx="4">
                  <c:v>23.950000000000003</c:v>
                </c:pt>
                <c:pt idx="5">
                  <c:v>18.399999999999999</c:v>
                </c:pt>
                <c:pt idx="6">
                  <c:v>19.200000000000003</c:v>
                </c:pt>
                <c:pt idx="7">
                  <c:v>24.15</c:v>
                </c:pt>
                <c:pt idx="8">
                  <c:v>16.8</c:v>
                </c:pt>
                <c:pt idx="9">
                  <c:v>14.65</c:v>
                </c:pt>
                <c:pt idx="10">
                  <c:v>15.6</c:v>
                </c:pt>
                <c:pt idx="11">
                  <c:v>16.649999999999999</c:v>
                </c:pt>
                <c:pt idx="12">
                  <c:v>16.399999999999999</c:v>
                </c:pt>
                <c:pt idx="13">
                  <c:v>14.700000000000001</c:v>
                </c:pt>
                <c:pt idx="14">
                  <c:v>14.45</c:v>
                </c:pt>
                <c:pt idx="15">
                  <c:v>17.5</c:v>
                </c:pt>
                <c:pt idx="16">
                  <c:v>15.5</c:v>
                </c:pt>
                <c:pt idx="17">
                  <c:v>13.5</c:v>
                </c:pt>
              </c:numCache>
            </c:numRef>
          </c:xVal>
          <c:yVal>
            <c:numRef>
              <c:f>data!$J$56:$J$73</c:f>
              <c:numCache>
                <c:formatCode>0.0</c:formatCode>
                <c:ptCount val="18"/>
                <c:pt idx="0">
                  <c:v>-6.6999999999999993</c:v>
                </c:pt>
                <c:pt idx="1">
                  <c:v>8.3999999999999986</c:v>
                </c:pt>
                <c:pt idx="2">
                  <c:v>-2.8999999999999986</c:v>
                </c:pt>
                <c:pt idx="3">
                  <c:v>6.2999999999999989</c:v>
                </c:pt>
                <c:pt idx="4">
                  <c:v>-11.7</c:v>
                </c:pt>
                <c:pt idx="5">
                  <c:v>-7.9999999999999982</c:v>
                </c:pt>
                <c:pt idx="6">
                  <c:v>-13.8</c:v>
                </c:pt>
                <c:pt idx="7">
                  <c:v>-1.6999999999999993</c:v>
                </c:pt>
                <c:pt idx="8">
                  <c:v>0.39999999999999858</c:v>
                </c:pt>
                <c:pt idx="9">
                  <c:v>2.6999999999999993</c:v>
                </c:pt>
                <c:pt idx="10">
                  <c:v>4.5999999999999979</c:v>
                </c:pt>
                <c:pt idx="11">
                  <c:v>5.4999999999999982</c:v>
                </c:pt>
                <c:pt idx="12">
                  <c:v>-3.9999999999999982</c:v>
                </c:pt>
                <c:pt idx="13">
                  <c:v>2.8000000000000007</c:v>
                </c:pt>
                <c:pt idx="14">
                  <c:v>-2.9000000000000004</c:v>
                </c:pt>
                <c:pt idx="15">
                  <c:v>-13</c:v>
                </c:pt>
                <c:pt idx="16">
                  <c:v>-2.3999999999999986</c:v>
                </c:pt>
                <c:pt idx="17">
                  <c:v>-6.6000000000000014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6CC7-FE4E-A63C-0511E93E471E}"/>
            </c:ext>
          </c:extLst>
        </c:ser>
        <c:ser>
          <c:idx val="6"/>
          <c:order val="5"/>
          <c:tx>
            <c:strRef>
              <c:f>data!$A$74</c:f>
              <c:strCache>
                <c:ptCount val="1"/>
                <c:pt idx="0">
                  <c:v>Clark et al. (2016)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8"/>
            <c:spPr>
              <a:solidFill>
                <a:srgbClr val="92D050">
                  <a:alpha val="40000"/>
                </a:srgbClr>
              </a:solidFill>
              <a:ln w="6350">
                <a:solidFill>
                  <a:schemeClr val="tx1">
                    <a:alpha val="40000"/>
                  </a:schemeClr>
                </a:solidFill>
              </a:ln>
              <a:effectLst/>
            </c:spPr>
          </c:marker>
          <c:xVal>
            <c:numRef>
              <c:f>data!$L$74:$L$93</c:f>
              <c:numCache>
                <c:formatCode>0.0</c:formatCode>
                <c:ptCount val="20"/>
                <c:pt idx="0">
                  <c:v>14.905000000000001</c:v>
                </c:pt>
                <c:pt idx="1">
                  <c:v>14.79</c:v>
                </c:pt>
                <c:pt idx="2">
                  <c:v>20.079999999999998</c:v>
                </c:pt>
                <c:pt idx="3">
                  <c:v>16.274999999999999</c:v>
                </c:pt>
                <c:pt idx="4">
                  <c:v>6.1099999999999994</c:v>
                </c:pt>
                <c:pt idx="5">
                  <c:v>5.37</c:v>
                </c:pt>
                <c:pt idx="6">
                  <c:v>7.6099999999999994</c:v>
                </c:pt>
                <c:pt idx="7">
                  <c:v>8.2799999999999994</c:v>
                </c:pt>
                <c:pt idx="8">
                  <c:v>8.11</c:v>
                </c:pt>
                <c:pt idx="9">
                  <c:v>14.555</c:v>
                </c:pt>
                <c:pt idx="10">
                  <c:v>14.399999999999999</c:v>
                </c:pt>
                <c:pt idx="11">
                  <c:v>14.21</c:v>
                </c:pt>
                <c:pt idx="12">
                  <c:v>19.835000000000001</c:v>
                </c:pt>
                <c:pt idx="13">
                  <c:v>16.27</c:v>
                </c:pt>
                <c:pt idx="14">
                  <c:v>5.9799999999999995</c:v>
                </c:pt>
                <c:pt idx="15">
                  <c:v>5.335</c:v>
                </c:pt>
                <c:pt idx="16">
                  <c:v>7.2899999999999991</c:v>
                </c:pt>
                <c:pt idx="17">
                  <c:v>8.2749999999999986</c:v>
                </c:pt>
                <c:pt idx="18">
                  <c:v>8.4499999999999993</c:v>
                </c:pt>
                <c:pt idx="19">
                  <c:v>14.225</c:v>
                </c:pt>
              </c:numCache>
            </c:numRef>
          </c:xVal>
          <c:yVal>
            <c:numRef>
              <c:f>data!$J$74:$J$93</c:f>
              <c:numCache>
                <c:formatCode>0.0</c:formatCode>
                <c:ptCount val="20"/>
                <c:pt idx="0">
                  <c:v>0.70999999999999908</c:v>
                </c:pt>
                <c:pt idx="1">
                  <c:v>-1.5</c:v>
                </c:pt>
                <c:pt idx="2">
                  <c:v>-6.2600000000000016</c:v>
                </c:pt>
                <c:pt idx="3">
                  <c:v>-7.9499999999999993</c:v>
                </c:pt>
                <c:pt idx="4">
                  <c:v>3.9999999999999991</c:v>
                </c:pt>
                <c:pt idx="5">
                  <c:v>-0.48000000000000043</c:v>
                </c:pt>
                <c:pt idx="6">
                  <c:v>1.0199999999999996</c:v>
                </c:pt>
                <c:pt idx="7">
                  <c:v>0.48000000000000043</c:v>
                </c:pt>
                <c:pt idx="8">
                  <c:v>-8.0000000000000071E-2</c:v>
                </c:pt>
                <c:pt idx="9">
                  <c:v>1.0500000000000007</c:v>
                </c:pt>
                <c:pt idx="10">
                  <c:v>1.7200000000000006</c:v>
                </c:pt>
                <c:pt idx="11">
                  <c:v>-0.34000000000000163</c:v>
                </c:pt>
                <c:pt idx="12">
                  <c:v>-5.77</c:v>
                </c:pt>
                <c:pt idx="13">
                  <c:v>-7.9399999999999977</c:v>
                </c:pt>
                <c:pt idx="14">
                  <c:v>4.26</c:v>
                </c:pt>
                <c:pt idx="15">
                  <c:v>-0.41000000000000014</c:v>
                </c:pt>
                <c:pt idx="16">
                  <c:v>1.6599999999999993</c:v>
                </c:pt>
                <c:pt idx="17">
                  <c:v>0.49000000000000021</c:v>
                </c:pt>
                <c:pt idx="18">
                  <c:v>-0.75999999999999979</c:v>
                </c:pt>
                <c:pt idx="19">
                  <c:v>1.7100000000000009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6CC7-FE4E-A63C-0511E93E471E}"/>
            </c:ext>
          </c:extLst>
        </c:ser>
        <c:ser>
          <c:idx val="7"/>
          <c:order val="6"/>
          <c:tx>
            <c:strRef>
              <c:f>data!$A$94</c:f>
              <c:strCache>
                <c:ptCount val="1"/>
                <c:pt idx="0">
                  <c:v>Bartram et al. (2017)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8"/>
            <c:spPr>
              <a:solidFill>
                <a:srgbClr val="00B050">
                  <a:alpha val="40000"/>
                </a:srgbClr>
              </a:solidFill>
              <a:ln w="6350">
                <a:solidFill>
                  <a:schemeClr val="tx1">
                    <a:alpha val="40000"/>
                  </a:schemeClr>
                </a:solidFill>
              </a:ln>
              <a:effectLst/>
            </c:spPr>
          </c:marker>
          <c:xVal>
            <c:numRef>
              <c:f>data!$L$94:$L$99</c:f>
              <c:numCache>
                <c:formatCode>0.0</c:formatCode>
                <c:ptCount val="6"/>
                <c:pt idx="0">
                  <c:v>19.100000000000001</c:v>
                </c:pt>
                <c:pt idx="1">
                  <c:v>17.350000000000001</c:v>
                </c:pt>
                <c:pt idx="2">
                  <c:v>20.45</c:v>
                </c:pt>
                <c:pt idx="3">
                  <c:v>18.149999999999999</c:v>
                </c:pt>
                <c:pt idx="4">
                  <c:v>23.5</c:v>
                </c:pt>
                <c:pt idx="5">
                  <c:v>20.7</c:v>
                </c:pt>
              </c:numCache>
            </c:numRef>
          </c:xVal>
          <c:yVal>
            <c:numRef>
              <c:f>data!$J$94:$J$99</c:f>
              <c:numCache>
                <c:formatCode>0.0</c:formatCode>
                <c:ptCount val="6"/>
                <c:pt idx="0">
                  <c:v>-13.4</c:v>
                </c:pt>
                <c:pt idx="1">
                  <c:v>-8.9</c:v>
                </c:pt>
                <c:pt idx="2">
                  <c:v>-10.899999999999999</c:v>
                </c:pt>
                <c:pt idx="3">
                  <c:v>-5.4999999999999982</c:v>
                </c:pt>
                <c:pt idx="4">
                  <c:v>-16.200000000000003</c:v>
                </c:pt>
                <c:pt idx="5">
                  <c:v>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6CC7-FE4E-A63C-0511E93E471E}"/>
            </c:ext>
          </c:extLst>
        </c:ser>
        <c:ser>
          <c:idx val="8"/>
          <c:order val="7"/>
          <c:tx>
            <c:strRef>
              <c:f>data!$A$100</c:f>
              <c:strCache>
                <c:ptCount val="1"/>
                <c:pt idx="0">
                  <c:v>Wright et al. (2017)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8"/>
            <c:spPr>
              <a:solidFill>
                <a:srgbClr val="00B0F0">
                  <a:alpha val="40000"/>
                </a:srgbClr>
              </a:solidFill>
              <a:ln w="6350">
                <a:solidFill>
                  <a:schemeClr val="tx1">
                    <a:alpha val="40000"/>
                  </a:schemeClr>
                </a:solidFill>
              </a:ln>
              <a:effectLst/>
            </c:spPr>
          </c:marker>
          <c:xVal>
            <c:numRef>
              <c:f>data!$L$100:$L$123</c:f>
              <c:numCache>
                <c:formatCode>0.0</c:formatCode>
                <c:ptCount val="24"/>
                <c:pt idx="0">
                  <c:v>31.6</c:v>
                </c:pt>
                <c:pt idx="1">
                  <c:v>24.800000000000004</c:v>
                </c:pt>
                <c:pt idx="2">
                  <c:v>21.2</c:v>
                </c:pt>
                <c:pt idx="3">
                  <c:v>21</c:v>
                </c:pt>
                <c:pt idx="4">
                  <c:v>19.2</c:v>
                </c:pt>
                <c:pt idx="5">
                  <c:v>17.3</c:v>
                </c:pt>
                <c:pt idx="6">
                  <c:v>16</c:v>
                </c:pt>
                <c:pt idx="7">
                  <c:v>17.7</c:v>
                </c:pt>
                <c:pt idx="8">
                  <c:v>15.5</c:v>
                </c:pt>
                <c:pt idx="9">
                  <c:v>15.7</c:v>
                </c:pt>
                <c:pt idx="10">
                  <c:v>15.5</c:v>
                </c:pt>
                <c:pt idx="11">
                  <c:v>13.5</c:v>
                </c:pt>
                <c:pt idx="12">
                  <c:v>13.400000000000002</c:v>
                </c:pt>
                <c:pt idx="13">
                  <c:v>13.9</c:v>
                </c:pt>
                <c:pt idx="14">
                  <c:v>14.7</c:v>
                </c:pt>
                <c:pt idx="15">
                  <c:v>20.300000000000004</c:v>
                </c:pt>
                <c:pt idx="16">
                  <c:v>15.1</c:v>
                </c:pt>
                <c:pt idx="17">
                  <c:v>20.100000000000001</c:v>
                </c:pt>
                <c:pt idx="18">
                  <c:v>15.8</c:v>
                </c:pt>
                <c:pt idx="19">
                  <c:v>28.200000000000003</c:v>
                </c:pt>
                <c:pt idx="20">
                  <c:v>24.7</c:v>
                </c:pt>
                <c:pt idx="21">
                  <c:v>18.5</c:v>
                </c:pt>
                <c:pt idx="22">
                  <c:v>17.3</c:v>
                </c:pt>
                <c:pt idx="23">
                  <c:v>14.900000000000002</c:v>
                </c:pt>
              </c:numCache>
            </c:numRef>
          </c:xVal>
          <c:yVal>
            <c:numRef>
              <c:f>data!$J$100:$J$123</c:f>
              <c:numCache>
                <c:formatCode>0.0</c:formatCode>
                <c:ptCount val="24"/>
                <c:pt idx="0">
                  <c:v>-4.2000000000000028</c:v>
                </c:pt>
                <c:pt idx="1">
                  <c:v>-11.2</c:v>
                </c:pt>
                <c:pt idx="2">
                  <c:v>-2.6000000000000014</c:v>
                </c:pt>
                <c:pt idx="3">
                  <c:v>-7.3000000000000007</c:v>
                </c:pt>
                <c:pt idx="4">
                  <c:v>-9.3999999999999986</c:v>
                </c:pt>
                <c:pt idx="5">
                  <c:v>-14.800000000000002</c:v>
                </c:pt>
                <c:pt idx="6">
                  <c:v>-15.799999999999999</c:v>
                </c:pt>
                <c:pt idx="7">
                  <c:v>-6.2999999999999989</c:v>
                </c:pt>
                <c:pt idx="8">
                  <c:v>-6.5</c:v>
                </c:pt>
                <c:pt idx="9">
                  <c:v>-0.89999999999999858</c:v>
                </c:pt>
                <c:pt idx="10">
                  <c:v>-2.3999999999999986</c:v>
                </c:pt>
                <c:pt idx="11">
                  <c:v>-3.9000000000000004</c:v>
                </c:pt>
                <c:pt idx="12">
                  <c:v>-4.0999999999999996</c:v>
                </c:pt>
                <c:pt idx="13">
                  <c:v>-4.6999999999999993</c:v>
                </c:pt>
                <c:pt idx="14">
                  <c:v>-4.1000000000000014</c:v>
                </c:pt>
                <c:pt idx="15">
                  <c:v>-4.3000000000000007</c:v>
                </c:pt>
                <c:pt idx="16">
                  <c:v>-7.3000000000000007</c:v>
                </c:pt>
                <c:pt idx="17">
                  <c:v>-9.0999999999999979</c:v>
                </c:pt>
                <c:pt idx="18">
                  <c:v>-10.100000000000001</c:v>
                </c:pt>
                <c:pt idx="19">
                  <c:v>-11.000000000000004</c:v>
                </c:pt>
                <c:pt idx="20">
                  <c:v>-11.100000000000001</c:v>
                </c:pt>
                <c:pt idx="21">
                  <c:v>-12.400000000000002</c:v>
                </c:pt>
                <c:pt idx="22">
                  <c:v>-14.899999999999999</c:v>
                </c:pt>
                <c:pt idx="23">
                  <c:v>-18.100000000000001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6CC7-FE4E-A63C-0511E93E471E}"/>
            </c:ext>
          </c:extLst>
        </c:ser>
        <c:ser>
          <c:idx val="9"/>
          <c:order val="8"/>
          <c:tx>
            <c:strRef>
              <c:f>data!$A$124</c:f>
              <c:strCache>
                <c:ptCount val="1"/>
                <c:pt idx="0">
                  <c:v>Clark et al. (2019)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8"/>
            <c:spPr>
              <a:solidFill>
                <a:srgbClr val="7030A0">
                  <a:alpha val="40000"/>
                </a:srgbClr>
              </a:solidFill>
              <a:ln w="6350">
                <a:solidFill>
                  <a:schemeClr val="tx1">
                    <a:alpha val="40000"/>
                  </a:schemeClr>
                </a:solidFill>
              </a:ln>
              <a:effectLst/>
            </c:spPr>
          </c:marker>
          <c:xVal>
            <c:numRef>
              <c:f>data!$L$124:$L$137</c:f>
              <c:numCache>
                <c:formatCode>0.0</c:formatCode>
                <c:ptCount val="14"/>
                <c:pt idx="0">
                  <c:v>8.1999999999999993</c:v>
                </c:pt>
                <c:pt idx="1">
                  <c:v>9</c:v>
                </c:pt>
                <c:pt idx="2">
                  <c:v>10.6</c:v>
                </c:pt>
                <c:pt idx="3">
                  <c:v>12.9</c:v>
                </c:pt>
                <c:pt idx="4">
                  <c:v>11.850000000000001</c:v>
                </c:pt>
                <c:pt idx="5">
                  <c:v>13.8</c:v>
                </c:pt>
                <c:pt idx="6">
                  <c:v>15</c:v>
                </c:pt>
                <c:pt idx="7">
                  <c:v>24.65</c:v>
                </c:pt>
                <c:pt idx="8">
                  <c:v>14.6</c:v>
                </c:pt>
                <c:pt idx="9">
                  <c:v>15.2</c:v>
                </c:pt>
                <c:pt idx="10">
                  <c:v>17.3</c:v>
                </c:pt>
                <c:pt idx="11">
                  <c:v>18.55</c:v>
                </c:pt>
                <c:pt idx="12">
                  <c:v>18.700000000000003</c:v>
                </c:pt>
                <c:pt idx="13">
                  <c:v>18.8</c:v>
                </c:pt>
              </c:numCache>
            </c:numRef>
          </c:xVal>
          <c:yVal>
            <c:numRef>
              <c:f>data!$J$124:$J$137</c:f>
              <c:numCache>
                <c:formatCode>0.0</c:formatCode>
                <c:ptCount val="14"/>
                <c:pt idx="0">
                  <c:v>-1.2000000000000011</c:v>
                </c:pt>
                <c:pt idx="1">
                  <c:v>-3.1999999999999993</c:v>
                </c:pt>
                <c:pt idx="2">
                  <c:v>-2.1999999999999993</c:v>
                </c:pt>
                <c:pt idx="3">
                  <c:v>-7.8000000000000007</c:v>
                </c:pt>
                <c:pt idx="4">
                  <c:v>3.0999999999999996</c:v>
                </c:pt>
                <c:pt idx="5">
                  <c:v>-2.7999999999999989</c:v>
                </c:pt>
                <c:pt idx="6">
                  <c:v>-1.8000000000000007</c:v>
                </c:pt>
                <c:pt idx="7">
                  <c:v>1.6999999999999993</c:v>
                </c:pt>
                <c:pt idx="8">
                  <c:v>9.5999999999999979</c:v>
                </c:pt>
                <c:pt idx="9">
                  <c:v>7.6</c:v>
                </c:pt>
                <c:pt idx="10">
                  <c:v>3.6000000000000014</c:v>
                </c:pt>
                <c:pt idx="11">
                  <c:v>-2.5</c:v>
                </c:pt>
                <c:pt idx="12">
                  <c:v>-3.8000000000000007</c:v>
                </c:pt>
                <c:pt idx="13">
                  <c:v>-6.7999999999999989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8-6CC7-FE4E-A63C-0511E93E471E}"/>
            </c:ext>
          </c:extLst>
        </c:ser>
        <c:ser>
          <c:idx val="1"/>
          <c:order val="9"/>
          <c:tx>
            <c:v>Zero</c:v>
          </c:tx>
          <c:spPr>
            <a:ln w="12700" cap="rnd">
              <a:solidFill>
                <a:schemeClr val="bg1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xVal>
            <c:numLit>
              <c:formatCode>General</c:formatCode>
              <c:ptCount val="2"/>
              <c:pt idx="0">
                <c:v>0</c:v>
              </c:pt>
              <c:pt idx="1">
                <c:v>500</c:v>
              </c:pt>
            </c:numLit>
          </c:xVal>
          <c:yVal>
            <c:numLit>
              <c:formatCode>General</c:formatCode>
              <c:ptCount val="2"/>
              <c:pt idx="0">
                <c:v>0</c:v>
              </c:pt>
              <c:pt idx="1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9-6CC7-FE4E-A63C-0511E93E471E}"/>
            </c:ext>
          </c:extLst>
        </c:ser>
        <c:ser>
          <c:idx val="10"/>
          <c:order val="10"/>
          <c:tx>
            <c:v>Mean</c:v>
          </c:tx>
          <c:spPr>
            <a:ln w="19050" cap="rnd">
              <a:solidFill>
                <a:schemeClr val="tx1"/>
              </a:solidFill>
              <a:prstDash val="solid"/>
              <a:round/>
            </a:ln>
            <a:effectLst/>
          </c:spPr>
          <c:marker>
            <c:symbol val="none"/>
          </c:marker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6CC7-FE4E-A63C-0511E93E471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Lit>
              <c:formatCode>General</c:formatCode>
              <c:ptCount val="2"/>
              <c:pt idx="0">
                <c:v>5</c:v>
              </c:pt>
              <c:pt idx="1">
                <c:v>30</c:v>
              </c:pt>
            </c:numLit>
          </c:xVal>
          <c:yVal>
            <c:numRef>
              <c:f>(data!$J$164,data!$J$164)</c:f>
              <c:numCache>
                <c:formatCode>0.0</c:formatCode>
                <c:ptCount val="2"/>
                <c:pt idx="0">
                  <c:v>-3.0144025157232703</c:v>
                </c:pt>
                <c:pt idx="1">
                  <c:v>-3.0144025157232703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B-6CC7-FE4E-A63C-0511E93E471E}"/>
            </c:ext>
          </c:extLst>
        </c:ser>
        <c:ser>
          <c:idx val="11"/>
          <c:order val="11"/>
          <c:tx>
            <c:v>+1.96 SD</c:v>
          </c:tx>
          <c:spPr>
            <a:ln w="12700" cap="rnd">
              <a:solidFill>
                <a:schemeClr val="tx1"/>
              </a:solidFill>
              <a:prstDash val="dash"/>
              <a:round/>
            </a:ln>
            <a:effectLst/>
          </c:spPr>
          <c:marker>
            <c:symbol val="none"/>
          </c:marker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6CC7-FE4E-A63C-0511E93E471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Lit>
              <c:formatCode>General</c:formatCode>
              <c:ptCount val="2"/>
              <c:pt idx="0">
                <c:v>5</c:v>
              </c:pt>
              <c:pt idx="1">
                <c:v>30</c:v>
              </c:pt>
            </c:numLit>
          </c:xVal>
          <c:yVal>
            <c:numRef>
              <c:f>(data!$J$163,data!$J$163)</c:f>
              <c:numCache>
                <c:formatCode>0.0</c:formatCode>
                <c:ptCount val="2"/>
                <c:pt idx="0">
                  <c:v>8.0413737297881731</c:v>
                </c:pt>
                <c:pt idx="1">
                  <c:v>8.0413737297881731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D-6CC7-FE4E-A63C-0511E93E471E}"/>
            </c:ext>
          </c:extLst>
        </c:ser>
        <c:ser>
          <c:idx val="12"/>
          <c:order val="12"/>
          <c:tx>
            <c:v>-1.96 SD</c:v>
          </c:tx>
          <c:spPr>
            <a:ln w="12700" cap="rnd">
              <a:solidFill>
                <a:schemeClr val="tx1"/>
              </a:solidFill>
              <a:prstDash val="dash"/>
              <a:round/>
            </a:ln>
            <a:effectLst/>
          </c:spPr>
          <c:marker>
            <c:symbol val="none"/>
          </c:marker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6CC7-FE4E-A63C-0511E93E471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Lit>
              <c:formatCode>General</c:formatCode>
              <c:ptCount val="2"/>
              <c:pt idx="0">
                <c:v>5</c:v>
              </c:pt>
              <c:pt idx="1">
                <c:v>30</c:v>
              </c:pt>
            </c:numLit>
          </c:xVal>
          <c:yVal>
            <c:numRef>
              <c:f>(data!$J$165,data!$J$165)</c:f>
              <c:numCache>
                <c:formatCode>0.0</c:formatCode>
                <c:ptCount val="2"/>
                <c:pt idx="0">
                  <c:v>-14.070178761234715</c:v>
                </c:pt>
                <c:pt idx="1">
                  <c:v>-14.070178761234715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F-6CC7-FE4E-A63C-0511E93E471E}"/>
            </c:ext>
          </c:extLst>
        </c:ser>
        <c:ser>
          <c:idx val="13"/>
          <c:order val="13"/>
          <c:tx>
            <c:strRef>
              <c:f>data!$A$138</c:f>
              <c:strCache>
                <c:ptCount val="1"/>
                <c:pt idx="0">
                  <c:v>Goulding et al. (2021)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8"/>
            <c:spPr>
              <a:solidFill>
                <a:srgbClr val="FF8AD8">
                  <a:alpha val="40000"/>
                </a:srgbClr>
              </a:solidFill>
              <a:ln w="6350">
                <a:solidFill>
                  <a:schemeClr val="tx1">
                    <a:alpha val="40000"/>
                  </a:schemeClr>
                </a:solidFill>
              </a:ln>
              <a:effectLst/>
            </c:spPr>
          </c:marker>
          <c:xVal>
            <c:numRef>
              <c:f>data!$L$138:$L$160</c:f>
              <c:numCache>
                <c:formatCode>0.0</c:formatCode>
                <c:ptCount val="23"/>
                <c:pt idx="0">
                  <c:v>18.3</c:v>
                </c:pt>
                <c:pt idx="1">
                  <c:v>22.9</c:v>
                </c:pt>
                <c:pt idx="2">
                  <c:v>21</c:v>
                </c:pt>
                <c:pt idx="3">
                  <c:v>21.7</c:v>
                </c:pt>
                <c:pt idx="4">
                  <c:v>17.899999999999999</c:v>
                </c:pt>
                <c:pt idx="5">
                  <c:v>14.8</c:v>
                </c:pt>
                <c:pt idx="6">
                  <c:v>6.7</c:v>
                </c:pt>
                <c:pt idx="7">
                  <c:v>12.2</c:v>
                </c:pt>
                <c:pt idx="8">
                  <c:v>20.5</c:v>
                </c:pt>
                <c:pt idx="9">
                  <c:v>12.1</c:v>
                </c:pt>
                <c:pt idx="10">
                  <c:v>10.1</c:v>
                </c:pt>
                <c:pt idx="11">
                  <c:v>13.2</c:v>
                </c:pt>
                <c:pt idx="12">
                  <c:v>16.7</c:v>
                </c:pt>
                <c:pt idx="13">
                  <c:v>14.1</c:v>
                </c:pt>
                <c:pt idx="14">
                  <c:v>14.6</c:v>
                </c:pt>
                <c:pt idx="15">
                  <c:v>6.5</c:v>
                </c:pt>
                <c:pt idx="16">
                  <c:v>7.4</c:v>
                </c:pt>
                <c:pt idx="17">
                  <c:v>18.399999999999999</c:v>
                </c:pt>
                <c:pt idx="18">
                  <c:v>16.5</c:v>
                </c:pt>
                <c:pt idx="19">
                  <c:v>16.2</c:v>
                </c:pt>
                <c:pt idx="20">
                  <c:v>13.7</c:v>
                </c:pt>
                <c:pt idx="21">
                  <c:v>12</c:v>
                </c:pt>
                <c:pt idx="22">
                  <c:v>11.4</c:v>
                </c:pt>
              </c:numCache>
            </c:numRef>
          </c:xVal>
          <c:yVal>
            <c:numRef>
              <c:f>data!$J$138:$J$160</c:f>
              <c:numCache>
                <c:formatCode>0.0</c:formatCode>
                <c:ptCount val="23"/>
                <c:pt idx="0">
                  <c:v>-13.199999999999998</c:v>
                </c:pt>
                <c:pt idx="1">
                  <c:v>-5</c:v>
                </c:pt>
                <c:pt idx="2">
                  <c:v>-4.1000000000000014</c:v>
                </c:pt>
                <c:pt idx="3">
                  <c:v>-0.5</c:v>
                </c:pt>
                <c:pt idx="4">
                  <c:v>0.70000000000000284</c:v>
                </c:pt>
                <c:pt idx="5">
                  <c:v>5.7999999999999989</c:v>
                </c:pt>
                <c:pt idx="6">
                  <c:v>1.0999999999999996</c:v>
                </c:pt>
                <c:pt idx="7">
                  <c:v>-6.3000000000000007</c:v>
                </c:pt>
                <c:pt idx="8">
                  <c:v>1.2999999999999972</c:v>
                </c:pt>
                <c:pt idx="9">
                  <c:v>-1.5</c:v>
                </c:pt>
                <c:pt idx="10">
                  <c:v>-4.4000000000000012</c:v>
                </c:pt>
                <c:pt idx="11">
                  <c:v>-5.3000000000000007</c:v>
                </c:pt>
                <c:pt idx="12">
                  <c:v>-2.7999999999999989</c:v>
                </c:pt>
                <c:pt idx="13">
                  <c:v>-2.3999999999999986</c:v>
                </c:pt>
                <c:pt idx="14">
                  <c:v>-2.3999999999999986</c:v>
                </c:pt>
                <c:pt idx="15">
                  <c:v>-1.9000000000000004</c:v>
                </c:pt>
                <c:pt idx="16">
                  <c:v>-1.0999999999999996</c:v>
                </c:pt>
                <c:pt idx="17">
                  <c:v>10.700000000000001</c:v>
                </c:pt>
                <c:pt idx="18">
                  <c:v>3.7000000000000011</c:v>
                </c:pt>
                <c:pt idx="19">
                  <c:v>4.5</c:v>
                </c:pt>
                <c:pt idx="20">
                  <c:v>5.2999999999999989</c:v>
                </c:pt>
                <c:pt idx="21">
                  <c:v>6.1000000000000014</c:v>
                </c:pt>
                <c:pt idx="22">
                  <c:v>8.6999999999999993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ACFA-0441-BB25-6BA1733F84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77238352"/>
        <c:axId val="1376886720"/>
      </c:scatterChart>
      <c:valAx>
        <c:axId val="1377238352"/>
        <c:scaling>
          <c:orientation val="minMax"/>
          <c:max val="35"/>
          <c:min val="0"/>
        </c:scaling>
        <c:delete val="0"/>
        <c:axPos val="b"/>
        <c:majorGridlines>
          <c:spPr>
            <a:ln w="6350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ot"/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600" b="1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de-DE" sz="1600" b="1" i="0" u="none" strike="noStrike" baseline="0">
                    <a:effectLst/>
                  </a:rPr>
                  <a:t>x̄ (WEP &amp; W')</a:t>
                </a:r>
                <a:r>
                  <a:rPr lang="de-DE" sz="1600" b="1"/>
                  <a:t> </a:t>
                </a:r>
                <a:r>
                  <a:rPr lang="de-DE" sz="1600" b="0"/>
                  <a:t>[kJ]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600" b="1" i="0" u="none" strike="noStrike" kern="1200" baseline="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de-DE"/>
            </a:p>
          </c:txPr>
        </c:title>
        <c:numFmt formatCode="0" sourceLinked="0"/>
        <c:majorTickMark val="out"/>
        <c:minorTickMark val="in"/>
        <c:tickLblPos val="nextTo"/>
        <c:spPr>
          <a:noFill/>
          <a:ln w="63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de-DE"/>
          </a:p>
        </c:txPr>
        <c:crossAx val="1376886720"/>
        <c:crossesAt val="-60"/>
        <c:crossBetween val="midCat"/>
        <c:majorUnit val="5"/>
      </c:valAx>
      <c:valAx>
        <c:axId val="1376886720"/>
        <c:scaling>
          <c:orientation val="minMax"/>
          <c:max val="12"/>
          <c:min val="-20"/>
        </c:scaling>
        <c:delete val="0"/>
        <c:axPos val="l"/>
        <c:majorGridlines>
          <c:spPr>
            <a:ln w="6350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ot"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600" b="1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de-DE" sz="1600" b="1"/>
                  <a:t>WEP–W' </a:t>
                </a:r>
                <a:r>
                  <a:rPr lang="de-DE" sz="1600" b="0"/>
                  <a:t>[kJ]</a:t>
                </a:r>
              </a:p>
            </c:rich>
          </c:tx>
          <c:layout>
            <c:manualLayout>
              <c:xMode val="edge"/>
              <c:yMode val="edge"/>
              <c:x val="1.322090360191547E-2"/>
              <c:y val="0.372773214285714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600" b="1" i="0" u="none" strike="noStrike" kern="1200" baseline="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de-DE"/>
            </a:p>
          </c:txPr>
        </c:title>
        <c:numFmt formatCode="0" sourceLinked="0"/>
        <c:majorTickMark val="out"/>
        <c:minorTickMark val="in"/>
        <c:tickLblPos val="nextTo"/>
        <c:spPr>
          <a:noFill/>
          <a:ln w="63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de-DE"/>
          </a:p>
        </c:txPr>
        <c:crossAx val="1377238352"/>
        <c:crosses val="autoZero"/>
        <c:crossBetween val="midCat"/>
        <c:majorUnit val="2"/>
        <c:minorUnit val="0.5"/>
      </c:valAx>
      <c:spPr>
        <a:solidFill>
          <a:schemeClr val="bg1"/>
        </a:solidFill>
        <a:ln>
          <a:noFill/>
        </a:ln>
        <a:effectLst/>
      </c:spPr>
    </c:plotArea>
    <c:legend>
      <c:legendPos val="r"/>
      <c:legendEntry>
        <c:idx val="0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2"/>
        <c:delete val="1"/>
      </c:legendEntry>
      <c:layout>
        <c:manualLayout>
          <c:xMode val="edge"/>
          <c:yMode val="edge"/>
          <c:x val="0.14592680063685562"/>
          <c:y val="0.53972286737168074"/>
          <c:w val="0.25845052083333331"/>
          <c:h val="0.33130813492063493"/>
        </c:manualLayout>
      </c:layout>
      <c:overlay val="0"/>
      <c:spPr>
        <a:solidFill>
          <a:schemeClr val="bg1">
            <a:alpha val="90179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de-D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>
          <a:solidFill>
            <a:schemeClr val="tx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de-DE"/>
    </a:p>
  </c:txPr>
  <c:printSettings>
    <c:headerFooter/>
    <c:pageMargins b="0.78740157499999996" l="0.7" r="0.7" t="0.78740157499999996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Relationship Id="rId4" Type="http://schemas.openxmlformats.org/officeDocument/2006/relationships/chart" Target="../charts/chart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1040251</xdr:colOff>
      <xdr:row>0</xdr:row>
      <xdr:rowOff>0</xdr:rowOff>
    </xdr:from>
    <xdr:to>
      <xdr:col>36</xdr:col>
      <xdr:colOff>762000</xdr:colOff>
      <xdr:row>21</xdr:row>
      <xdr:rowOff>73392</xdr:rowOff>
    </xdr:to>
    <xdr:graphicFrame macro="">
      <xdr:nvGraphicFramePr>
        <xdr:cNvPr id="14" name="Diagramm 13">
          <a:extLst>
            <a:ext uri="{FF2B5EF4-FFF2-40B4-BE49-F238E27FC236}">
              <a16:creationId xmlns:a16="http://schemas.microsoft.com/office/drawing/2014/main" id="{65CDB129-B02A-854C-BA60-02037CF6045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43</xdr:col>
      <xdr:colOff>0</xdr:colOff>
      <xdr:row>0</xdr:row>
      <xdr:rowOff>0</xdr:rowOff>
    </xdr:from>
    <xdr:to>
      <xdr:col>47</xdr:col>
      <xdr:colOff>762000</xdr:colOff>
      <xdr:row>21</xdr:row>
      <xdr:rowOff>111124</xdr:rowOff>
    </xdr:to>
    <xdr:graphicFrame macro="">
      <xdr:nvGraphicFramePr>
        <xdr:cNvPr id="15" name="Diagramm 14">
          <a:extLst>
            <a:ext uri="{FF2B5EF4-FFF2-40B4-BE49-F238E27FC236}">
              <a16:creationId xmlns:a16="http://schemas.microsoft.com/office/drawing/2014/main" id="{B7B2BFA9-5322-3740-AC9C-F0B9C9E9DC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52</xdr:col>
      <xdr:colOff>0</xdr:colOff>
      <xdr:row>0</xdr:row>
      <xdr:rowOff>0</xdr:rowOff>
    </xdr:from>
    <xdr:to>
      <xdr:col>56</xdr:col>
      <xdr:colOff>648929</xdr:colOff>
      <xdr:row>19</xdr:row>
      <xdr:rowOff>13929</xdr:rowOff>
    </xdr:to>
    <xdr:graphicFrame macro="">
      <xdr:nvGraphicFramePr>
        <xdr:cNvPr id="16" name="Diagramm 15">
          <a:extLst>
            <a:ext uri="{FF2B5EF4-FFF2-40B4-BE49-F238E27FC236}">
              <a16:creationId xmlns:a16="http://schemas.microsoft.com/office/drawing/2014/main" id="{054F64E7-3684-FE4E-A2D4-891BC162463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0.14987</cdr:x>
      <cdr:y>0.96446</cdr:y>
    </cdr:from>
    <cdr:to>
      <cdr:x>0.26778</cdr:x>
      <cdr:y>0.99914</cdr:y>
    </cdr:to>
    <cdr:sp macro="" textlink="">
      <cdr:nvSpPr>
        <cdr:cNvPr id="2" name="Textfeld 1">
          <a:extLst xmlns:a="http://schemas.openxmlformats.org/drawingml/2006/main">
            <a:ext uri="{FF2B5EF4-FFF2-40B4-BE49-F238E27FC236}">
              <a16:creationId xmlns:a16="http://schemas.microsoft.com/office/drawing/2014/main" id="{362C4E58-68FC-D40A-D1C0-1C2ADC99373B}"/>
            </a:ext>
          </a:extLst>
        </cdr:cNvPr>
        <cdr:cNvSpPr txBox="1"/>
      </cdr:nvSpPr>
      <cdr:spPr>
        <a:xfrm xmlns:a="http://schemas.openxmlformats.org/drawingml/2006/main">
          <a:off x="706882" y="3864523"/>
          <a:ext cx="556129" cy="13896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de-DE" sz="7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EP &lt; CP</a:t>
          </a:r>
        </a:p>
      </cdr:txBody>
    </cdr:sp>
  </cdr:relSizeAnchor>
  <cdr:relSizeAnchor xmlns:cdr="http://schemas.openxmlformats.org/drawingml/2006/chartDrawing">
    <cdr:from>
      <cdr:x>0.27103</cdr:x>
      <cdr:y>0.96532</cdr:y>
    </cdr:from>
    <cdr:to>
      <cdr:x>0.38894</cdr:x>
      <cdr:y>1</cdr:y>
    </cdr:to>
    <cdr:sp macro="" textlink="">
      <cdr:nvSpPr>
        <cdr:cNvPr id="3" name="Textfeld 1">
          <a:extLst xmlns:a="http://schemas.openxmlformats.org/drawingml/2006/main">
            <a:ext uri="{FF2B5EF4-FFF2-40B4-BE49-F238E27FC236}">
              <a16:creationId xmlns:a16="http://schemas.microsoft.com/office/drawing/2014/main" id="{93FD4D23-609E-6EA0-1836-C97D1995FB14}"/>
            </a:ext>
          </a:extLst>
        </cdr:cNvPr>
        <cdr:cNvSpPr txBox="1"/>
      </cdr:nvSpPr>
      <cdr:spPr>
        <a:xfrm xmlns:a="http://schemas.openxmlformats.org/drawingml/2006/main">
          <a:off x="1278319" y="3867964"/>
          <a:ext cx="556129" cy="13896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de-DE" sz="7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EP &gt; CP</a:t>
          </a:r>
        </a:p>
      </cdr:txBody>
    </cdr:sp>
  </cdr:relSizeAnchor>
  <cdr:relSizeAnchor xmlns:cdr="http://schemas.openxmlformats.org/drawingml/2006/chartDrawing">
    <cdr:from>
      <cdr:x>0.31197</cdr:x>
      <cdr:y>0.84095</cdr:y>
    </cdr:from>
    <cdr:to>
      <cdr:x>0.41793</cdr:x>
      <cdr:y>0.86651</cdr:y>
    </cdr:to>
    <cdr:sp macro="" textlink="">
      <cdr:nvSpPr>
        <cdr:cNvPr id="4" name="Raute 3">
          <a:extLst xmlns:a="http://schemas.openxmlformats.org/drawingml/2006/main">
            <a:ext uri="{FF2B5EF4-FFF2-40B4-BE49-F238E27FC236}">
              <a16:creationId xmlns:a16="http://schemas.microsoft.com/office/drawing/2014/main" id="{9BBEED0E-32ED-5049-8A61-486C541EF4A4}"/>
            </a:ext>
          </a:extLst>
        </cdr:cNvPr>
        <cdr:cNvSpPr/>
      </cdr:nvSpPr>
      <cdr:spPr>
        <a:xfrm xmlns:a="http://schemas.openxmlformats.org/drawingml/2006/main">
          <a:off x="1470264" y="3735651"/>
          <a:ext cx="499386" cy="113543"/>
        </a:xfrm>
        <a:prstGeom xmlns:a="http://schemas.openxmlformats.org/drawingml/2006/main" prst="diamond">
          <a:avLst/>
        </a:prstGeom>
        <a:solidFill xmlns:a="http://schemas.openxmlformats.org/drawingml/2006/main">
          <a:srgbClr val="FF0000"/>
        </a:solidFill>
        <a:ln xmlns:a="http://schemas.openxmlformats.org/drawingml/2006/main" w="6350">
          <a:noFill/>
        </a:ln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rtlCol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endParaRPr lang="de-DE" sz="1100"/>
        </a:p>
      </cdr:txBody>
    </cdr:sp>
  </cdr:relSizeAnchor>
  <cdr:relSizeAnchor xmlns:cdr="http://schemas.openxmlformats.org/drawingml/2006/chartDrawing">
    <cdr:from>
      <cdr:x>0.26905</cdr:x>
      <cdr:y>0.79711</cdr:y>
    </cdr:from>
    <cdr:to>
      <cdr:x>0.28791</cdr:x>
      <cdr:y>0.82275</cdr:y>
    </cdr:to>
    <cdr:sp macro="" textlink="">
      <cdr:nvSpPr>
        <cdr:cNvPr id="5" name="Raute 4">
          <a:extLst xmlns:a="http://schemas.openxmlformats.org/drawingml/2006/main">
            <a:ext uri="{FF2B5EF4-FFF2-40B4-BE49-F238E27FC236}">
              <a16:creationId xmlns:a16="http://schemas.microsoft.com/office/drawing/2014/main" id="{56E2FA5A-F851-5D25-52B5-BC83FA0DF256}"/>
            </a:ext>
          </a:extLst>
        </cdr:cNvPr>
        <cdr:cNvSpPr/>
      </cdr:nvSpPr>
      <cdr:spPr>
        <a:xfrm xmlns:a="http://schemas.openxmlformats.org/drawingml/2006/main">
          <a:off x="1267974" y="3540935"/>
          <a:ext cx="88901" cy="113898"/>
        </a:xfrm>
        <a:prstGeom xmlns:a="http://schemas.openxmlformats.org/drawingml/2006/main" prst="diamond">
          <a:avLst/>
        </a:prstGeom>
        <a:solidFill xmlns:a="http://schemas.openxmlformats.org/drawingml/2006/main">
          <a:srgbClr val="FF0000"/>
        </a:solid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rtlCol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endParaRPr lang="de-DE" sz="1100"/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0.52287</cdr:x>
      <cdr:y>0.96446</cdr:y>
    </cdr:from>
    <cdr:to>
      <cdr:x>0.6598</cdr:x>
      <cdr:y>0.99916</cdr:y>
    </cdr:to>
    <cdr:sp macro="" textlink="">
      <cdr:nvSpPr>
        <cdr:cNvPr id="2" name="Textfeld 1">
          <a:extLst xmlns:a="http://schemas.openxmlformats.org/drawingml/2006/main">
            <a:ext uri="{FF2B5EF4-FFF2-40B4-BE49-F238E27FC236}">
              <a16:creationId xmlns:a16="http://schemas.microsoft.com/office/drawing/2014/main" id="{C57A5445-BB97-E664-529A-D9546E523ABF}"/>
            </a:ext>
          </a:extLst>
        </cdr:cNvPr>
        <cdr:cNvSpPr txBox="1"/>
      </cdr:nvSpPr>
      <cdr:spPr>
        <a:xfrm xmlns:a="http://schemas.openxmlformats.org/drawingml/2006/main">
          <a:off x="2124546" y="4330597"/>
          <a:ext cx="556381" cy="15580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 anchor="ctr"/>
        <a:lstStyle xmlns:a="http://schemas.openxmlformats.org/drawingml/2006/main"/>
        <a:p xmlns:a="http://schemas.openxmlformats.org/drawingml/2006/main">
          <a:pPr algn="ctr"/>
          <a:r>
            <a:rPr lang="de-DE" sz="700">
              <a:solidFill>
                <a:schemeClr val="accent2"/>
              </a:solidFill>
              <a:latin typeface="Arial" panose="020B0604020202020204" pitchFamily="34" charset="0"/>
              <a:cs typeface="Arial" panose="020B0604020202020204" pitchFamily="34" charset="0"/>
            </a:rPr>
            <a:t>WEP &lt; W'</a:t>
          </a:r>
        </a:p>
      </cdr:txBody>
    </cdr:sp>
  </cdr:relSizeAnchor>
  <cdr:relSizeAnchor xmlns:cdr="http://schemas.openxmlformats.org/drawingml/2006/chartDrawing">
    <cdr:from>
      <cdr:x>0.65411</cdr:x>
      <cdr:y>0.96446</cdr:y>
    </cdr:from>
    <cdr:to>
      <cdr:x>0.79104</cdr:x>
      <cdr:y>0.99916</cdr:y>
    </cdr:to>
    <cdr:sp macro="" textlink="">
      <cdr:nvSpPr>
        <cdr:cNvPr id="3" name="Textfeld 1">
          <a:extLst xmlns:a="http://schemas.openxmlformats.org/drawingml/2006/main">
            <a:ext uri="{FF2B5EF4-FFF2-40B4-BE49-F238E27FC236}">
              <a16:creationId xmlns:a16="http://schemas.microsoft.com/office/drawing/2014/main" id="{52E486DF-7695-3F6A-34C3-56E157C64DA3}"/>
            </a:ext>
          </a:extLst>
        </cdr:cNvPr>
        <cdr:cNvSpPr txBox="1"/>
      </cdr:nvSpPr>
      <cdr:spPr>
        <a:xfrm xmlns:a="http://schemas.openxmlformats.org/drawingml/2006/main">
          <a:off x="2657823" y="4330596"/>
          <a:ext cx="556380" cy="15580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de-DE" sz="700">
              <a:solidFill>
                <a:schemeClr val="accent2"/>
              </a:solidFill>
              <a:latin typeface="Arial" panose="020B0604020202020204" pitchFamily="34" charset="0"/>
              <a:cs typeface="Arial" panose="020B0604020202020204" pitchFamily="34" charset="0"/>
            </a:rPr>
            <a:t>WEP &gt; W'</a:t>
          </a:r>
        </a:p>
      </cdr:txBody>
    </cdr:sp>
  </cdr:relSizeAnchor>
  <cdr:relSizeAnchor xmlns:cdr="http://schemas.openxmlformats.org/drawingml/2006/chartDrawing">
    <cdr:from>
      <cdr:x>0.53125</cdr:x>
      <cdr:y>0.83703</cdr:y>
    </cdr:from>
    <cdr:to>
      <cdr:x>0.62188</cdr:x>
      <cdr:y>0.86406</cdr:y>
    </cdr:to>
    <cdr:sp macro="" textlink="">
      <cdr:nvSpPr>
        <cdr:cNvPr id="4" name="Raute 3">
          <a:extLst xmlns:a="http://schemas.openxmlformats.org/drawingml/2006/main">
            <a:ext uri="{FF2B5EF4-FFF2-40B4-BE49-F238E27FC236}">
              <a16:creationId xmlns:a16="http://schemas.microsoft.com/office/drawing/2014/main" id="{51D02CEC-D663-9847-BE70-B1AE18AADB84}"/>
            </a:ext>
          </a:extLst>
        </cdr:cNvPr>
        <cdr:cNvSpPr/>
      </cdr:nvSpPr>
      <cdr:spPr>
        <a:xfrm xmlns:a="http://schemas.openxmlformats.org/drawingml/2006/main">
          <a:off x="2159000" y="3749821"/>
          <a:ext cx="368300" cy="121092"/>
        </a:xfrm>
        <a:prstGeom xmlns:a="http://schemas.openxmlformats.org/drawingml/2006/main" prst="diamond">
          <a:avLst/>
        </a:prstGeom>
        <a:solidFill xmlns:a="http://schemas.openxmlformats.org/drawingml/2006/main">
          <a:schemeClr val="accent2"/>
        </a:solid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rtlCol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endParaRPr lang="de-DE" sz="1100"/>
        </a:p>
      </cdr:txBody>
    </cdr:sp>
  </cdr:relSizeAnchor>
  <cdr:relSizeAnchor xmlns:cdr="http://schemas.openxmlformats.org/drawingml/2006/chartDrawing">
    <cdr:from>
      <cdr:x>0.65703</cdr:x>
      <cdr:y>0.79004</cdr:y>
    </cdr:from>
    <cdr:to>
      <cdr:x>0.675</cdr:x>
      <cdr:y>0.81707</cdr:y>
    </cdr:to>
    <cdr:sp macro="" textlink="">
      <cdr:nvSpPr>
        <cdr:cNvPr id="5" name="Raute 4">
          <a:extLst xmlns:a="http://schemas.openxmlformats.org/drawingml/2006/main">
            <a:ext uri="{FF2B5EF4-FFF2-40B4-BE49-F238E27FC236}">
              <a16:creationId xmlns:a16="http://schemas.microsoft.com/office/drawing/2014/main" id="{E6D9DC68-35C9-1046-B435-AB3ED3F03703}"/>
            </a:ext>
          </a:extLst>
        </cdr:cNvPr>
        <cdr:cNvSpPr/>
      </cdr:nvSpPr>
      <cdr:spPr>
        <a:xfrm xmlns:a="http://schemas.openxmlformats.org/drawingml/2006/main">
          <a:off x="2670175" y="3539306"/>
          <a:ext cx="73025" cy="121091"/>
        </a:xfrm>
        <a:prstGeom xmlns:a="http://schemas.openxmlformats.org/drawingml/2006/main" prst="diamond">
          <a:avLst/>
        </a:prstGeom>
        <a:solidFill xmlns:a="http://schemas.openxmlformats.org/drawingml/2006/main">
          <a:schemeClr val="accent2"/>
        </a:solid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rtlCol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endParaRPr lang="de-DE" sz="1100"/>
        </a:p>
      </cdr:txBody>
    </cdr:sp>
  </cdr:relSizeAnchor>
</c:userShapes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0.30132</cdr:x>
      <cdr:y>0.14287</cdr:y>
    </cdr:from>
    <cdr:to>
      <cdr:x>0.69117</cdr:x>
      <cdr:y>0.90178</cdr:y>
    </cdr:to>
    <cdr:sp macro="" textlink="">
      <cdr:nvSpPr>
        <cdr:cNvPr id="6" name="Dreieck 5">
          <a:extLst xmlns:a="http://schemas.openxmlformats.org/drawingml/2006/main">
            <a:ext uri="{FF2B5EF4-FFF2-40B4-BE49-F238E27FC236}">
              <a16:creationId xmlns:a16="http://schemas.microsoft.com/office/drawing/2014/main" id="{715239D0-526E-B56C-BCB5-A64D5B485C88}"/>
            </a:ext>
          </a:extLst>
        </cdr:cNvPr>
        <cdr:cNvSpPr/>
      </cdr:nvSpPr>
      <cdr:spPr>
        <a:xfrm xmlns:a="http://schemas.openxmlformats.org/drawingml/2006/main">
          <a:off x="1196294" y="566964"/>
          <a:ext cx="1547812" cy="3011756"/>
        </a:xfrm>
        <a:prstGeom xmlns:a="http://schemas.openxmlformats.org/drawingml/2006/main" prst="triangle">
          <a:avLst/>
        </a:prstGeom>
        <a:solidFill xmlns:a="http://schemas.openxmlformats.org/drawingml/2006/main">
          <a:schemeClr val="accent2">
            <a:alpha val="20000"/>
          </a:schemeClr>
        </a:solid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endParaRPr lang="de-DE" sz="1100"/>
        </a:p>
      </cdr:txBody>
    </cdr:sp>
  </cdr:relSizeAnchor>
  <cdr:relSizeAnchor xmlns:cdr="http://schemas.openxmlformats.org/drawingml/2006/chartDrawing">
    <cdr:from>
      <cdr:x>0.38986</cdr:x>
      <cdr:y>0.48867</cdr:y>
    </cdr:from>
    <cdr:to>
      <cdr:x>0.82398</cdr:x>
      <cdr:y>0.89922</cdr:y>
    </cdr:to>
    <cdr:sp macro="" textlink="">
      <cdr:nvSpPr>
        <cdr:cNvPr id="7" name="Dreieck 6">
          <a:extLst xmlns:a="http://schemas.openxmlformats.org/drawingml/2006/main">
            <a:ext uri="{FF2B5EF4-FFF2-40B4-BE49-F238E27FC236}">
              <a16:creationId xmlns:a16="http://schemas.microsoft.com/office/drawing/2014/main" id="{6241C48C-B119-B04F-AA19-E9C4928A0128}"/>
            </a:ext>
          </a:extLst>
        </cdr:cNvPr>
        <cdr:cNvSpPr/>
      </cdr:nvSpPr>
      <cdr:spPr>
        <a:xfrm xmlns:a="http://schemas.openxmlformats.org/drawingml/2006/main">
          <a:off x="1547811" y="1939305"/>
          <a:ext cx="1723573" cy="1629273"/>
        </a:xfrm>
        <a:prstGeom xmlns:a="http://schemas.openxmlformats.org/drawingml/2006/main" prst="triangle">
          <a:avLst/>
        </a:prstGeom>
        <a:solidFill xmlns:a="http://schemas.openxmlformats.org/drawingml/2006/main">
          <a:srgbClr val="FF0000">
            <a:alpha val="20000"/>
          </a:srgbClr>
        </a:solid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endParaRPr lang="de-DE" sz="1100"/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1359</xdr:colOff>
      <xdr:row>0</xdr:row>
      <xdr:rowOff>203199</xdr:rowOff>
    </xdr:from>
    <xdr:to>
      <xdr:col>22</xdr:col>
      <xdr:colOff>735894</xdr:colOff>
      <xdr:row>25</xdr:row>
      <xdr:rowOff>163199</xdr:rowOff>
    </xdr:to>
    <xdr:graphicFrame macro="">
      <xdr:nvGraphicFramePr>
        <xdr:cNvPr id="3" name="Diagramm 2">
          <a:extLst>
            <a:ext uri="{FF2B5EF4-FFF2-40B4-BE49-F238E27FC236}">
              <a16:creationId xmlns:a16="http://schemas.microsoft.com/office/drawing/2014/main" id="{6539FE78-BEB6-5245-BF88-381DC49D016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22</xdr:col>
      <xdr:colOff>833964</xdr:colOff>
      <xdr:row>1</xdr:row>
      <xdr:rowOff>906</xdr:rowOff>
    </xdr:from>
    <xdr:to>
      <xdr:col>28</xdr:col>
      <xdr:colOff>1564764</xdr:colOff>
      <xdr:row>25</xdr:row>
      <xdr:rowOff>164106</xdr:rowOff>
    </xdr:to>
    <xdr:graphicFrame macro="">
      <xdr:nvGraphicFramePr>
        <xdr:cNvPr id="10" name="Diagramm 9">
          <a:extLst>
            <a:ext uri="{FF2B5EF4-FFF2-40B4-BE49-F238E27FC236}">
              <a16:creationId xmlns:a16="http://schemas.microsoft.com/office/drawing/2014/main" id="{1F2B3A5D-78E6-C845-B661-EA5B0BC0C34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16</xdr:col>
      <xdr:colOff>0</xdr:colOff>
      <xdr:row>26</xdr:row>
      <xdr:rowOff>0</xdr:rowOff>
    </xdr:from>
    <xdr:to>
      <xdr:col>22</xdr:col>
      <xdr:colOff>730800</xdr:colOff>
      <xdr:row>50</xdr:row>
      <xdr:rowOff>163200</xdr:rowOff>
    </xdr:to>
    <xdr:graphicFrame macro="">
      <xdr:nvGraphicFramePr>
        <xdr:cNvPr id="13" name="Diagramm 12">
          <a:extLst>
            <a:ext uri="{FF2B5EF4-FFF2-40B4-BE49-F238E27FC236}">
              <a16:creationId xmlns:a16="http://schemas.microsoft.com/office/drawing/2014/main" id="{6CED11FB-FDFC-AC4D-A2EF-46405BC3E81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23</xdr:col>
      <xdr:colOff>0</xdr:colOff>
      <xdr:row>26</xdr:row>
      <xdr:rowOff>0</xdr:rowOff>
    </xdr:from>
    <xdr:to>
      <xdr:col>28</xdr:col>
      <xdr:colOff>1569000</xdr:colOff>
      <xdr:row>50</xdr:row>
      <xdr:rowOff>163200</xdr:rowOff>
    </xdr:to>
    <xdr:graphicFrame macro="">
      <xdr:nvGraphicFramePr>
        <xdr:cNvPr id="14" name="Diagramm 13">
          <a:extLst>
            <a:ext uri="{FF2B5EF4-FFF2-40B4-BE49-F238E27FC236}">
              <a16:creationId xmlns:a16="http://schemas.microsoft.com/office/drawing/2014/main" id="{45589520-6F68-484A-9EC2-EA64A94D0FA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1.73503E-7</cdr:x>
      <cdr:y>0</cdr:y>
    </cdr:from>
    <cdr:to>
      <cdr:x>0.12266</cdr:x>
      <cdr:y>0.10247</cdr:y>
    </cdr:to>
    <cdr:sp macro="" textlink="">
      <cdr:nvSpPr>
        <cdr:cNvPr id="2" name="Textfeld 1">
          <a:extLst xmlns:a="http://schemas.openxmlformats.org/drawingml/2006/main">
            <a:ext uri="{FF2B5EF4-FFF2-40B4-BE49-F238E27FC236}">
              <a16:creationId xmlns:a16="http://schemas.microsoft.com/office/drawing/2014/main" id="{999BA276-2F4D-D86D-56F0-4038AAD948E3}"/>
            </a:ext>
          </a:extLst>
        </cdr:cNvPr>
        <cdr:cNvSpPr txBox="1"/>
      </cdr:nvSpPr>
      <cdr:spPr>
        <a:xfrm xmlns:a="http://schemas.openxmlformats.org/drawingml/2006/main">
          <a:off x="1" y="0"/>
          <a:ext cx="706967" cy="5164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de-DE" sz="2400" b="1">
              <a:latin typeface="Arial" panose="020B0604020202020204" pitchFamily="34" charset="0"/>
              <a:cs typeface="Arial" panose="020B0604020202020204" pitchFamily="34" charset="0"/>
            </a:rPr>
            <a:t>a)</a:t>
          </a:r>
        </a:p>
      </cdr:txBody>
    </cdr:sp>
  </cdr:relSizeAnchor>
  <cdr:relSizeAnchor xmlns:cdr="http://schemas.openxmlformats.org/drawingml/2006/chartDrawing">
    <cdr:from>
      <cdr:x>0.5499</cdr:x>
      <cdr:y>0.03041</cdr:y>
    </cdr:from>
    <cdr:to>
      <cdr:x>0.95212</cdr:x>
      <cdr:y>0.15279</cdr:y>
    </cdr:to>
    <cdr:sp macro="" textlink="">
      <cdr:nvSpPr>
        <cdr:cNvPr id="3" name="Rechteck 2">
          <a:extLst xmlns:a="http://schemas.openxmlformats.org/drawingml/2006/main">
            <a:ext uri="{FF2B5EF4-FFF2-40B4-BE49-F238E27FC236}">
              <a16:creationId xmlns:a16="http://schemas.microsoft.com/office/drawing/2014/main" id="{0FC78283-21AD-65E5-E147-6F3FEBBBE303}"/>
            </a:ext>
          </a:extLst>
        </cdr:cNvPr>
        <cdr:cNvSpPr/>
      </cdr:nvSpPr>
      <cdr:spPr>
        <a:xfrm xmlns:a="http://schemas.openxmlformats.org/drawingml/2006/main">
          <a:off x="3157297" y="154562"/>
          <a:ext cx="2309361" cy="62199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 anchor="ctr"/>
        <a:lstStyle xmlns:a="http://schemas.openxmlformats.org/drawingml/2006/main"/>
        <a:p xmlns:a="http://schemas.openxmlformats.org/drawingml/2006/main">
          <a:pPr algn="ctr"/>
          <a:r>
            <a:rPr lang="de-DE" sz="1400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de-DE" sz="140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r = 0.933, SEE = 21.0 W</a:t>
          </a:r>
        </a:p>
      </cdr:txBody>
    </cdr:sp>
  </cdr:relSizeAnchor>
</c:userShapes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1.73503E-7</cdr:x>
      <cdr:y>0</cdr:y>
    </cdr:from>
    <cdr:to>
      <cdr:x>0.12266</cdr:x>
      <cdr:y>0.10247</cdr:y>
    </cdr:to>
    <cdr:sp macro="" textlink="">
      <cdr:nvSpPr>
        <cdr:cNvPr id="2" name="Textfeld 1">
          <a:extLst xmlns:a="http://schemas.openxmlformats.org/drawingml/2006/main">
            <a:ext uri="{FF2B5EF4-FFF2-40B4-BE49-F238E27FC236}">
              <a16:creationId xmlns:a16="http://schemas.microsoft.com/office/drawing/2014/main" id="{999BA276-2F4D-D86D-56F0-4038AAD948E3}"/>
            </a:ext>
          </a:extLst>
        </cdr:cNvPr>
        <cdr:cNvSpPr txBox="1"/>
      </cdr:nvSpPr>
      <cdr:spPr>
        <a:xfrm xmlns:a="http://schemas.openxmlformats.org/drawingml/2006/main">
          <a:off x="1" y="0"/>
          <a:ext cx="706967" cy="5164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de-DE" sz="2400" b="1">
              <a:latin typeface="Arial" panose="020B0604020202020204" pitchFamily="34" charset="0"/>
              <a:cs typeface="Arial" panose="020B0604020202020204" pitchFamily="34" charset="0"/>
            </a:rPr>
            <a:t>b)</a:t>
          </a:r>
        </a:p>
      </cdr:txBody>
    </cdr:sp>
  </cdr:relSizeAnchor>
</c:userShapes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1.73503E-7</cdr:x>
      <cdr:y>0</cdr:y>
    </cdr:from>
    <cdr:to>
      <cdr:x>0.12266</cdr:x>
      <cdr:y>0.10247</cdr:y>
    </cdr:to>
    <cdr:sp macro="" textlink="">
      <cdr:nvSpPr>
        <cdr:cNvPr id="2" name="Textfeld 1">
          <a:extLst xmlns:a="http://schemas.openxmlformats.org/drawingml/2006/main">
            <a:ext uri="{FF2B5EF4-FFF2-40B4-BE49-F238E27FC236}">
              <a16:creationId xmlns:a16="http://schemas.microsoft.com/office/drawing/2014/main" id="{999BA276-2F4D-D86D-56F0-4038AAD948E3}"/>
            </a:ext>
          </a:extLst>
        </cdr:cNvPr>
        <cdr:cNvSpPr txBox="1"/>
      </cdr:nvSpPr>
      <cdr:spPr>
        <a:xfrm xmlns:a="http://schemas.openxmlformats.org/drawingml/2006/main">
          <a:off x="1" y="0"/>
          <a:ext cx="706967" cy="5164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de-DE" sz="2400" b="1">
              <a:latin typeface="Arial" panose="020B0604020202020204" pitchFamily="34" charset="0"/>
              <a:cs typeface="Arial" panose="020B0604020202020204" pitchFamily="34" charset="0"/>
            </a:rPr>
            <a:t>c)</a:t>
          </a:r>
        </a:p>
      </cdr:txBody>
    </cdr:sp>
  </cdr:relSizeAnchor>
  <cdr:relSizeAnchor xmlns:cdr="http://schemas.openxmlformats.org/drawingml/2006/chartDrawing">
    <cdr:from>
      <cdr:x>0.5499</cdr:x>
      <cdr:y>0.03041</cdr:y>
    </cdr:from>
    <cdr:to>
      <cdr:x>0.95212</cdr:x>
      <cdr:y>0.10658</cdr:y>
    </cdr:to>
    <cdr:sp macro="" textlink="">
      <cdr:nvSpPr>
        <cdr:cNvPr id="3" name="Rechteck 2">
          <a:extLst xmlns:a="http://schemas.openxmlformats.org/drawingml/2006/main">
            <a:ext uri="{FF2B5EF4-FFF2-40B4-BE49-F238E27FC236}">
              <a16:creationId xmlns:a16="http://schemas.microsoft.com/office/drawing/2014/main" id="{0FC78283-21AD-65E5-E147-6F3FEBBBE303}"/>
            </a:ext>
          </a:extLst>
        </cdr:cNvPr>
        <cdr:cNvSpPr/>
      </cdr:nvSpPr>
      <cdr:spPr>
        <a:xfrm xmlns:a="http://schemas.openxmlformats.org/drawingml/2006/main">
          <a:off x="3169006" y="152367"/>
          <a:ext cx="2317943" cy="38164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 anchor="t"/>
        <a:lstStyle xmlns:a="http://schemas.openxmlformats.org/drawingml/2006/main"/>
        <a:p xmlns:a="http://schemas.openxmlformats.org/drawingml/2006/main">
          <a:pPr algn="ctr"/>
          <a:r>
            <a:rPr lang="de-DE" sz="140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r = 0.499, SEE = 5.4 kJ</a:t>
          </a:r>
        </a:p>
      </cdr:txBody>
    </cdr:sp>
  </cdr:relSizeAnchor>
</c:userShapes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1.73503E-7</cdr:x>
      <cdr:y>0</cdr:y>
    </cdr:from>
    <cdr:to>
      <cdr:x>0.12266</cdr:x>
      <cdr:y>0.10247</cdr:y>
    </cdr:to>
    <cdr:sp macro="" textlink="">
      <cdr:nvSpPr>
        <cdr:cNvPr id="2" name="Textfeld 1">
          <a:extLst xmlns:a="http://schemas.openxmlformats.org/drawingml/2006/main">
            <a:ext uri="{FF2B5EF4-FFF2-40B4-BE49-F238E27FC236}">
              <a16:creationId xmlns:a16="http://schemas.microsoft.com/office/drawing/2014/main" id="{999BA276-2F4D-D86D-56F0-4038AAD948E3}"/>
            </a:ext>
          </a:extLst>
        </cdr:cNvPr>
        <cdr:cNvSpPr txBox="1"/>
      </cdr:nvSpPr>
      <cdr:spPr>
        <a:xfrm xmlns:a="http://schemas.openxmlformats.org/drawingml/2006/main">
          <a:off x="1" y="0"/>
          <a:ext cx="706967" cy="5164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de-DE" sz="2400" b="1">
              <a:latin typeface="Arial" panose="020B0604020202020204" pitchFamily="34" charset="0"/>
              <a:cs typeface="Arial" panose="020B0604020202020204" pitchFamily="34" charset="0"/>
            </a:rPr>
            <a:t>d)</a:t>
          </a:r>
        </a:p>
      </cdr:txBody>
    </cdr:sp>
  </cdr:relSizeAnchor>
</c:userShape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B8B3E-1FF5-5544-9EEA-93528EDE8CD0}">
  <sheetPr>
    <pageSetUpPr fitToPage="1"/>
  </sheetPr>
  <dimension ref="A1:AY40"/>
  <sheetViews>
    <sheetView tabSelected="1" topLeftCell="M1" zoomScale="125" zoomScaleNormal="68" workbookViewId="0">
      <selection activeCell="Q19" sqref="Q19"/>
    </sheetView>
  </sheetViews>
  <sheetFormatPr baseColWidth="10" defaultColWidth="10.83203125" defaultRowHeight="16" x14ac:dyDescent="0.2"/>
  <cols>
    <col min="1" max="1" width="32.83203125" style="2" customWidth="1"/>
    <col min="2" max="29" width="11.1640625" style="2" customWidth="1"/>
    <col min="30" max="30" width="5.83203125" style="2" customWidth="1"/>
    <col min="31" max="31" width="17.1640625" style="2" customWidth="1"/>
    <col min="32" max="35" width="13.6640625" style="2" customWidth="1"/>
    <col min="36" max="39" width="10.83203125" style="2"/>
    <col min="40" max="40" width="9.1640625" style="2" customWidth="1"/>
    <col min="41" max="41" width="10.83203125" style="2"/>
    <col min="42" max="42" width="17.1640625" style="2" customWidth="1"/>
    <col min="43" max="16384" width="10.83203125" style="2"/>
  </cols>
  <sheetData>
    <row r="1" spans="1:51" ht="18" x14ac:dyDescent="0.2">
      <c r="A1" s="34" t="s">
        <v>1</v>
      </c>
      <c r="B1" s="34" t="s">
        <v>2</v>
      </c>
      <c r="C1" s="35" t="s">
        <v>81</v>
      </c>
      <c r="D1" s="36" t="s">
        <v>82</v>
      </c>
      <c r="E1" s="36" t="s">
        <v>118</v>
      </c>
      <c r="F1" s="38" t="s">
        <v>85</v>
      </c>
      <c r="G1" s="39" t="s">
        <v>86</v>
      </c>
      <c r="H1" s="39" t="s">
        <v>90</v>
      </c>
      <c r="I1" s="39" t="s">
        <v>94</v>
      </c>
      <c r="J1" s="39" t="s">
        <v>97</v>
      </c>
      <c r="K1" s="39" t="s">
        <v>114</v>
      </c>
      <c r="L1" s="39" t="s">
        <v>98</v>
      </c>
      <c r="M1" s="39" t="s">
        <v>115</v>
      </c>
      <c r="N1" s="39" t="s">
        <v>100</v>
      </c>
      <c r="O1" s="72" t="s">
        <v>104</v>
      </c>
      <c r="P1" s="39" t="s">
        <v>117</v>
      </c>
      <c r="Q1" s="57" t="s">
        <v>83</v>
      </c>
      <c r="R1" s="37" t="s">
        <v>84</v>
      </c>
      <c r="S1" s="37" t="s">
        <v>118</v>
      </c>
      <c r="T1" s="58" t="s">
        <v>87</v>
      </c>
      <c r="U1" s="50" t="s">
        <v>88</v>
      </c>
      <c r="V1" s="50" t="s">
        <v>91</v>
      </c>
      <c r="W1" s="50" t="s">
        <v>101</v>
      </c>
      <c r="X1" s="50" t="s">
        <v>102</v>
      </c>
      <c r="Y1" s="50" t="s">
        <v>116</v>
      </c>
      <c r="Z1" s="50" t="s">
        <v>103</v>
      </c>
      <c r="AA1" s="50" t="s">
        <v>100</v>
      </c>
      <c r="AB1" s="50" t="s">
        <v>104</v>
      </c>
      <c r="AC1" s="57" t="s">
        <v>117</v>
      </c>
      <c r="AF1" s="64" t="s">
        <v>105</v>
      </c>
      <c r="AL1" s="64" t="s">
        <v>107</v>
      </c>
      <c r="AM1" s="26"/>
      <c r="AN1" s="64" t="s">
        <v>106</v>
      </c>
      <c r="AQ1" s="64" t="s">
        <v>105</v>
      </c>
      <c r="AW1" s="64" t="s">
        <v>107</v>
      </c>
      <c r="AX1" s="26"/>
      <c r="AY1" s="64" t="s">
        <v>106</v>
      </c>
    </row>
    <row r="2" spans="1:51" x14ac:dyDescent="0.2">
      <c r="A2" s="46" t="s">
        <v>141</v>
      </c>
      <c r="B2" s="40">
        <v>6</v>
      </c>
      <c r="C2" s="41">
        <f>'Bartram 17 WT'!C30</f>
        <v>1.8580000000000001</v>
      </c>
      <c r="D2" s="42">
        <f>'Bartram 17 WT'!D30</f>
        <v>0.16</v>
      </c>
      <c r="E2" s="42">
        <f>SQRT(D2)/SQRT($B2)</f>
        <v>0.16329931618554522</v>
      </c>
      <c r="F2" s="41">
        <f>1/D2</f>
        <v>6.25</v>
      </c>
      <c r="G2" s="42">
        <f>C2/D2</f>
        <v>11.612500000000001</v>
      </c>
      <c r="H2" s="42">
        <f>C2^2/D2</f>
        <v>21.576025000000001</v>
      </c>
      <c r="I2" s="80">
        <f>F2^2</f>
        <v>39.0625</v>
      </c>
      <c r="J2" s="42">
        <f>1/(D2+C$23)</f>
        <v>3.2467532467532467</v>
      </c>
      <c r="K2" s="42">
        <f>J2^2</f>
        <v>10.541406645302748</v>
      </c>
      <c r="L2" s="42">
        <f>C2/(D2+C$23)</f>
        <v>6.0324675324675328</v>
      </c>
      <c r="M2" s="42">
        <f>C2^2*J2</f>
        <v>11.208324675324675</v>
      </c>
      <c r="N2" s="55">
        <f>J2/(SUM(J$2:J$16))</f>
        <v>3.8044689322182225E-2</v>
      </c>
      <c r="O2" s="44">
        <f xml:space="preserve"> ROUND(SQRT(D2)*1.96,3)</f>
        <v>0.78400000000000003</v>
      </c>
      <c r="P2" s="75">
        <f>'Bartram 17 WT'!D25</f>
        <v>0.95</v>
      </c>
      <c r="Q2" s="51">
        <f>'Bartram 17 WT'!F30</f>
        <v>-1.0940000000000001</v>
      </c>
      <c r="R2" s="43">
        <f>'Bartram 17 WT'!G30</f>
        <v>0.56999999999999995</v>
      </c>
      <c r="S2" s="43">
        <f>SQRT(R2)/SQRT($B2)</f>
        <v>0.30822070014844882</v>
      </c>
      <c r="T2" s="51">
        <f>1/R2</f>
        <v>1.7543859649122808</v>
      </c>
      <c r="U2" s="43">
        <f>Q2/R2</f>
        <v>-1.9192982456140355</v>
      </c>
      <c r="V2" s="43">
        <f>Q2^2/R2</f>
        <v>2.099712280701755</v>
      </c>
      <c r="W2" s="43">
        <f>T2^2</f>
        <v>3.0778701138811946</v>
      </c>
      <c r="X2" s="43">
        <f>1/(R2+Q$23)</f>
        <v>1.1261261261261262</v>
      </c>
      <c r="Y2" s="43">
        <f>X2^2</f>
        <v>1.2681600519438359</v>
      </c>
      <c r="Z2" s="43">
        <f>Q2/(R2+Q$23)</f>
        <v>-1.2319819819819822</v>
      </c>
      <c r="AA2" s="56">
        <f>X2/(SUM(X$2:X$16))</f>
        <v>3.1892700058611168E-2</v>
      </c>
      <c r="AB2" s="59">
        <f xml:space="preserve"> ROUND(SQRT(R2)*1.96,3)</f>
        <v>1.48</v>
      </c>
      <c r="AC2" s="76">
        <f>'Bartram 17 WT'!G25</f>
        <v>0.16700000000000001</v>
      </c>
      <c r="AD2" s="2">
        <v>15</v>
      </c>
      <c r="AF2" s="62" t="str">
        <f>A2</f>
        <v>Bartram et al. (2017) Wt PL5</v>
      </c>
      <c r="AL2" s="61" t="str">
        <f xml:space="preserve"> C2&amp;" ["&amp;ROUND(C2-O2,3)&amp;", "&amp;ROUND(C2+O2,3)&amp;"]"</f>
        <v>1.858 [1.074, 2.642]</v>
      </c>
      <c r="AM2" s="63"/>
      <c r="AN2" s="60">
        <f>N2</f>
        <v>3.8044689322182225E-2</v>
      </c>
      <c r="AQ2" s="62" t="str">
        <f t="shared" ref="AQ2:AQ16" si="0">A2</f>
        <v>Bartram et al. (2017) Wt PL5</v>
      </c>
      <c r="AW2" s="61" t="str">
        <f xml:space="preserve"> Q2&amp;" ["&amp;ROUND(Q2-AB2,3)&amp;", "&amp;ROUND(Q2+AB2,3)&amp;"]"</f>
        <v>-1.094 [-2.574, 0.386]</v>
      </c>
      <c r="AX2" s="63"/>
      <c r="AY2" s="60">
        <f>AA2</f>
        <v>3.1892700058611168E-2</v>
      </c>
    </row>
    <row r="3" spans="1:51" x14ac:dyDescent="0.2">
      <c r="A3" s="46" t="s">
        <v>146</v>
      </c>
      <c r="B3" s="40">
        <v>13</v>
      </c>
      <c r="C3" s="41">
        <f>'Karsten 13 WT'!C30</f>
        <v>1.734</v>
      </c>
      <c r="D3" s="42">
        <f>'Karsten 13 WT'!D30</f>
        <v>4.2000000000000003E-2</v>
      </c>
      <c r="E3" s="42">
        <f>SQRT(D3)/SQRT($B3)</f>
        <v>5.6839856005880519E-2</v>
      </c>
      <c r="F3" s="41">
        <f>1/D3</f>
        <v>23.809523809523807</v>
      </c>
      <c r="G3" s="42">
        <f>C3/D3</f>
        <v>41.285714285714285</v>
      </c>
      <c r="H3" s="42">
        <f>C3^2/D3</f>
        <v>71.589428571428556</v>
      </c>
      <c r="I3" s="80">
        <f>F3^2</f>
        <v>566.89342403628109</v>
      </c>
      <c r="J3" s="42">
        <f>1/(D3+C$23)</f>
        <v>5.2631578947368425</v>
      </c>
      <c r="K3" s="42">
        <f>J3^2</f>
        <v>27.700831024930753</v>
      </c>
      <c r="L3" s="42">
        <f>C3/(D3+C$23)</f>
        <v>9.1263157894736846</v>
      </c>
      <c r="M3" s="42">
        <f>C3^2*J3</f>
        <v>15.825031578947367</v>
      </c>
      <c r="N3" s="55">
        <f>J3/(SUM(J$2:J$16))</f>
        <v>6.1672443743326984E-2</v>
      </c>
      <c r="O3" s="44">
        <f xml:space="preserve"> ROUND(SQRT(D3)*1.96,3)</f>
        <v>0.40200000000000002</v>
      </c>
      <c r="P3" s="75">
        <f>'Karsten 13 WT'!D25</f>
        <v>0.90600000000000003</v>
      </c>
      <c r="Q3" s="51">
        <f>'Karsten 13 WT'!F30</f>
        <v>-1.1890000000000001</v>
      </c>
      <c r="R3" s="43">
        <f>'Karsten 13 WT'!G30</f>
        <v>0.13800000000000001</v>
      </c>
      <c r="S3" s="43">
        <f>SQRT(R3)/SQRT($B3)</f>
        <v>0.1030309886169429</v>
      </c>
      <c r="T3" s="51">
        <f>1/R3</f>
        <v>7.2463768115942022</v>
      </c>
      <c r="U3" s="43">
        <f>Q3/R3</f>
        <v>-8.6159420289855078</v>
      </c>
      <c r="V3" s="43">
        <f>Q3^2/R3</f>
        <v>10.244355072463769</v>
      </c>
      <c r="W3" s="43">
        <f>T3^2</f>
        <v>52.509976895610158</v>
      </c>
      <c r="X3" s="43">
        <f>1/(R3+Q$23)</f>
        <v>2.1929824561403506</v>
      </c>
      <c r="Y3" s="43">
        <f>X3^2</f>
        <v>4.8091720529393651</v>
      </c>
      <c r="Z3" s="43">
        <f>Q3/(R3+Q$23)</f>
        <v>-2.6074561403508771</v>
      </c>
      <c r="AA3" s="56">
        <f>X3/(SUM(X$2:X$16))</f>
        <v>6.2106836956242785E-2</v>
      </c>
      <c r="AB3" s="59">
        <f xml:space="preserve"> ROUND(SQRT(R3)*1.96,3)</f>
        <v>0.72799999999999998</v>
      </c>
      <c r="AC3" s="76">
        <f>'Karsten 13 WT'!G25</f>
        <v>0.183</v>
      </c>
      <c r="AD3" s="2">
        <v>14</v>
      </c>
      <c r="AF3" s="62" t="str">
        <f t="shared" ref="AF3:AF16" si="1">A3</f>
        <v>Karsten et al. (2013)* Wt PL4</v>
      </c>
      <c r="AL3" s="61" t="str">
        <f t="shared" ref="AL3:AL15" si="2" xml:space="preserve"> C3&amp;" ["&amp;ROUND(C3-O3,3)&amp;", "&amp;ROUND(C3+O3,3)&amp;"]"</f>
        <v>1.734 [1.332, 2.136]</v>
      </c>
      <c r="AM3" s="63"/>
      <c r="AN3" s="60">
        <f t="shared" ref="AN3:AN16" si="3">N3</f>
        <v>6.1672443743326984E-2</v>
      </c>
      <c r="AQ3" s="62" t="str">
        <f t="shared" si="0"/>
        <v>Karsten et al. (2013)* Wt PL4</v>
      </c>
      <c r="AW3" s="61" t="str">
        <f t="shared" ref="AW3:AW16" si="4" xml:space="preserve"> Q3&amp;" ["&amp;ROUND(Q3-AB3,3)&amp;", "&amp;ROUND(Q3+AB3,3)&amp;"]"</f>
        <v>-1.189 [-1.917, -0.461]</v>
      </c>
      <c r="AX3" s="63"/>
      <c r="AY3" s="60">
        <f t="shared" ref="AY3:AY16" si="5">AA3</f>
        <v>6.2106836956242785E-2</v>
      </c>
    </row>
    <row r="4" spans="1:51" x14ac:dyDescent="0.2">
      <c r="A4" s="47" t="s">
        <v>147</v>
      </c>
      <c r="B4" s="44">
        <v>13</v>
      </c>
      <c r="C4" s="41">
        <f>'Karsten 13 1T'!C30</f>
        <v>1.52</v>
      </c>
      <c r="D4" s="42">
        <f>'Karsten 13 1T'!D30</f>
        <v>3.1E-2</v>
      </c>
      <c r="E4" s="42">
        <f>SQRT(D4)/SQRT($B4)</f>
        <v>4.8832523840319622E-2</v>
      </c>
      <c r="F4" s="41">
        <f>1/D4</f>
        <v>32.258064516129032</v>
      </c>
      <c r="G4" s="42">
        <f>C4/D4</f>
        <v>49.032258064516128</v>
      </c>
      <c r="H4" s="42">
        <f>C4^2/D4</f>
        <v>74.529032258064518</v>
      </c>
      <c r="I4" s="80">
        <f>F4^2</f>
        <v>1040.5827263267429</v>
      </c>
      <c r="J4" s="42">
        <f>1/(D4+C$23)</f>
        <v>5.5865921787709496</v>
      </c>
      <c r="K4" s="42">
        <f>J4^2</f>
        <v>31.210012171904747</v>
      </c>
      <c r="L4" s="42">
        <f>C4/(D4+C$23)</f>
        <v>8.4916201117318444</v>
      </c>
      <c r="M4" s="42">
        <f>C4^2*J4</f>
        <v>12.907262569832403</v>
      </c>
      <c r="N4" s="55">
        <f>J4/(SUM(J$2:J$16))</f>
        <v>6.5462370453810759E-2</v>
      </c>
      <c r="O4" s="44">
        <f xml:space="preserve"> ROUND(SQRT(D4)*1.96,3)</f>
        <v>0.34499999999999997</v>
      </c>
      <c r="P4" s="75">
        <f>'Karsten 13 1T'!D25</f>
        <v>0.876</v>
      </c>
      <c r="Q4" s="51">
        <f>'Karsten 13 1T'!F30</f>
        <v>-0.91500000000000004</v>
      </c>
      <c r="R4" s="43">
        <f>'Karsten 13 1T'!G30</f>
        <v>0.108</v>
      </c>
      <c r="S4" s="43">
        <f>SQRT(R4)/SQRT($B4)</f>
        <v>9.1146543037530003E-2</v>
      </c>
      <c r="T4" s="51">
        <f>1/R4</f>
        <v>9.2592592592592595</v>
      </c>
      <c r="U4" s="43">
        <f>Q4/R4</f>
        <v>-8.4722222222222232</v>
      </c>
      <c r="V4" s="43">
        <f>Q4^2/R4</f>
        <v>7.7520833333333341</v>
      </c>
      <c r="W4" s="43">
        <f>T4^2</f>
        <v>85.733882030178336</v>
      </c>
      <c r="X4" s="43">
        <f>1/(R4+Q$23)</f>
        <v>2.347417840375587</v>
      </c>
      <c r="Y4" s="43">
        <f>X4^2</f>
        <v>5.5103705173135848</v>
      </c>
      <c r="Z4" s="43">
        <f>Q4/(R4+Q$23)</f>
        <v>-2.147887323943662</v>
      </c>
      <c r="AA4" s="56">
        <f>X4/(SUM(X$2:X$16))</f>
        <v>6.6480557868654255E-2</v>
      </c>
      <c r="AB4" s="59">
        <f xml:space="preserve"> ROUND(SQRT(R4)*1.96,3)</f>
        <v>0.64400000000000002</v>
      </c>
      <c r="AC4" s="76">
        <f>'Karsten 13 1T'!G25</f>
        <v>0.24199999999999999</v>
      </c>
      <c r="AD4" s="2">
        <v>13</v>
      </c>
      <c r="AF4" s="62" t="str">
        <f t="shared" si="1"/>
        <v>Karsten et al. (2013)* 1/t PL4</v>
      </c>
      <c r="AL4" s="61" t="str">
        <f t="shared" si="2"/>
        <v>1.52 [1.175, 1.865]</v>
      </c>
      <c r="AM4" s="63"/>
      <c r="AN4" s="60">
        <f t="shared" si="3"/>
        <v>6.5462370453810759E-2</v>
      </c>
      <c r="AQ4" s="62" t="str">
        <f t="shared" si="0"/>
        <v>Karsten et al. (2013)* 1/t PL4</v>
      </c>
      <c r="AW4" s="61" t="str">
        <f t="shared" si="4"/>
        <v>-0.915 [-1.559, -0.271]</v>
      </c>
      <c r="AX4" s="63"/>
      <c r="AY4" s="60">
        <f t="shared" si="5"/>
        <v>6.6480557868654255E-2</v>
      </c>
    </row>
    <row r="5" spans="1:51" x14ac:dyDescent="0.2">
      <c r="A5" s="47" t="s">
        <v>148</v>
      </c>
      <c r="B5" s="44">
        <v>10</v>
      </c>
      <c r="C5" s="41">
        <f>'Wright 17 1T lin'!C30</f>
        <v>1.1659999999999999</v>
      </c>
      <c r="D5" s="42">
        <f>'Wright 17 1T lin'!D30</f>
        <v>4.1000000000000002E-2</v>
      </c>
      <c r="E5" s="42">
        <f>SQRT(D5)/SQRT($B5)</f>
        <v>6.4031242374328487E-2</v>
      </c>
      <c r="F5" s="41">
        <f>1/D5</f>
        <v>24.390243902439025</v>
      </c>
      <c r="G5" s="42">
        <f>C5/D5</f>
        <v>28.439024390243901</v>
      </c>
      <c r="H5" s="42">
        <f>C5^2/D5</f>
        <v>33.159902439024386</v>
      </c>
      <c r="I5" s="80">
        <f>F5^2</f>
        <v>594.88399762046402</v>
      </c>
      <c r="J5" s="42">
        <f>1/(D5+C$23)</f>
        <v>5.2910052910052912</v>
      </c>
      <c r="K5" s="42">
        <f>J5^2</f>
        <v>27.994736989445986</v>
      </c>
      <c r="L5" s="42">
        <f>C5/(D5+C$23)</f>
        <v>6.1693121693121693</v>
      </c>
      <c r="M5" s="42">
        <f>C5^2*J5</f>
        <v>7.1934179894179886</v>
      </c>
      <c r="N5" s="55">
        <f>J5/(SUM(J$2:J$16))</f>
        <v>6.1998752969482145E-2</v>
      </c>
      <c r="O5" s="44">
        <f xml:space="preserve"> ROUND(SQRT(D5)*1.96,3)</f>
        <v>0.39700000000000002</v>
      </c>
      <c r="P5" s="75">
        <f>'Wright 17 1T lin'!D25</f>
        <v>0.81399999999999995</v>
      </c>
      <c r="Q5" s="51">
        <f>'Wright 17 1T lin'!F30</f>
        <v>-1.873</v>
      </c>
      <c r="R5" s="43">
        <f>'Wright 17 1T lin'!G30</f>
        <v>0.16800000000000001</v>
      </c>
      <c r="S5" s="43">
        <f>SQRT(R5)/SQRT($B5)</f>
        <v>0.12961481396815722</v>
      </c>
      <c r="T5" s="51">
        <f>1/R5</f>
        <v>5.9523809523809517</v>
      </c>
      <c r="U5" s="43">
        <f>Q5/R5</f>
        <v>-11.148809523809524</v>
      </c>
      <c r="V5" s="43">
        <f>Q5^2/R5</f>
        <v>20.881720238095237</v>
      </c>
      <c r="W5" s="43">
        <f>T5^2</f>
        <v>35.430839002267568</v>
      </c>
      <c r="X5" s="43">
        <f>1/(R5+Q$23)</f>
        <v>2.0576131687242798</v>
      </c>
      <c r="Y5" s="43">
        <f>X5^2</f>
        <v>4.2337719521075714</v>
      </c>
      <c r="Z5" s="43">
        <f>Q5/(R5+Q$23)</f>
        <v>-3.8539094650205761</v>
      </c>
      <c r="AA5" s="56">
        <f>X5/(SUM(X$2:X$16))</f>
        <v>5.8273081588573486E-2</v>
      </c>
      <c r="AB5" s="59">
        <f xml:space="preserve"> ROUND(SQRT(R5)*1.96,3)</f>
        <v>0.80300000000000005</v>
      </c>
      <c r="AC5" s="76">
        <f>'Wright 17 1T lin'!G25</f>
        <v>7.5999999999999998E-2</v>
      </c>
      <c r="AD5" s="2">
        <v>12</v>
      </c>
      <c r="AF5" s="62" t="str">
        <f t="shared" si="1"/>
        <v>Wright et al. (2017)* 1/t lin PL3</v>
      </c>
      <c r="AL5" s="61" t="str">
        <f t="shared" si="2"/>
        <v>1.166 [0.769, 1.563]</v>
      </c>
      <c r="AM5" s="63"/>
      <c r="AN5" s="60">
        <f t="shared" si="3"/>
        <v>6.1998752969482145E-2</v>
      </c>
      <c r="AQ5" s="62" t="str">
        <f t="shared" si="0"/>
        <v>Wright et al. (2017)* 1/t lin PL3</v>
      </c>
      <c r="AW5" s="61" t="str">
        <f t="shared" si="4"/>
        <v>-1.873 [-2.676, -1.07]</v>
      </c>
      <c r="AX5" s="63"/>
      <c r="AY5" s="60">
        <f t="shared" si="5"/>
        <v>5.8273081588573486E-2</v>
      </c>
    </row>
    <row r="6" spans="1:51" x14ac:dyDescent="0.2">
      <c r="A6" s="47" t="s">
        <v>149</v>
      </c>
      <c r="B6" s="44">
        <v>9</v>
      </c>
      <c r="C6" s="41">
        <f>'Dekerle 13 1T 60'!C30</f>
        <v>0.60599999999999998</v>
      </c>
      <c r="D6" s="42">
        <f>'Dekerle 13 1T 60'!D30</f>
        <v>3.1E-2</v>
      </c>
      <c r="E6" s="42">
        <f>SQRT(D6)/SQRT($B6)</f>
        <v>5.8689389538863358E-2</v>
      </c>
      <c r="F6" s="41">
        <f>1/D6</f>
        <v>32.258064516129032</v>
      </c>
      <c r="G6" s="42">
        <f>C6/D6</f>
        <v>19.548387096774192</v>
      </c>
      <c r="H6" s="42">
        <f>C6^2/D6</f>
        <v>11.846322580645161</v>
      </c>
      <c r="I6" s="80">
        <f>F6^2</f>
        <v>1040.5827263267429</v>
      </c>
      <c r="J6" s="42">
        <f>1/(D6+C$23)</f>
        <v>5.5865921787709496</v>
      </c>
      <c r="K6" s="42">
        <f>J6^2</f>
        <v>31.210012171904747</v>
      </c>
      <c r="L6" s="42">
        <f>C6/(D6+C$23)</f>
        <v>3.3854748603351954</v>
      </c>
      <c r="M6" s="42">
        <f>C6^2*J6</f>
        <v>2.0515977653631285</v>
      </c>
      <c r="N6" s="55">
        <f>J6/(SUM(J$2:J$16))</f>
        <v>6.5462370453810759E-2</v>
      </c>
      <c r="O6" s="44">
        <f xml:space="preserve"> ROUND(SQRT(D6)*1.96,3)</f>
        <v>0.34499999999999997</v>
      </c>
      <c r="P6" s="75">
        <f>'Dekerle 13 1T 60'!D25</f>
        <v>0.68500000000000005</v>
      </c>
      <c r="Q6" s="51">
        <f>'Dekerle 13 1T 60'!F30</f>
        <v>-0.218</v>
      </c>
      <c r="R6" s="43">
        <f>'Dekerle 13 1T 60'!G30</f>
        <v>0.31</v>
      </c>
      <c r="S6" s="43">
        <f>SQRT(R6)/SQRT($B6)</f>
        <v>0.18559214542766742</v>
      </c>
      <c r="T6" s="51">
        <f>1/R6</f>
        <v>3.2258064516129035</v>
      </c>
      <c r="U6" s="43">
        <f>Q6/R6</f>
        <v>-0.70322580645161292</v>
      </c>
      <c r="V6" s="43">
        <f>Q6^2/R6</f>
        <v>0.15330322580645162</v>
      </c>
      <c r="W6" s="43">
        <f>T6^2</f>
        <v>10.405827263267431</v>
      </c>
      <c r="X6" s="43">
        <f>1/(R6+Q$23)</f>
        <v>1.5923566878980893</v>
      </c>
      <c r="Y6" s="43">
        <f>X6^2</f>
        <v>2.5355998214937729</v>
      </c>
      <c r="Z6" s="43">
        <f>Q6/(R6+Q$23)</f>
        <v>-0.34713375796178342</v>
      </c>
      <c r="AA6" s="56">
        <f>X6/(SUM(X$2:X$16))</f>
        <v>4.5096684159310056E-2</v>
      </c>
      <c r="AB6" s="59">
        <f xml:space="preserve"> ROUND(SQRT(R6)*1.96,3)</f>
        <v>1.091</v>
      </c>
      <c r="AC6" s="76">
        <f>'Dekerle 13 1T 60'!G25</f>
        <v>0.43099999999999999</v>
      </c>
      <c r="AD6" s="2">
        <v>11</v>
      </c>
      <c r="AF6" s="62" t="str">
        <f t="shared" si="1"/>
        <v>Dekerle et al. (2014) 1/t 60 PL3</v>
      </c>
      <c r="AL6" s="61" t="str">
        <f t="shared" si="2"/>
        <v>0.606 [0.261, 0.951]</v>
      </c>
      <c r="AM6" s="63"/>
      <c r="AN6" s="60">
        <f t="shared" si="3"/>
        <v>6.5462370453810759E-2</v>
      </c>
      <c r="AQ6" s="62" t="str">
        <f t="shared" si="0"/>
        <v>Dekerle et al. (2014) 1/t 60 PL3</v>
      </c>
      <c r="AW6" s="61" t="str">
        <f t="shared" si="4"/>
        <v>-0.218 [-1.309, 0.873]</v>
      </c>
      <c r="AX6" s="63"/>
      <c r="AY6" s="60">
        <f t="shared" si="5"/>
        <v>4.5096684159310056E-2</v>
      </c>
    </row>
    <row r="7" spans="1:51" x14ac:dyDescent="0.2">
      <c r="A7" s="48" t="s">
        <v>142</v>
      </c>
      <c r="B7" s="45">
        <v>15</v>
      </c>
      <c r="C7" s="41">
        <f>'Goulding 21 mix up'!C30</f>
        <v>0.441</v>
      </c>
      <c r="D7" s="42">
        <f>'Goulding 21 mix up'!D30</f>
        <v>5.0000000000000001E-3</v>
      </c>
      <c r="E7" s="42">
        <f>SQRT(D7)/SQRT($B7)</f>
        <v>1.8257418583505537E-2</v>
      </c>
      <c r="F7" s="41">
        <f>1/D7</f>
        <v>200</v>
      </c>
      <c r="G7" s="42">
        <f>C7/D7</f>
        <v>88.2</v>
      </c>
      <c r="H7" s="42">
        <f>C7^2/D7</f>
        <v>38.8962</v>
      </c>
      <c r="I7" s="80">
        <f>F7^2</f>
        <v>40000</v>
      </c>
      <c r="J7" s="42">
        <f>1/(D7+C$23)</f>
        <v>6.5359477124183005</v>
      </c>
      <c r="K7" s="42">
        <f>J7^2</f>
        <v>42.718612499466019</v>
      </c>
      <c r="L7" s="42">
        <f>C7/(D7+C$23)</f>
        <v>2.8823529411764706</v>
      </c>
      <c r="M7" s="42">
        <f>C7^2*J7</f>
        <v>1.2711176470588237</v>
      </c>
      <c r="N7" s="55">
        <f>J7/(SUM(J$2:J$16))</f>
        <v>7.6586694844654413E-2</v>
      </c>
      <c r="O7" s="44">
        <f xml:space="preserve"> ROUND(SQRT(D7)*1.96,3)</f>
        <v>0.13900000000000001</v>
      </c>
      <c r="P7" s="75">
        <f>'Goulding 21 mix up'!D25</f>
        <v>0.63</v>
      </c>
      <c r="Q7" s="51">
        <f>'Goulding 21 mix up'!C30</f>
        <v>0.441</v>
      </c>
      <c r="R7" s="43">
        <f>'Goulding 21 mix up'!D30</f>
        <v>5.0000000000000001E-3</v>
      </c>
      <c r="S7" s="43">
        <f>SQRT(R7)/SQRT($B7)</f>
        <v>1.8257418583505537E-2</v>
      </c>
      <c r="T7" s="51">
        <f>1/R7</f>
        <v>200</v>
      </c>
      <c r="U7" s="43">
        <f>Q7/R7</f>
        <v>88.2</v>
      </c>
      <c r="V7" s="43">
        <f>Q7^2/R7</f>
        <v>38.8962</v>
      </c>
      <c r="W7" s="43">
        <f>T7^2</f>
        <v>40000</v>
      </c>
      <c r="X7" s="43">
        <f>1/(R7+Q$23)</f>
        <v>3.0959752321981422</v>
      </c>
      <c r="Y7" s="43">
        <f>X7^2</f>
        <v>9.5850626383843398</v>
      </c>
      <c r="Z7" s="43">
        <f>Q7/(R7+Q$23)</f>
        <v>1.3653250773993808</v>
      </c>
      <c r="AA7" s="56">
        <f>X7/(SUM(X$2:X$16))</f>
        <v>8.7680240408813351E-2</v>
      </c>
      <c r="AB7" s="59">
        <f xml:space="preserve"> ROUND(SQRT(R7)*1.96,3)</f>
        <v>0.13900000000000001</v>
      </c>
      <c r="AC7" s="76">
        <f>'Dekerle 13 1T 100'!G25</f>
        <v>0.379</v>
      </c>
      <c r="AD7" s="2">
        <v>10</v>
      </c>
      <c r="AF7" s="62" t="str">
        <f>A7</f>
        <v>Goulding et al. (2021)* mix up PL2</v>
      </c>
      <c r="AL7" s="61" t="str">
        <f t="shared" si="2"/>
        <v>0.441 [0.302, 0.58]</v>
      </c>
      <c r="AM7" s="63"/>
      <c r="AN7" s="60">
        <f t="shared" si="3"/>
        <v>7.6586694844654413E-2</v>
      </c>
      <c r="AQ7" s="62" t="str">
        <f t="shared" si="0"/>
        <v>Goulding et al. (2021)* mix up PL2</v>
      </c>
      <c r="AW7" s="61" t="str">
        <f t="shared" si="4"/>
        <v>0.441 [0.302, 0.58]</v>
      </c>
      <c r="AX7" s="63"/>
      <c r="AY7" s="60">
        <f t="shared" si="5"/>
        <v>8.7680240408813351E-2</v>
      </c>
    </row>
    <row r="8" spans="1:51" x14ac:dyDescent="0.2">
      <c r="A8" s="47" t="s">
        <v>150</v>
      </c>
      <c r="B8" s="44">
        <v>9</v>
      </c>
      <c r="C8" s="41">
        <f>'Dekerle 13 1T 100'!C30</f>
        <v>0.29399999999999998</v>
      </c>
      <c r="D8" s="42">
        <f>'Dekerle 13 1T 100'!D30</f>
        <v>7.0000000000000007E-2</v>
      </c>
      <c r="E8" s="42">
        <f>SQRT(D8)/SQRT($B8)</f>
        <v>8.819171036881969E-2</v>
      </c>
      <c r="F8" s="41">
        <f>1/D8</f>
        <v>14.285714285714285</v>
      </c>
      <c r="G8" s="42">
        <f>C8/D8</f>
        <v>4.1999999999999993</v>
      </c>
      <c r="H8" s="42">
        <f>C8^2/D8</f>
        <v>1.2347999999999997</v>
      </c>
      <c r="I8" s="80">
        <f>F8^2</f>
        <v>204.08163265306121</v>
      </c>
      <c r="J8" s="42">
        <f>1/(D8+C$23)</f>
        <v>4.5871559633027523</v>
      </c>
      <c r="K8" s="42">
        <f>J8^2</f>
        <v>21.041999831664</v>
      </c>
      <c r="L8" s="42">
        <f>C8/(D8+C$23)</f>
        <v>1.3486238532110091</v>
      </c>
      <c r="M8" s="42">
        <f>C8^2*J8</f>
        <v>0.39649541284403661</v>
      </c>
      <c r="N8" s="55">
        <f>J8/(SUM(J$2:J$16))</f>
        <v>5.3751212436844616E-2</v>
      </c>
      <c r="O8" s="44">
        <f xml:space="preserve"> ROUND(SQRT(D8)*1.96,3)</f>
        <v>0.51900000000000002</v>
      </c>
      <c r="P8" s="75">
        <f>'Dekerle 13 1T 100'!D25</f>
        <v>0.59199999999999997</v>
      </c>
      <c r="Q8" s="51">
        <f>'Dekerle 13 1T 100'!F30</f>
        <v>-0.38700000000000001</v>
      </c>
      <c r="R8" s="43">
        <f>'Dekerle 13 1T 100'!G30</f>
        <v>0.224</v>
      </c>
      <c r="S8" s="43">
        <f>SQRT(R8)/SQRT($B8)</f>
        <v>0.15776212754932309</v>
      </c>
      <c r="T8" s="51">
        <f>1/R8</f>
        <v>4.4642857142857144</v>
      </c>
      <c r="U8" s="43">
        <f>Q8/R8</f>
        <v>-1.7276785714285714</v>
      </c>
      <c r="V8" s="43">
        <f>Q8^2/R8</f>
        <v>0.66861160714285717</v>
      </c>
      <c r="W8" s="43">
        <f>T8^2</f>
        <v>19.929846938775512</v>
      </c>
      <c r="X8" s="43">
        <f>1/(R8+Q$23)</f>
        <v>1.8450184501845017</v>
      </c>
      <c r="Y8" s="43">
        <f>X8^2</f>
        <v>3.4040930815212205</v>
      </c>
      <c r="Z8" s="43">
        <f>Q8/(R8+Q$23)</f>
        <v>-0.7140221402214022</v>
      </c>
      <c r="AA8" s="56">
        <f>X8/(SUM(X$2:X$16))</f>
        <v>5.2252246590492088E-2</v>
      </c>
      <c r="AB8" s="59">
        <f xml:space="preserve"> ROUND(SQRT(R8)*1.96,3)</f>
        <v>0.92800000000000005</v>
      </c>
      <c r="AC8" s="76">
        <f>'Clark 16 WT'!G25</f>
        <v>0.42899999999999999</v>
      </c>
      <c r="AD8" s="2">
        <v>9</v>
      </c>
      <c r="AF8" s="62" t="str">
        <f t="shared" si="1"/>
        <v>Dekerle et al. (2014) 1/t 100 PL3</v>
      </c>
      <c r="AL8" s="61" t="str">
        <f t="shared" si="2"/>
        <v>0.294 [-0.225, 0.813]</v>
      </c>
      <c r="AM8" s="63"/>
      <c r="AN8" s="60">
        <f>N8</f>
        <v>5.3751212436844616E-2</v>
      </c>
      <c r="AQ8" s="62" t="str">
        <f t="shared" si="0"/>
        <v>Dekerle et al. (2014) 1/t 100 PL3</v>
      </c>
      <c r="AW8" s="61" t="str">
        <f t="shared" si="4"/>
        <v>-0.387 [-1.315, 0.541]</v>
      </c>
      <c r="AX8" s="63"/>
      <c r="AY8" s="60">
        <f t="shared" si="5"/>
        <v>5.2252246590492088E-2</v>
      </c>
    </row>
    <row r="9" spans="1:51" x14ac:dyDescent="0.2">
      <c r="A9" s="46" t="s">
        <v>151</v>
      </c>
      <c r="B9" s="40">
        <v>10</v>
      </c>
      <c r="C9" s="41">
        <f>'Clark 16 WT'!C30</f>
        <v>0.23300000000000001</v>
      </c>
      <c r="D9" s="42">
        <f>'Clark 16 WT'!D30</f>
        <v>3.0000000000000001E-3</v>
      </c>
      <c r="E9" s="42">
        <f>SQRT(D9)/SQRT($B9)</f>
        <v>1.7320508075688773E-2</v>
      </c>
      <c r="F9" s="41">
        <f>1/D9</f>
        <v>333.33333333333331</v>
      </c>
      <c r="G9" s="42">
        <f>C9/D9</f>
        <v>77.666666666666671</v>
      </c>
      <c r="H9" s="42">
        <f>C9^2/D9</f>
        <v>18.096333333333334</v>
      </c>
      <c r="I9" s="80">
        <f>F9^2</f>
        <v>111111.11111111109</v>
      </c>
      <c r="J9" s="42">
        <f>1/(D9+C$23)</f>
        <v>6.6225165562913908</v>
      </c>
      <c r="K9" s="42">
        <f>J9^2</f>
        <v>43.857725538353584</v>
      </c>
      <c r="L9" s="42">
        <f>C9/(D9+C$23)</f>
        <v>1.5430463576158941</v>
      </c>
      <c r="M9" s="42">
        <f>C9^2*J9</f>
        <v>0.35952980132450335</v>
      </c>
      <c r="N9" s="55">
        <f>J9/(SUM(J$2:J$16))</f>
        <v>7.7601088153855136E-2</v>
      </c>
      <c r="O9" s="44">
        <f xml:space="preserve"> ROUND(SQRT(D9)*1.96,3)</f>
        <v>0.107</v>
      </c>
      <c r="P9" s="75">
        <f>'Clark 16 WT'!D25</f>
        <v>0.57199999999999995</v>
      </c>
      <c r="Q9" s="51">
        <f>'Clark 16 WT'!F30</f>
        <v>-0.22700000000000001</v>
      </c>
      <c r="R9" s="43">
        <f>'Clark 16 WT'!G30</f>
        <v>2.3E-2</v>
      </c>
      <c r="S9" s="43">
        <f>SQRT(R9)/SQRT($B9)</f>
        <v>4.7958315233127199E-2</v>
      </c>
      <c r="T9" s="51">
        <f>1/R9</f>
        <v>43.478260869565219</v>
      </c>
      <c r="U9" s="43">
        <f>Q9/R9</f>
        <v>-9.8695652173913047</v>
      </c>
      <c r="V9" s="43">
        <f>Q9^2/R9</f>
        <v>2.2403913043478263</v>
      </c>
      <c r="W9" s="43">
        <f>T9^2</f>
        <v>1890.359168241966</v>
      </c>
      <c r="X9" s="43">
        <f>1/(R9+Q$23)</f>
        <v>2.9325513196480935</v>
      </c>
      <c r="Y9" s="43">
        <f>X9^2</f>
        <v>8.5998572423697741</v>
      </c>
      <c r="Z9" s="43">
        <f>Q9/(R9+Q$23)</f>
        <v>-0.66568914956011727</v>
      </c>
      <c r="AA9" s="56">
        <f>X9/(SUM(X$2:X$16))</f>
        <v>8.305195792389064E-2</v>
      </c>
      <c r="AB9" s="59">
        <f xml:space="preserve"> ROUND(SQRT(R9)*1.96,3)</f>
        <v>0.29699999999999999</v>
      </c>
      <c r="AC9" s="76">
        <f>'Goulding 21 mix up'!G25</f>
        <v>0.33500000000000002</v>
      </c>
      <c r="AD9" s="2">
        <v>8</v>
      </c>
      <c r="AF9" s="62" t="str">
        <f t="shared" si="1"/>
        <v>Clark et al. (2016) Wt PL2</v>
      </c>
      <c r="AL9" s="61" t="str">
        <f t="shared" ref="AL9:AL10" si="6" xml:space="preserve"> C9&amp;" ["&amp;ROUND(C9-O9,3)&amp;", "&amp;ROUND(C9+O9,3)&amp;"]"</f>
        <v>0.233 [0.126, 0.34]</v>
      </c>
      <c r="AM9" s="63"/>
      <c r="AN9" s="60">
        <f t="shared" ref="AN9:AN10" si="7">N9</f>
        <v>7.7601088153855136E-2</v>
      </c>
      <c r="AQ9" s="62" t="str">
        <f t="shared" si="0"/>
        <v>Clark et al. (2016) Wt PL2</v>
      </c>
      <c r="AW9" s="61" t="str">
        <f t="shared" ref="AW9:AW10" si="8" xml:space="preserve"> Q9&amp;" ["&amp;ROUND(Q9-AB9,3)&amp;", "&amp;ROUND(Q9+AB9,3)&amp;"]"</f>
        <v>-0.227 [-0.524, 0.07]</v>
      </c>
      <c r="AX9" s="63"/>
      <c r="AY9" s="60">
        <f t="shared" ref="AY9:AY10" si="9">AA9</f>
        <v>8.305195792389064E-2</v>
      </c>
    </row>
    <row r="10" spans="1:51" x14ac:dyDescent="0.2">
      <c r="A10" s="48" t="s">
        <v>143</v>
      </c>
      <c r="B10" s="45">
        <v>14</v>
      </c>
      <c r="C10" s="41">
        <f>'Clark 19 mix fat'!C30</f>
        <v>0.127</v>
      </c>
      <c r="D10" s="42">
        <f>'Clark 19 mix fat'!D30</f>
        <v>1.0999999999999999E-2</v>
      </c>
      <c r="E10" s="42">
        <f>SQRT(D10)/SQRT($B10)</f>
        <v>2.8030595529069405E-2</v>
      </c>
      <c r="F10" s="41">
        <f>1/D10</f>
        <v>90.909090909090921</v>
      </c>
      <c r="G10" s="42">
        <f>C10/D10</f>
        <v>11.545454545454547</v>
      </c>
      <c r="H10" s="42">
        <f>C10^2/D10</f>
        <v>1.4662727272727274</v>
      </c>
      <c r="I10" s="80">
        <f>F10^2</f>
        <v>8264.4628099173569</v>
      </c>
      <c r="J10" s="42">
        <f>1/(D10+C$23)</f>
        <v>6.2893081761006284</v>
      </c>
      <c r="K10" s="42">
        <f>J10^2</f>
        <v>39.555397333966212</v>
      </c>
      <c r="L10" s="42">
        <f>C10/(D10+C$23)</f>
        <v>0.79874213836477992</v>
      </c>
      <c r="M10" s="42">
        <f>C10^2*J10</f>
        <v>0.10144025157232704</v>
      </c>
      <c r="N10" s="55">
        <f>J10/(SUM(J$2:J$16))</f>
        <v>7.369663088825236E-2</v>
      </c>
      <c r="O10" s="44">
        <f xml:space="preserve"> ROUND(SQRT(D10)*1.96,3)</f>
        <v>0.20599999999999999</v>
      </c>
      <c r="P10" s="75">
        <f>'Clark 19 mix fat'!D25</f>
        <v>0.53800000000000003</v>
      </c>
      <c r="Q10" s="51">
        <f>'Clark 19 mix fat'!F30</f>
        <v>-8.6999999999999994E-2</v>
      </c>
      <c r="R10" s="43">
        <f>'Clark 19 mix fat'!G30</f>
        <v>6.0999999999999999E-2</v>
      </c>
      <c r="S10" s="43">
        <f>SQRT(R10)/SQRT($B10)</f>
        <v>6.6008657440845275E-2</v>
      </c>
      <c r="T10" s="51">
        <f>1/R10</f>
        <v>16.393442622950818</v>
      </c>
      <c r="U10" s="43">
        <f>Q10/R10</f>
        <v>-1.4262295081967213</v>
      </c>
      <c r="V10" s="43">
        <f>Q10^2/R10</f>
        <v>0.12408196721311475</v>
      </c>
      <c r="W10" s="43">
        <f>T10^2</f>
        <v>268.74496103198061</v>
      </c>
      <c r="X10" s="43">
        <f>1/(R10+Q$23)</f>
        <v>2.6385224274406331</v>
      </c>
      <c r="Y10" s="43">
        <f>X10^2</f>
        <v>6.9618006001072112</v>
      </c>
      <c r="Z10" s="43">
        <f>Q10/(R10+Q$23)</f>
        <v>-0.22955145118733508</v>
      </c>
      <c r="AA10" s="56">
        <f>X10/(SUM(X$2:X$16))</f>
        <v>7.4724848686139086E-2</v>
      </c>
      <c r="AB10" s="59">
        <f xml:space="preserve"> ROUND(SQRT(R10)*1.96,3)</f>
        <v>0.48399999999999999</v>
      </c>
      <c r="AC10" s="76">
        <f>'Goulding 21 mix sup'!G25</f>
        <v>0.76800000000000002</v>
      </c>
      <c r="AD10" s="2">
        <v>7</v>
      </c>
      <c r="AF10" s="62" t="str">
        <f t="shared" si="1"/>
        <v>Clark et al. (2019) mix fat PL2</v>
      </c>
      <c r="AL10" s="61" t="str">
        <f t="shared" si="6"/>
        <v>0.127 [-0.079, 0.333]</v>
      </c>
      <c r="AM10" s="63"/>
      <c r="AN10" s="60">
        <f t="shared" si="7"/>
        <v>7.369663088825236E-2</v>
      </c>
      <c r="AQ10" s="62" t="str">
        <f t="shared" si="0"/>
        <v>Clark et al. (2019) mix fat PL2</v>
      </c>
      <c r="AW10" s="61" t="str">
        <f t="shared" si="8"/>
        <v>-0.087 [-0.571, 0.397]</v>
      </c>
      <c r="AX10" s="63"/>
      <c r="AY10" s="60">
        <f t="shared" si="9"/>
        <v>7.4724848686139086E-2</v>
      </c>
    </row>
    <row r="11" spans="1:51" x14ac:dyDescent="0.2">
      <c r="A11" s="47" t="s">
        <v>152</v>
      </c>
      <c r="B11" s="44">
        <v>10</v>
      </c>
      <c r="C11" s="41">
        <f>'Clark 16 1T'!C30</f>
        <v>0.123</v>
      </c>
      <c r="D11" s="42">
        <f>'Clark 16 1T'!D30</f>
        <v>4.0000000000000001E-3</v>
      </c>
      <c r="E11" s="42">
        <f>SQRT(D11)/SQRT($B11)</f>
        <v>1.9999999999999997E-2</v>
      </c>
      <c r="F11" s="41">
        <f>1/D11</f>
        <v>250</v>
      </c>
      <c r="G11" s="42">
        <f>C11/D11</f>
        <v>30.75</v>
      </c>
      <c r="H11" s="42">
        <f>C11^2/D11</f>
        <v>3.7822499999999999</v>
      </c>
      <c r="I11" s="80">
        <f>F11^2</f>
        <v>62500</v>
      </c>
      <c r="J11" s="42">
        <f>1/(D11+C$23)</f>
        <v>6.5789473684210531</v>
      </c>
      <c r="K11" s="42">
        <f>J11^2</f>
        <v>43.282548476454302</v>
      </c>
      <c r="L11" s="42">
        <f>C11/(D11+C$23)</f>
        <v>0.80921052631578949</v>
      </c>
      <c r="M11" s="42">
        <f>C11^2*J11</f>
        <v>9.9532894736842112E-2</v>
      </c>
      <c r="N11" s="55">
        <f>J11/(SUM(J$2:J$16))</f>
        <v>7.7090554679158721E-2</v>
      </c>
      <c r="O11" s="44">
        <f xml:space="preserve"> ROUND(SQRT(D11)*1.96,3)</f>
        <v>0.124</v>
      </c>
      <c r="P11" s="75">
        <f>'Clark 16 1T'!D25</f>
        <v>0.53800000000000003</v>
      </c>
      <c r="Q11" s="51">
        <f>'Clark 16 1T'!F30</f>
        <v>-0.13200000000000001</v>
      </c>
      <c r="R11" s="43">
        <f>'Clark 16 1T'!G30</f>
        <v>2.7E-2</v>
      </c>
      <c r="S11" s="43">
        <f>SQRT(R11)/SQRT($B11)</f>
        <v>5.1961524227066319E-2</v>
      </c>
      <c r="T11" s="51">
        <f>1/R11</f>
        <v>37.037037037037038</v>
      </c>
      <c r="U11" s="43">
        <f>Q11/R11</f>
        <v>-4.8888888888888893</v>
      </c>
      <c r="V11" s="43">
        <f>Q11^2/R11</f>
        <v>0.64533333333333343</v>
      </c>
      <c r="W11" s="43">
        <f>T11^2</f>
        <v>1371.7421124828534</v>
      </c>
      <c r="X11" s="43">
        <f>1/(R11+Q$23)</f>
        <v>2.8985507246376807</v>
      </c>
      <c r="Y11" s="43">
        <f>X11^2</f>
        <v>8.4015963032976231</v>
      </c>
      <c r="Z11" s="43">
        <f>Q11/(R11+Q$23)</f>
        <v>-0.38260869565217392</v>
      </c>
      <c r="AA11" s="56">
        <f>X11/(SUM(X$2:X$16))</f>
        <v>8.2089036672599161E-2</v>
      </c>
      <c r="AB11" s="59">
        <f xml:space="preserve"> ROUND(SQRT(R11)*1.96,3)</f>
        <v>0.32200000000000001</v>
      </c>
      <c r="AC11" s="76">
        <f>'Clark 19 mix fat'!G25</f>
        <v>0.47399999999999998</v>
      </c>
      <c r="AD11" s="2">
        <v>6</v>
      </c>
      <c r="AF11" s="62" t="str">
        <f>A11</f>
        <v>Clark et al. (2016) 1/t PL2</v>
      </c>
      <c r="AL11" s="61" t="str">
        <f t="shared" si="2"/>
        <v>0.123 [-0.001, 0.247]</v>
      </c>
      <c r="AM11" s="63"/>
      <c r="AN11" s="60">
        <f t="shared" si="3"/>
        <v>7.7090554679158721E-2</v>
      </c>
      <c r="AQ11" s="62" t="str">
        <f t="shared" si="0"/>
        <v>Clark et al. (2016) 1/t PL2</v>
      </c>
      <c r="AW11" s="61" t="str">
        <f t="shared" si="4"/>
        <v>-0.132 [-0.454, 0.19]</v>
      </c>
      <c r="AX11" s="63"/>
      <c r="AY11" s="60">
        <f t="shared" si="5"/>
        <v>8.2089036672599161E-2</v>
      </c>
    </row>
    <row r="12" spans="1:51" x14ac:dyDescent="0.2">
      <c r="A12" s="47" t="s">
        <v>153</v>
      </c>
      <c r="B12" s="44">
        <v>8</v>
      </c>
      <c r="C12" s="41">
        <f>'Baker 11 1T 180'!C30</f>
        <v>1.0999999999999999E-2</v>
      </c>
      <c r="D12" s="42">
        <f>'Baker 11 1T 180'!D30</f>
        <v>9.1999999999999998E-2</v>
      </c>
      <c r="E12" s="42">
        <f>SQRT(D12)/SQRT($B12)</f>
        <v>0.10723805294763608</v>
      </c>
      <c r="F12" s="41">
        <f>1/D12</f>
        <v>10.869565217391305</v>
      </c>
      <c r="G12" s="42">
        <f>C12/D12</f>
        <v>0.11956521739130434</v>
      </c>
      <c r="H12" s="42">
        <f>C12^2/D12</f>
        <v>1.3152173913043477E-3</v>
      </c>
      <c r="I12" s="80">
        <f>F12^2</f>
        <v>118.14744801512288</v>
      </c>
      <c r="J12" s="42">
        <f>1/(D12+C$23)</f>
        <v>4.166666666666667</v>
      </c>
      <c r="K12" s="42">
        <f>J12^2</f>
        <v>17.361111111111114</v>
      </c>
      <c r="L12" s="42">
        <f>C12/(D12+C$23)</f>
        <v>4.583333333333333E-2</v>
      </c>
      <c r="M12" s="42">
        <f>C12^2*J12</f>
        <v>5.0416666666666665E-4</v>
      </c>
      <c r="N12" s="55">
        <f>J12/(SUM(J$2:J$16))</f>
        <v>4.8824017963467192E-2</v>
      </c>
      <c r="O12" s="44">
        <f xml:space="preserve"> ROUND(SQRT(D12)*1.96,3)</f>
        <v>0.59399999999999997</v>
      </c>
      <c r="P12" s="75">
        <f>'Baker 11 1T 180'!D25</f>
        <v>0.504</v>
      </c>
      <c r="Q12" s="51">
        <f>'Baker 11 1T 180'!F30</f>
        <v>-0.35699999999999998</v>
      </c>
      <c r="R12" s="43">
        <f>'Baker 11 1T 180'!G30</f>
        <v>0.19900000000000001</v>
      </c>
      <c r="S12" s="43">
        <f>SQRT(R12)/SQRT($B12)</f>
        <v>0.15771810295587504</v>
      </c>
      <c r="T12" s="51">
        <f>1/R12</f>
        <v>5.0251256281407031</v>
      </c>
      <c r="U12" s="43">
        <f>Q12/R12</f>
        <v>-1.793969849246231</v>
      </c>
      <c r="V12" s="43">
        <f>Q12^2/R12</f>
        <v>0.64044723618090438</v>
      </c>
      <c r="W12" s="43">
        <f>T12^2</f>
        <v>25.251887578596495</v>
      </c>
      <c r="X12" s="43">
        <f>1/(R12+Q$23)</f>
        <v>1.9342359767891681</v>
      </c>
      <c r="Y12" s="43">
        <f>X12^2</f>
        <v>3.7412688139055472</v>
      </c>
      <c r="Z12" s="43">
        <f>Q12/(R12+Q$23)</f>
        <v>-0.69052224371373305</v>
      </c>
      <c r="AA12" s="56">
        <f>X12/(SUM(X$2:X$16))</f>
        <v>5.4778950971076809E-2</v>
      </c>
      <c r="AB12" s="59">
        <f xml:space="preserve"> ROUND(SQRT(R12)*1.96,3)</f>
        <v>0.874</v>
      </c>
      <c r="AC12" s="76">
        <f>'Clark 16 1T'!G25</f>
        <v>0.45900000000000002</v>
      </c>
      <c r="AD12" s="2">
        <v>5</v>
      </c>
      <c r="AF12" s="62" t="str">
        <f t="shared" si="1"/>
        <v>Barker et al. (2012) 1/t PL2</v>
      </c>
      <c r="AL12" s="61" t="str">
        <f t="shared" si="2"/>
        <v>0.011 [-0.583, 0.605]</v>
      </c>
      <c r="AM12" s="63"/>
      <c r="AN12" s="60">
        <f t="shared" si="3"/>
        <v>4.8824017963467192E-2</v>
      </c>
      <c r="AQ12" s="62" t="str">
        <f t="shared" si="0"/>
        <v>Barker et al. (2012) 1/t PL2</v>
      </c>
      <c r="AW12" s="61" t="str">
        <f t="shared" si="4"/>
        <v>-0.357 [-1.231, 0.517]</v>
      </c>
      <c r="AX12" s="63"/>
      <c r="AY12" s="60">
        <f t="shared" si="5"/>
        <v>5.4778950971076809E-2</v>
      </c>
    </row>
    <row r="13" spans="1:51" x14ac:dyDescent="0.2">
      <c r="A13" s="46" t="s">
        <v>154</v>
      </c>
      <c r="B13" s="40">
        <v>10</v>
      </c>
      <c r="C13" s="41">
        <f>'Vanhatalo 07 WT'!C30</f>
        <v>-4.3999999999999997E-2</v>
      </c>
      <c r="D13" s="42">
        <f>'Vanhatalo 07 WT'!D30</f>
        <v>1E-3</v>
      </c>
      <c r="E13" s="42">
        <f>SQRT(D13)/SQRT($B13)</f>
        <v>9.9999999999999985E-3</v>
      </c>
      <c r="F13" s="41">
        <f>1/D13</f>
        <v>1000</v>
      </c>
      <c r="G13" s="42">
        <f>C13/D13</f>
        <v>-44</v>
      </c>
      <c r="H13" s="42">
        <f>C13^2/D13</f>
        <v>1.9359999999999997</v>
      </c>
      <c r="I13" s="80">
        <f>F13^2</f>
        <v>1000000</v>
      </c>
      <c r="J13" s="42">
        <f>1/(D13+C$23)</f>
        <v>6.7114093959731544</v>
      </c>
      <c r="K13" s="42">
        <f>J13^2</f>
        <v>45.043016080356743</v>
      </c>
      <c r="L13" s="42">
        <f>C13/(D13+C$23)</f>
        <v>-0.29530201342281881</v>
      </c>
      <c r="M13" s="42">
        <f>C13^2*J13</f>
        <v>1.2993288590604026E-2</v>
      </c>
      <c r="N13" s="55">
        <f>J13/(SUM(J$2:J$16))</f>
        <v>7.8642713498202191E-2</v>
      </c>
      <c r="O13" s="44">
        <f xml:space="preserve"> ROUND(SQRT(D13)*1.96,3)</f>
        <v>6.2E-2</v>
      </c>
      <c r="P13" s="75">
        <f>'Vanhatalo 07 WT'!D25</f>
        <v>0.48599999999999999</v>
      </c>
      <c r="Q13" s="51">
        <f>'Vanhatalo 07 WT'!F30</f>
        <v>-0.34599999999999997</v>
      </c>
      <c r="R13" s="43">
        <f>'Vanhatalo 07 WT'!G30</f>
        <v>2.9000000000000001E-2</v>
      </c>
      <c r="S13" s="43">
        <f>SQRT(R13)/SQRT($B13)</f>
        <v>5.3851648071345043E-2</v>
      </c>
      <c r="T13" s="51">
        <f>1/R13</f>
        <v>34.482758620689651</v>
      </c>
      <c r="U13" s="43">
        <f>Q13/R13</f>
        <v>-11.931034482758619</v>
      </c>
      <c r="V13" s="43">
        <f>Q13^2/R13</f>
        <v>4.1281379310344821</v>
      </c>
      <c r="W13" s="43">
        <f>T13^2</f>
        <v>1189.0606420927465</v>
      </c>
      <c r="X13" s="43">
        <f>1/(R13+Q$23)</f>
        <v>2.8818443804034581</v>
      </c>
      <c r="Y13" s="43">
        <f>X13^2</f>
        <v>8.3050270328629914</v>
      </c>
      <c r="Z13" s="43">
        <f>Q13/(R13+Q$23)</f>
        <v>-0.99711815561959638</v>
      </c>
      <c r="AA13" s="56">
        <f>X13/(SUM(X$2:X$16))</f>
        <v>8.1615901014543843E-2</v>
      </c>
      <c r="AB13" s="59">
        <f xml:space="preserve"> ROUND(SQRT(R13)*1.96,3)</f>
        <v>0.33400000000000002</v>
      </c>
      <c r="AC13" s="76">
        <f>'Baker 11 1T 180'!G25</f>
        <v>0.38600000000000001</v>
      </c>
      <c r="AD13" s="2">
        <v>4</v>
      </c>
      <c r="AF13" s="62" t="str">
        <f t="shared" si="1"/>
        <v>Vahatalo et al. (2007) Wt PL3</v>
      </c>
      <c r="AL13" s="61" t="str">
        <f t="shared" si="2"/>
        <v>-0.044 [-0.106, 0.018]</v>
      </c>
      <c r="AM13" s="63"/>
      <c r="AN13" s="60">
        <f t="shared" si="3"/>
        <v>7.8642713498202191E-2</v>
      </c>
      <c r="AQ13" s="62" t="str">
        <f t="shared" si="0"/>
        <v>Vahatalo et al. (2007) Wt PL3</v>
      </c>
      <c r="AW13" s="61" t="str">
        <f t="shared" si="4"/>
        <v>-0.346 [-0.68, -0.012]</v>
      </c>
      <c r="AX13" s="63"/>
      <c r="AY13" s="60">
        <f t="shared" si="5"/>
        <v>8.1615901014543843E-2</v>
      </c>
    </row>
    <row r="14" spans="1:51" x14ac:dyDescent="0.2">
      <c r="A14" s="47" t="s">
        <v>144</v>
      </c>
      <c r="B14" s="44">
        <v>10</v>
      </c>
      <c r="C14" s="41">
        <f>'Wright 17 1T iso'!C30</f>
        <v>-0.247</v>
      </c>
      <c r="D14" s="42">
        <f>'Wright 17 1T iso'!D30</f>
        <v>2.7E-2</v>
      </c>
      <c r="E14" s="42">
        <f>SQRT(D14)/SQRT($B14)</f>
        <v>5.1961524227066319E-2</v>
      </c>
      <c r="F14" s="41">
        <f>1/D14</f>
        <v>37.037037037037038</v>
      </c>
      <c r="G14" s="42">
        <f>C14/D14</f>
        <v>-9.1481481481481488</v>
      </c>
      <c r="H14" s="42">
        <f>C14^2/D14</f>
        <v>2.2595925925925928</v>
      </c>
      <c r="I14" s="80">
        <f>F14^2</f>
        <v>1371.7421124828534</v>
      </c>
      <c r="J14" s="42">
        <f>1/(D14+C$23)</f>
        <v>5.7142857142857144</v>
      </c>
      <c r="K14" s="42">
        <f>J14^2</f>
        <v>32.653061224489797</v>
      </c>
      <c r="L14" s="42">
        <f>C14/(D14+C$23)</f>
        <v>-1.4114285714285715</v>
      </c>
      <c r="M14" s="42">
        <f>C14^2*J14</f>
        <v>0.34862285714285718</v>
      </c>
      <c r="N14" s="55">
        <f>J14/(SUM(J$2:J$16))</f>
        <v>6.6958653207040725E-2</v>
      </c>
      <c r="O14" s="44">
        <f xml:space="preserve"> ROUND(SQRT(D14)*1.96,3)</f>
        <v>0.32200000000000001</v>
      </c>
      <c r="P14" s="75">
        <f>'Wright 17 1T iso'!D25</f>
        <v>0.42499999999999999</v>
      </c>
      <c r="Q14" s="51">
        <f>'Wright 17 1T iso'!F30</f>
        <v>-1.3560000000000001</v>
      </c>
      <c r="R14" s="43">
        <f>'Wright 17 1T iso'!G30</f>
        <v>0.11</v>
      </c>
      <c r="S14" s="43">
        <f>SQRT(R14)/SQRT($B14)</f>
        <v>0.10488088481701514</v>
      </c>
      <c r="T14" s="51">
        <f>1/R14</f>
        <v>9.0909090909090917</v>
      </c>
      <c r="U14" s="43">
        <f>Q14/R14</f>
        <v>-12.327272727272728</v>
      </c>
      <c r="V14" s="43">
        <f>Q14^2/R14</f>
        <v>16.715781818181821</v>
      </c>
      <c r="W14" s="43">
        <f>T14^2</f>
        <v>82.644628099173573</v>
      </c>
      <c r="X14" s="43">
        <f>1/(R14+Q$23)</f>
        <v>2.3364485981308412</v>
      </c>
      <c r="Y14" s="43">
        <f>X14^2</f>
        <v>5.4589920517075727</v>
      </c>
      <c r="Z14" s="43">
        <f>Q14/(R14+Q$23)</f>
        <v>-3.1682242990654208</v>
      </c>
      <c r="AA14" s="56">
        <f>X14/(SUM(X$2:X$16))</f>
        <v>6.6169901056183908E-2</v>
      </c>
      <c r="AB14" s="59">
        <f xml:space="preserve"> ROUND(SQRT(R14)*1.96,3)</f>
        <v>0.65</v>
      </c>
      <c r="AC14" s="76">
        <f>'Vanhatalo 07 WT'!G25</f>
        <v>0.39300000000000002</v>
      </c>
      <c r="AD14" s="2">
        <v>3</v>
      </c>
      <c r="AF14" s="62" t="str">
        <f t="shared" si="1"/>
        <v>Wright et al. (2017)* 1/T iso PL3</v>
      </c>
      <c r="AL14" s="61" t="str">
        <f t="shared" si="2"/>
        <v>-0.247 [-0.569, 0.075]</v>
      </c>
      <c r="AM14" s="63"/>
      <c r="AN14" s="60">
        <f t="shared" si="3"/>
        <v>6.6958653207040725E-2</v>
      </c>
      <c r="AQ14" s="62" t="str">
        <f t="shared" si="0"/>
        <v>Wright et al. (2017)* 1/T iso PL3</v>
      </c>
      <c r="AW14" s="61" t="str">
        <f t="shared" si="4"/>
        <v>-1.356 [-2.006, -0.706]</v>
      </c>
      <c r="AX14" s="63"/>
      <c r="AY14" s="60">
        <f t="shared" si="5"/>
        <v>6.6169901056183908E-2</v>
      </c>
    </row>
    <row r="15" spans="1:51" x14ac:dyDescent="0.2">
      <c r="A15" s="47" t="s">
        <v>155</v>
      </c>
      <c r="B15" s="44">
        <v>10</v>
      </c>
      <c r="C15" s="41">
        <f>'Vanhatalo 07 1T'!C30</f>
        <v>-0.28000000000000003</v>
      </c>
      <c r="D15" s="42">
        <f>'Vanhatalo 07 1T'!D30</f>
        <v>2E-3</v>
      </c>
      <c r="E15" s="42">
        <f>SQRT(D15)/SQRT($B15)</f>
        <v>1.4142135623730949E-2</v>
      </c>
      <c r="F15" s="41">
        <f>1/D15</f>
        <v>500</v>
      </c>
      <c r="G15" s="42">
        <f>C15/D15</f>
        <v>-140</v>
      </c>
      <c r="H15" s="42">
        <f>C15^2/D15</f>
        <v>39.200000000000003</v>
      </c>
      <c r="I15" s="80">
        <f>F15^2</f>
        <v>250000</v>
      </c>
      <c r="J15" s="42">
        <f>1/(D15+C$23)</f>
        <v>6.666666666666667</v>
      </c>
      <c r="K15" s="42">
        <f>J15^2</f>
        <v>44.44444444444445</v>
      </c>
      <c r="L15" s="42">
        <f>C15/(D15+C$23)</f>
        <v>-1.8666666666666669</v>
      </c>
      <c r="M15" s="42">
        <f>C15^2*J15</f>
        <v>0.52266666666666672</v>
      </c>
      <c r="N15" s="55">
        <f>J15/(SUM(J$2:J$16))</f>
        <v>7.8118428741547508E-2</v>
      </c>
      <c r="O15" s="44">
        <f xml:space="preserve"> ROUND(SQRT(D15)*1.96,3)</f>
        <v>8.7999999999999995E-2</v>
      </c>
      <c r="P15" s="75">
        <f>'Vanhatalo 07 1T'!D25</f>
        <v>0.41299999999999998</v>
      </c>
      <c r="Q15" s="51">
        <f>'Vanhatalo 07 1T'!F30</f>
        <v>-0.123</v>
      </c>
      <c r="R15" s="43">
        <f>'Vanhatalo 07 1T'!G30</f>
        <v>2.7E-2</v>
      </c>
      <c r="S15" s="43">
        <f>SQRT(R15)/SQRT($B15)</f>
        <v>5.1961524227066319E-2</v>
      </c>
      <c r="T15" s="51">
        <f>1/R15</f>
        <v>37.037037037037038</v>
      </c>
      <c r="U15" s="43">
        <f>Q15/R15</f>
        <v>-4.5555555555555554</v>
      </c>
      <c r="V15" s="43">
        <f>Q15^2/R15</f>
        <v>0.56033333333333335</v>
      </c>
      <c r="W15" s="43">
        <f>T15^2</f>
        <v>1371.7421124828534</v>
      </c>
      <c r="X15" s="43">
        <f>1/(R15+Q$23)</f>
        <v>2.8985507246376807</v>
      </c>
      <c r="Y15" s="43">
        <f>X15^2</f>
        <v>8.4015963032976231</v>
      </c>
      <c r="Z15" s="43">
        <f>Q15/(R15+Q$23)</f>
        <v>-0.35652173913043472</v>
      </c>
      <c r="AA15" s="56">
        <f>X15/(SUM(X$2:X$16))</f>
        <v>8.2089036672599161E-2</v>
      </c>
      <c r="AB15" s="59">
        <f xml:space="preserve"> ROUND(SQRT(R15)*1.96,3)</f>
        <v>0.32200000000000001</v>
      </c>
      <c r="AC15" s="76">
        <f>'Wright 17 1T iso'!G25</f>
        <v>0.14899999999999999</v>
      </c>
      <c r="AD15" s="2">
        <v>2</v>
      </c>
      <c r="AF15" s="62" t="str">
        <f t="shared" si="1"/>
        <v>Vahatalo et al. (2007) 1/t PL3</v>
      </c>
      <c r="AL15" s="61" t="str">
        <f t="shared" si="2"/>
        <v>-0.28 [-0.368, -0.192]</v>
      </c>
      <c r="AM15" s="63"/>
      <c r="AN15" s="60">
        <f t="shared" si="3"/>
        <v>7.8118428741547508E-2</v>
      </c>
      <c r="AQ15" s="62" t="str">
        <f t="shared" si="0"/>
        <v>Vahatalo et al. (2007) 1/t PL3</v>
      </c>
      <c r="AW15" s="61" t="str">
        <f t="shared" si="4"/>
        <v>-0.123 [-0.445, 0.199]</v>
      </c>
      <c r="AX15" s="63"/>
      <c r="AY15" s="60">
        <f t="shared" si="5"/>
        <v>8.2089036672599161E-2</v>
      </c>
    </row>
    <row r="16" spans="1:51" x14ac:dyDescent="0.2">
      <c r="A16" s="48" t="s">
        <v>145</v>
      </c>
      <c r="B16" s="45">
        <v>8</v>
      </c>
      <c r="C16" s="41">
        <f>'Goulding 21 mix sup'!C30</f>
        <v>-0.34300000000000003</v>
      </c>
      <c r="D16" s="42">
        <f>'Goulding 21 mix sup'!D30</f>
        <v>6.0000000000000001E-3</v>
      </c>
      <c r="E16" s="42">
        <f>SQRT(D16)/SQRT($B16)</f>
        <v>2.7386127875258303E-2</v>
      </c>
      <c r="F16" s="41">
        <f>1/D16</f>
        <v>166.66666666666666</v>
      </c>
      <c r="G16" s="42">
        <f>C16/D16</f>
        <v>-57.166666666666671</v>
      </c>
      <c r="H16" s="42">
        <f>C16^2/D16</f>
        <v>19.608166666666669</v>
      </c>
      <c r="I16" s="80">
        <f>F16^2</f>
        <v>27777.777777777774</v>
      </c>
      <c r="J16" s="42">
        <f>1/(D16+C$23)</f>
        <v>6.4935064935064934</v>
      </c>
      <c r="K16" s="42">
        <f>J16^2</f>
        <v>42.165626581210994</v>
      </c>
      <c r="L16" s="42">
        <f>C16/(D16+C$23)</f>
        <v>-2.2272727272727275</v>
      </c>
      <c r="M16" s="42">
        <f>C16^2*J16</f>
        <v>0.76395454545454555</v>
      </c>
      <c r="N16" s="55">
        <f>J16/(SUM(J$2:J$16))</f>
        <v>7.608937864436445E-2</v>
      </c>
      <c r="O16" s="44">
        <f xml:space="preserve"> ROUND(SQRT(D16)*1.96,3)</f>
        <v>0.152</v>
      </c>
      <c r="P16" s="75">
        <f>'Goulding 21 mix sup'!D25</f>
        <v>0.39</v>
      </c>
      <c r="Q16" s="51">
        <f>'Goulding 21 mix sup'!F30</f>
        <v>0.90100000000000002</v>
      </c>
      <c r="R16" s="43">
        <f>'Goulding 21 mix sup'!G30</f>
        <v>7.6999999999999999E-2</v>
      </c>
      <c r="S16" s="43">
        <f>SQRT(R16)/SQRT($B16)</f>
        <v>9.810708435174291E-2</v>
      </c>
      <c r="T16" s="51">
        <f>1/R16</f>
        <v>12.987012987012987</v>
      </c>
      <c r="U16" s="43">
        <f>Q16/R16</f>
        <v>11.701298701298702</v>
      </c>
      <c r="V16" s="43">
        <f>Q16^2/R16</f>
        <v>10.54287012987013</v>
      </c>
      <c r="W16" s="43">
        <f>T16^2</f>
        <v>168.66250632484397</v>
      </c>
      <c r="X16" s="43">
        <f>1/(R16+Q$23)</f>
        <v>2.5316455696202529</v>
      </c>
      <c r="Y16" s="43">
        <f>X16^2</f>
        <v>6.4092292901778549</v>
      </c>
      <c r="Z16" s="43">
        <f>Q16/(R16+Q$23)</f>
        <v>2.2810126582278483</v>
      </c>
      <c r="AA16" s="56">
        <f>X16/(SUM(X$2:X$16))</f>
        <v>7.1698019372270147E-2</v>
      </c>
      <c r="AB16" s="59">
        <f xml:space="preserve"> ROUND(SQRT(R16)*1.96,3)</f>
        <v>0.54400000000000004</v>
      </c>
      <c r="AC16" s="76">
        <f>'Vanhatalo 07 1T'!G25</f>
        <v>0.46200000000000002</v>
      </c>
      <c r="AD16" s="2">
        <v>1</v>
      </c>
      <c r="AF16" s="62" t="str">
        <f t="shared" si="1"/>
        <v>Goulding et al. (2021)* mix sup PL2</v>
      </c>
      <c r="AL16" s="61" t="str">
        <f xml:space="preserve"> C16&amp;" ["&amp;ROUND(C16-O16,3)&amp;", "&amp;ROUND(C16+O16,3)&amp;"]"</f>
        <v>-0.343 [-0.495, -0.191]</v>
      </c>
      <c r="AM16" s="63"/>
      <c r="AN16" s="60">
        <f t="shared" si="3"/>
        <v>7.608937864436445E-2</v>
      </c>
      <c r="AQ16" s="62" t="str">
        <f t="shared" si="0"/>
        <v>Goulding et al. (2021)* mix sup PL2</v>
      </c>
      <c r="AW16" s="61" t="str">
        <f t="shared" si="4"/>
        <v>0.901 [0.357, 1.445]</v>
      </c>
      <c r="AX16" s="63"/>
      <c r="AY16" s="60">
        <f t="shared" si="5"/>
        <v>7.1698019372270147E-2</v>
      </c>
    </row>
    <row r="17" spans="1:49" x14ac:dyDescent="0.2">
      <c r="A17" s="49"/>
    </row>
    <row r="18" spans="1:49" ht="18" x14ac:dyDescent="0.2">
      <c r="A18" s="53" t="s">
        <v>89</v>
      </c>
      <c r="C18" s="26">
        <f xml:space="preserve"> ROUND(SUM(G2:G16)/SUM(F2:F16),3)</f>
        <v>4.1000000000000002E-2</v>
      </c>
      <c r="D18" s="2" t="s">
        <v>132</v>
      </c>
      <c r="P18" s="78">
        <f xml:space="preserve"> AVERAGE(P2:P16)</f>
        <v>0.62126666666666686</v>
      </c>
      <c r="Q18" s="26">
        <f xml:space="preserve"> ROUND(SUM(U2:U16)/SUM(T2:T16),3)</f>
        <v>4.8000000000000001E-2</v>
      </c>
      <c r="AC18" s="79">
        <f xml:space="preserve"> AVERAGE(AC2:AC16)</f>
        <v>0.35553333333333331</v>
      </c>
      <c r="AF18" s="65" t="s">
        <v>108</v>
      </c>
      <c r="AL18" s="66" t="str">
        <f xml:space="preserve"> C18&amp;" ["&amp;ROUND(C18-C19,3)&amp;", "&amp;ROUND(C18+C19,3)&amp;"]"</f>
        <v>0.041 [0.003, 0.079]</v>
      </c>
      <c r="AQ18" s="68" t="s">
        <v>110</v>
      </c>
      <c r="AW18" s="67" t="str">
        <f xml:space="preserve"> Q18&amp;" ["&amp;ROUND(Q18-Q19,3)&amp;", "&amp;ROUND(Q18+Q19,3)&amp;"]"</f>
        <v>0.048 [-0.047, 0.143]</v>
      </c>
    </row>
    <row r="19" spans="1:49" ht="18" x14ac:dyDescent="0.2">
      <c r="A19" s="49" t="s">
        <v>99</v>
      </c>
      <c r="C19" s="2">
        <f xml:space="preserve"> ROUND(SQRT(1/SUM(F2:F16))*1.96,3)</f>
        <v>3.7999999999999999E-2</v>
      </c>
      <c r="D19" s="2" t="s">
        <v>133</v>
      </c>
      <c r="P19" s="78">
        <f xml:space="preserve"> _xlfn.STDEV.S(P2:P16)</f>
        <v>0.18514298206932814</v>
      </c>
      <c r="Q19" s="2">
        <f xml:space="preserve"> ROUND(SQRT(1/SUM(T2:T16))*1.96,3)</f>
        <v>9.5000000000000001E-2</v>
      </c>
      <c r="AC19" s="79">
        <f xml:space="preserve"> _xlfn.STDEV.S(AC2:AC16)</f>
        <v>0.17312211489774118</v>
      </c>
      <c r="AF19" s="65" t="s">
        <v>109</v>
      </c>
      <c r="AL19" s="66" t="str">
        <f xml:space="preserve"> C25&amp;" ["&amp;ROUND(C25-C26,3)&amp;", "&amp;ROUND(C25+C26,3)&amp;"]"</f>
        <v>0.408 [0.196, 0.62]</v>
      </c>
      <c r="AQ19" s="68" t="s">
        <v>111</v>
      </c>
      <c r="AW19" s="67" t="str">
        <f xml:space="preserve"> Q25&amp;" ["&amp;ROUND(Q25-Q26,3)&amp;", "&amp;ROUND(Q25+Q26,3)&amp;"]"</f>
        <v>-0.389 [-0.719, -0.059]</v>
      </c>
    </row>
    <row r="20" spans="1:49" x14ac:dyDescent="0.2">
      <c r="A20" s="49" t="s">
        <v>92</v>
      </c>
      <c r="C20" s="52">
        <f xml:space="preserve"> ROUND((SUM(H2:H16))-((SUM(G2:G16)^2)/(SUM(F2:F16))),3)</f>
        <v>334.56599999999997</v>
      </c>
      <c r="D20" s="2" t="s">
        <v>134</v>
      </c>
      <c r="P20" s="77"/>
      <c r="Q20" s="52">
        <f xml:space="preserve"> ROUND((SUM(V2:V16))-((SUM(U2:U16)^2)/(SUM(T2:T16))),3)</f>
        <v>115.30800000000001</v>
      </c>
      <c r="AL20" s="70" t="str">
        <f>"95% PI ["&amp;ROUND(C25-C27,3)&amp;", "&amp;ROUND(C25+C27,3)&amp;"]"</f>
        <v>95% PI [0.024, 0.792]</v>
      </c>
      <c r="AW20" s="71" t="str">
        <f>"95% PI ["&amp;ROUND(Q25-Q27,3)&amp;", "&amp;ROUND(Q25+Q27,3)&amp;"]"</f>
        <v>95% PI [-0.954, 0.176]</v>
      </c>
    </row>
    <row r="21" spans="1:49" ht="18" x14ac:dyDescent="0.2">
      <c r="A21" s="49" t="s">
        <v>113</v>
      </c>
      <c r="C21" s="69">
        <f xml:space="preserve"> (C20-COUNT(C2:C16)-1)/C20</f>
        <v>0.95217685000866792</v>
      </c>
      <c r="D21" s="2" t="s">
        <v>135</v>
      </c>
      <c r="Q21" s="69">
        <f xml:space="preserve"> (Q20-COUNT(Q2:Q16)-1)/Q20</f>
        <v>0.86124119748846573</v>
      </c>
    </row>
    <row r="22" spans="1:49" x14ac:dyDescent="0.2">
      <c r="A22" s="49" t="s">
        <v>93</v>
      </c>
      <c r="C22" s="52">
        <f xml:space="preserve"> ROUND(1-_xlfn.CHISQ.DIST(C20,COUNT(C2:C16)-1,TRUE),3)</f>
        <v>0</v>
      </c>
      <c r="D22" s="2" t="s">
        <v>136</v>
      </c>
      <c r="Q22" s="52">
        <f xml:space="preserve"> ROUND(1-_xlfn.CHISQ.DIST(Q20,COUNT(Q2:Q16)-1,TRUE),3)</f>
        <v>0</v>
      </c>
    </row>
    <row r="23" spans="1:49" ht="18" x14ac:dyDescent="0.2">
      <c r="A23" s="54" t="s">
        <v>95</v>
      </c>
      <c r="C23" s="52">
        <f xml:space="preserve"> ROUND(MAX(0, (C20-(COUNT(C2:C16)-1))/(SUM(F2:F16)-(SUM(I2:I16)/SUM(F2:F16)))),3)</f>
        <v>0.14799999999999999</v>
      </c>
      <c r="D23" s="2" t="s">
        <v>137</v>
      </c>
      <c r="Q23" s="52">
        <f xml:space="preserve"> ROUND(MAX(0, (Q20-(COUNT(Q2:Q16)-1))/(SUM(T2:T16)-(SUM(W2:W16)/SUM(T2:T16)))),3)</f>
        <v>0.318</v>
      </c>
    </row>
    <row r="24" spans="1:49" x14ac:dyDescent="0.2">
      <c r="Q24" s="52"/>
    </row>
    <row r="25" spans="1:49" ht="18" x14ac:dyDescent="0.2">
      <c r="A25" s="53" t="s">
        <v>96</v>
      </c>
      <c r="C25" s="26">
        <f xml:space="preserve"> ROUND(SUM(L2:L16)/SUM(J2:J16),3)</f>
        <v>0.40799999999999997</v>
      </c>
      <c r="D25" s="2" t="s">
        <v>138</v>
      </c>
      <c r="Q25" s="26">
        <f xml:space="preserve"> ROUND(SUM(Z2:Z16)/SUM(X2:X16),3)</f>
        <v>-0.38900000000000001</v>
      </c>
    </row>
    <row r="26" spans="1:49" x14ac:dyDescent="0.2">
      <c r="A26" s="49" t="s">
        <v>99</v>
      </c>
      <c r="C26" s="2">
        <f xml:space="preserve"> ROUND(SQRT(1/SUM(J2:J16))*1.96,3)</f>
        <v>0.21199999999999999</v>
      </c>
      <c r="D26" s="2" t="s">
        <v>139</v>
      </c>
      <c r="Q26" s="2">
        <f xml:space="preserve"> ROUND(SQRT(1/SUM(X2:X16))*1.96,3)</f>
        <v>0.33</v>
      </c>
    </row>
    <row r="27" spans="1:49" x14ac:dyDescent="0.2">
      <c r="A27" s="49" t="s">
        <v>112</v>
      </c>
      <c r="C27" s="2">
        <f xml:space="preserve"> ROUND(TDIST(0.05,COUNT(C2:C16)-1,2)*SQRT(C23+(1/SUM(J2:J16))),3)</f>
        <v>0.38400000000000001</v>
      </c>
      <c r="D27" s="2" t="s">
        <v>140</v>
      </c>
      <c r="Q27" s="52">
        <f xml:space="preserve"> ROUND(TDIST(0.05,COUNT(Q2:Q16)-1,2)*SQRT(Q23+(1/SUM(X2:X16))),3)</f>
        <v>0.56499999999999995</v>
      </c>
    </row>
    <row r="29" spans="1:49" x14ac:dyDescent="0.2">
      <c r="A29" s="49"/>
      <c r="C29" s="52"/>
      <c r="Q29" s="52"/>
    </row>
    <row r="30" spans="1:49" x14ac:dyDescent="0.2">
      <c r="A30" s="49"/>
      <c r="C30" s="52"/>
      <c r="Q30" s="52"/>
    </row>
    <row r="31" spans="1:49" x14ac:dyDescent="0.2">
      <c r="A31" s="49" t="s">
        <v>47</v>
      </c>
      <c r="B31" s="2" t="s">
        <v>46</v>
      </c>
    </row>
    <row r="32" spans="1:49" x14ac:dyDescent="0.2">
      <c r="A32" s="49" t="s">
        <v>50</v>
      </c>
      <c r="B32" s="2">
        <v>100</v>
      </c>
    </row>
    <row r="33" spans="1:2" x14ac:dyDescent="0.2">
      <c r="A33" s="49" t="s">
        <v>56</v>
      </c>
      <c r="B33" s="2">
        <v>180</v>
      </c>
    </row>
    <row r="34" spans="1:2" x14ac:dyDescent="0.2">
      <c r="A34" s="49" t="s">
        <v>51</v>
      </c>
      <c r="B34" s="2">
        <v>60</v>
      </c>
    </row>
    <row r="35" spans="1:2" x14ac:dyDescent="0.2">
      <c r="A35" s="49" t="s">
        <v>57</v>
      </c>
      <c r="B35" s="2">
        <v>90</v>
      </c>
    </row>
    <row r="36" spans="1:2" x14ac:dyDescent="0.2">
      <c r="A36" s="49" t="s">
        <v>55</v>
      </c>
      <c r="B36" s="2" t="s">
        <v>54</v>
      </c>
    </row>
    <row r="37" spans="1:2" x14ac:dyDescent="0.2">
      <c r="A37" s="49" t="s">
        <v>5</v>
      </c>
      <c r="B37" s="2" t="s">
        <v>43</v>
      </c>
    </row>
    <row r="38" spans="1:2" x14ac:dyDescent="0.2">
      <c r="A38" s="49" t="s">
        <v>44</v>
      </c>
      <c r="B38" s="2" t="s">
        <v>45</v>
      </c>
    </row>
    <row r="39" spans="1:2" x14ac:dyDescent="0.2">
      <c r="A39" s="49" t="s">
        <v>49</v>
      </c>
      <c r="B39" s="2" t="s">
        <v>48</v>
      </c>
    </row>
    <row r="40" spans="1:2" x14ac:dyDescent="0.2">
      <c r="A40" s="49" t="s">
        <v>53</v>
      </c>
      <c r="B40" s="2" t="s">
        <v>52</v>
      </c>
    </row>
  </sheetData>
  <autoFilter ref="A1:AB16" xr:uid="{7C1B8B3E-1FF5-5544-9EEA-93528EDE8CD0}">
    <sortState xmlns:xlrd2="http://schemas.microsoft.com/office/spreadsheetml/2017/richdata2" ref="A2:AB16">
      <sortCondition descending="1" ref="C1:C16"/>
    </sortState>
  </autoFilter>
  <phoneticPr fontId="7" type="noConversion"/>
  <conditionalFormatting sqref="AN2:AN16">
    <cfRule type="dataBar" priority="2">
      <dataBar>
        <cfvo type="min"/>
        <cfvo type="max"/>
        <color theme="0" tint="-0.14999847407452621"/>
      </dataBar>
      <extLst>
        <ext xmlns:x14="http://schemas.microsoft.com/office/spreadsheetml/2009/9/main" uri="{B025F937-C7B1-47D3-B67F-A62EFF666E3E}">
          <x14:id>{610B4C7F-4D44-8D48-A2C1-F54D8598798E}</x14:id>
        </ext>
      </extLst>
    </cfRule>
  </conditionalFormatting>
  <conditionalFormatting sqref="AY2:AY16">
    <cfRule type="dataBar" priority="1">
      <dataBar>
        <cfvo type="min"/>
        <cfvo type="max"/>
        <color theme="0" tint="-0.14999847407452621"/>
      </dataBar>
      <extLst>
        <ext xmlns:x14="http://schemas.microsoft.com/office/spreadsheetml/2009/9/main" uri="{B025F937-C7B1-47D3-B67F-A62EFF666E3E}">
          <x14:id>{1E34202F-1733-7F45-BD15-BDAB0754912A}</x14:id>
        </ext>
      </extLst>
    </cfRule>
  </conditionalFormatting>
  <pageMargins left="0.7" right="0.7" top="0.78740157499999996" bottom="0.78740157499999996" header="0.3" footer="0.3"/>
  <pageSetup paperSize="9" scale="99" orientation="landscape" horizontalDpi="0" verticalDpi="0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610B4C7F-4D44-8D48-A2C1-F54D8598798E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AN2:AN16</xm:sqref>
        </x14:conditionalFormatting>
        <x14:conditionalFormatting xmlns:xm="http://schemas.microsoft.com/office/excel/2006/main">
          <x14:cfRule type="dataBar" id="{1E34202F-1733-7F45-BD15-BDAB0754912A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AY2:AY16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884AC-B01E-F74F-A030-4FBE6DF0A748}">
  <dimension ref="A1:U169"/>
  <sheetViews>
    <sheetView zoomScale="99" zoomScaleNormal="376" workbookViewId="0">
      <selection activeCell="E2" sqref="E2:E160"/>
    </sheetView>
  </sheetViews>
  <sheetFormatPr baseColWidth="10" defaultColWidth="29.1640625" defaultRowHeight="16" x14ac:dyDescent="0.2"/>
  <cols>
    <col min="1" max="4" width="9.6640625" style="1" customWidth="1"/>
    <col min="5" max="16" width="8.1640625" style="1" customWidth="1"/>
    <col min="17" max="28" width="11" style="1" customWidth="1"/>
    <col min="29" max="16384" width="29.1640625" style="1"/>
  </cols>
  <sheetData>
    <row r="1" spans="1:21" x14ac:dyDescent="0.2">
      <c r="A1" s="10"/>
      <c r="B1" s="21"/>
      <c r="C1" s="21"/>
      <c r="D1" s="21"/>
      <c r="E1" s="7" t="s">
        <v>7</v>
      </c>
      <c r="F1" s="7" t="s">
        <v>6</v>
      </c>
      <c r="G1" s="7" t="s">
        <v>8</v>
      </c>
      <c r="H1" s="8" t="s">
        <v>9</v>
      </c>
      <c r="I1" s="9" t="s">
        <v>10</v>
      </c>
      <c r="J1" s="9" t="s">
        <v>11</v>
      </c>
      <c r="K1" s="7" t="s">
        <v>72</v>
      </c>
      <c r="L1" s="9" t="s">
        <v>73</v>
      </c>
      <c r="M1" s="10" t="s">
        <v>12</v>
      </c>
      <c r="Q1" s="24">
        <f xml:space="preserve"> CORREL(E2:E160,F2:F160)</f>
        <v>0.93310893575108755</v>
      </c>
      <c r="R1" s="25">
        <f xml:space="preserve"> STEYX(F2:F160,E2:E160)</f>
        <v>20.998545491695836</v>
      </c>
      <c r="T1" s="24">
        <f xml:space="preserve"> CORREL(H2:H160,I2:I160)</f>
        <v>0.49867935574432048</v>
      </c>
      <c r="U1" s="25">
        <f xml:space="preserve"> STEYX(I2:I160,H2:H160)</f>
        <v>5.384057320841773</v>
      </c>
    </row>
    <row r="2" spans="1:21" x14ac:dyDescent="0.2">
      <c r="A2" s="81" t="s">
        <v>59</v>
      </c>
      <c r="B2" s="81"/>
      <c r="C2" s="81"/>
      <c r="D2" s="17" t="str">
        <f xml:space="preserve"> "n = "&amp;MAX(M2:M21)</f>
        <v>n = 10</v>
      </c>
      <c r="E2" s="6">
        <v>173</v>
      </c>
      <c r="F2" s="6">
        <v>177</v>
      </c>
      <c r="G2" s="6">
        <v>-4</v>
      </c>
      <c r="H2" s="20">
        <v>9.3000000000000007</v>
      </c>
      <c r="I2" s="6">
        <v>9.6999999999999993</v>
      </c>
      <c r="J2" s="6">
        <v>-0.39999999999999858</v>
      </c>
      <c r="K2" s="6">
        <f xml:space="preserve"> AVERAGE(E2:F2)</f>
        <v>175</v>
      </c>
      <c r="L2" s="6">
        <f xml:space="preserve"> AVERAGE(H2:I2)</f>
        <v>9.5</v>
      </c>
      <c r="M2" s="1">
        <v>1</v>
      </c>
      <c r="N2" s="1">
        <v>0.99177750085095573</v>
      </c>
      <c r="O2" s="1">
        <v>0.82936862662891009</v>
      </c>
      <c r="T2" s="24"/>
      <c r="U2" s="25"/>
    </row>
    <row r="3" spans="1:21" x14ac:dyDescent="0.2">
      <c r="A3" s="18"/>
      <c r="B3" s="18"/>
      <c r="C3" s="1" t="s">
        <v>48</v>
      </c>
      <c r="E3" s="6">
        <v>286</v>
      </c>
      <c r="F3" s="6">
        <v>287</v>
      </c>
      <c r="G3" s="6">
        <v>-1</v>
      </c>
      <c r="H3" s="15">
        <v>16</v>
      </c>
      <c r="I3" s="6">
        <v>18.899999999999999</v>
      </c>
      <c r="J3" s="6">
        <v>-2.8999999999999986</v>
      </c>
      <c r="K3" s="6">
        <f t="shared" ref="K3:K66" si="0" xml:space="preserve"> AVERAGE(E3:F3)</f>
        <v>286.5</v>
      </c>
      <c r="L3" s="6">
        <f t="shared" ref="L3:L66" si="1" xml:space="preserve"> AVERAGE(H3:I3)</f>
        <v>17.45</v>
      </c>
      <c r="M3" s="1">
        <v>2</v>
      </c>
      <c r="N3" s="1">
        <v>0.99177750085095573</v>
      </c>
      <c r="O3" s="1">
        <v>0.82936862662891009</v>
      </c>
    </row>
    <row r="4" spans="1:21" x14ac:dyDescent="0.2">
      <c r="A4" s="18"/>
      <c r="B4" s="18"/>
      <c r="E4" s="6">
        <v>325</v>
      </c>
      <c r="F4" s="6">
        <v>337</v>
      </c>
      <c r="G4" s="6">
        <v>-12</v>
      </c>
      <c r="H4" s="15">
        <v>25.3</v>
      </c>
      <c r="I4" s="6">
        <v>22.1</v>
      </c>
      <c r="J4" s="6">
        <v>3.1999999999999993</v>
      </c>
      <c r="K4" s="6">
        <f t="shared" si="0"/>
        <v>331</v>
      </c>
      <c r="L4" s="6">
        <f t="shared" si="1"/>
        <v>23.700000000000003</v>
      </c>
      <c r="M4" s="1">
        <v>3</v>
      </c>
      <c r="N4" s="1">
        <v>0.99177750085095573</v>
      </c>
      <c r="O4" s="1">
        <v>0.82936862662891009</v>
      </c>
    </row>
    <row r="5" spans="1:21" x14ac:dyDescent="0.2">
      <c r="A5" s="18"/>
      <c r="B5" s="18"/>
      <c r="E5" s="6">
        <v>351</v>
      </c>
      <c r="F5" s="6">
        <v>347</v>
      </c>
      <c r="G5" s="6">
        <v>4</v>
      </c>
      <c r="H5" s="15">
        <v>12.2</v>
      </c>
      <c r="I5" s="6">
        <v>11.2</v>
      </c>
      <c r="J5" s="6">
        <v>1</v>
      </c>
      <c r="K5" s="6">
        <f t="shared" si="0"/>
        <v>349</v>
      </c>
      <c r="L5" s="6">
        <f t="shared" si="1"/>
        <v>11.7</v>
      </c>
      <c r="M5" s="1">
        <v>4</v>
      </c>
      <c r="N5" s="1">
        <v>0.99177750085095573</v>
      </c>
      <c r="O5" s="1">
        <v>0.82936862662891009</v>
      </c>
    </row>
    <row r="6" spans="1:21" x14ac:dyDescent="0.2">
      <c r="A6" s="18"/>
      <c r="B6" s="18"/>
      <c r="E6" s="6">
        <v>252</v>
      </c>
      <c r="F6" s="6">
        <v>247</v>
      </c>
      <c r="G6" s="6">
        <v>5</v>
      </c>
      <c r="H6" s="15">
        <v>18</v>
      </c>
      <c r="I6" s="6">
        <v>16.7</v>
      </c>
      <c r="J6" s="6">
        <v>1.3000000000000007</v>
      </c>
      <c r="K6" s="6">
        <f t="shared" si="0"/>
        <v>249.5</v>
      </c>
      <c r="L6" s="6">
        <f t="shared" si="1"/>
        <v>17.350000000000001</v>
      </c>
      <c r="M6" s="1">
        <v>5</v>
      </c>
      <c r="N6" s="1">
        <v>0.99177750085095573</v>
      </c>
      <c r="O6" s="1">
        <v>0.82936862662891009</v>
      </c>
    </row>
    <row r="7" spans="1:21" x14ac:dyDescent="0.2">
      <c r="A7" s="18"/>
      <c r="B7" s="18"/>
      <c r="E7" s="6">
        <v>262</v>
      </c>
      <c r="F7" s="6">
        <v>251</v>
      </c>
      <c r="G7" s="6">
        <v>11</v>
      </c>
      <c r="H7" s="15">
        <v>12.2</v>
      </c>
      <c r="I7" s="6">
        <v>18.100000000000001</v>
      </c>
      <c r="J7" s="6">
        <v>-5.9000000000000021</v>
      </c>
      <c r="K7" s="6">
        <f t="shared" si="0"/>
        <v>256.5</v>
      </c>
      <c r="L7" s="6">
        <f t="shared" si="1"/>
        <v>15.15</v>
      </c>
      <c r="M7" s="1">
        <v>6</v>
      </c>
      <c r="N7" s="1">
        <v>0.99177750085095573</v>
      </c>
      <c r="O7" s="1">
        <v>0.82936862662891009</v>
      </c>
    </row>
    <row r="8" spans="1:21" x14ac:dyDescent="0.2">
      <c r="A8" s="18"/>
      <c r="B8" s="18"/>
      <c r="E8" s="6">
        <v>316</v>
      </c>
      <c r="F8" s="6">
        <v>317</v>
      </c>
      <c r="G8" s="6">
        <v>-1</v>
      </c>
      <c r="H8" s="15">
        <v>16.2</v>
      </c>
      <c r="I8" s="6">
        <v>17.399999999999999</v>
      </c>
      <c r="J8" s="6">
        <v>-1.1999999999999993</v>
      </c>
      <c r="K8" s="6">
        <f t="shared" si="0"/>
        <v>316.5</v>
      </c>
      <c r="L8" s="6">
        <f t="shared" si="1"/>
        <v>16.799999999999997</v>
      </c>
      <c r="M8" s="1">
        <v>7</v>
      </c>
      <c r="N8" s="1">
        <v>0.99177750085095573</v>
      </c>
      <c r="O8" s="1">
        <v>0.82936862662891009</v>
      </c>
    </row>
    <row r="9" spans="1:21" x14ac:dyDescent="0.2">
      <c r="A9" s="18"/>
      <c r="B9" s="18"/>
      <c r="E9" s="6">
        <v>334</v>
      </c>
      <c r="F9" s="6">
        <v>334</v>
      </c>
      <c r="G9" s="6">
        <v>0</v>
      </c>
      <c r="H9" s="15">
        <v>11.5</v>
      </c>
      <c r="I9" s="6">
        <v>14.9</v>
      </c>
      <c r="J9" s="6">
        <v>-3.4000000000000004</v>
      </c>
      <c r="K9" s="6">
        <f t="shared" si="0"/>
        <v>334</v>
      </c>
      <c r="L9" s="6">
        <f t="shared" si="1"/>
        <v>13.2</v>
      </c>
      <c r="M9" s="1">
        <v>8</v>
      </c>
      <c r="N9" s="1">
        <v>0.99177750085095573</v>
      </c>
      <c r="O9" s="1">
        <v>0.82936862662891009</v>
      </c>
    </row>
    <row r="10" spans="1:21" x14ac:dyDescent="0.2">
      <c r="A10" s="18"/>
      <c r="B10" s="18"/>
      <c r="E10" s="6">
        <v>330</v>
      </c>
      <c r="F10" s="6">
        <v>333</v>
      </c>
      <c r="G10" s="6">
        <v>-3</v>
      </c>
      <c r="H10" s="15">
        <v>18.100000000000001</v>
      </c>
      <c r="I10" s="6">
        <v>18.399999999999999</v>
      </c>
      <c r="J10" s="6">
        <v>-0.29999999999999716</v>
      </c>
      <c r="K10" s="6">
        <f t="shared" si="0"/>
        <v>331.5</v>
      </c>
      <c r="L10" s="6">
        <f t="shared" si="1"/>
        <v>18.25</v>
      </c>
      <c r="M10" s="1">
        <v>9</v>
      </c>
      <c r="N10" s="1">
        <v>0.99177750085095573</v>
      </c>
      <c r="O10" s="1">
        <v>0.82936862662891009</v>
      </c>
    </row>
    <row r="11" spans="1:21" x14ac:dyDescent="0.2">
      <c r="A11" s="7"/>
      <c r="B11" s="7"/>
      <c r="C11" s="10"/>
      <c r="D11" s="10"/>
      <c r="E11" s="22">
        <v>240</v>
      </c>
      <c r="F11" s="22">
        <v>242</v>
      </c>
      <c r="G11" s="22">
        <v>-2</v>
      </c>
      <c r="H11" s="23">
        <v>11.3</v>
      </c>
      <c r="I11" s="22">
        <v>12.7</v>
      </c>
      <c r="J11" s="22">
        <v>-1.3999999999999986</v>
      </c>
      <c r="K11" s="6">
        <f t="shared" si="0"/>
        <v>241</v>
      </c>
      <c r="L11" s="6">
        <f t="shared" si="1"/>
        <v>12</v>
      </c>
      <c r="M11" s="10">
        <v>10</v>
      </c>
      <c r="N11" s="1">
        <v>0.99177750085095573</v>
      </c>
      <c r="O11" s="1">
        <v>0.82936862662891009</v>
      </c>
    </row>
    <row r="12" spans="1:21" x14ac:dyDescent="0.2">
      <c r="A12" s="81" t="s">
        <v>59</v>
      </c>
      <c r="B12" s="81"/>
      <c r="C12" s="81"/>
      <c r="D12" s="17" t="str">
        <f xml:space="preserve"> "n = "&amp;MAX(M12:M29)</f>
        <v>n = 10</v>
      </c>
      <c r="E12" s="6">
        <v>173</v>
      </c>
      <c r="F12" s="6">
        <v>176</v>
      </c>
      <c r="G12" s="6">
        <v>-3</v>
      </c>
      <c r="H12" s="15">
        <v>9.3000000000000007</v>
      </c>
      <c r="I12" s="6">
        <v>9.9</v>
      </c>
      <c r="J12" s="6">
        <v>-0.59999999999999964</v>
      </c>
      <c r="K12" s="6">
        <f t="shared" si="0"/>
        <v>174.5</v>
      </c>
      <c r="L12" s="6">
        <f t="shared" si="1"/>
        <v>9.6000000000000014</v>
      </c>
      <c r="M12" s="1">
        <v>1</v>
      </c>
      <c r="N12" s="1">
        <v>0.99177750085095573</v>
      </c>
      <c r="O12" s="1">
        <v>0.82936862662891009</v>
      </c>
    </row>
    <row r="13" spans="1:21" x14ac:dyDescent="0.2">
      <c r="A13" s="18"/>
      <c r="B13" s="18"/>
      <c r="C13" s="1" t="s">
        <v>46</v>
      </c>
      <c r="E13" s="6">
        <v>286</v>
      </c>
      <c r="F13" s="6">
        <v>296</v>
      </c>
      <c r="G13" s="6">
        <v>-10</v>
      </c>
      <c r="H13" s="15">
        <v>16</v>
      </c>
      <c r="I13" s="6">
        <v>16.7</v>
      </c>
      <c r="J13" s="6">
        <v>-0.69999999999999929</v>
      </c>
      <c r="K13" s="6">
        <f t="shared" si="0"/>
        <v>291</v>
      </c>
      <c r="L13" s="6">
        <f t="shared" si="1"/>
        <v>16.350000000000001</v>
      </c>
      <c r="M13" s="1">
        <v>2</v>
      </c>
      <c r="N13" s="1">
        <v>0.99177750085095573</v>
      </c>
      <c r="O13" s="1">
        <v>0.82936862662891009</v>
      </c>
    </row>
    <row r="14" spans="1:21" x14ac:dyDescent="0.2">
      <c r="A14" s="18"/>
      <c r="B14" s="18"/>
      <c r="E14" s="6">
        <v>325</v>
      </c>
      <c r="F14" s="6">
        <v>343</v>
      </c>
      <c r="G14" s="6">
        <v>-18</v>
      </c>
      <c r="H14" s="15">
        <v>25.3</v>
      </c>
      <c r="I14" s="6">
        <v>20.5</v>
      </c>
      <c r="J14" s="6">
        <v>4.8000000000000007</v>
      </c>
      <c r="K14" s="6">
        <f t="shared" si="0"/>
        <v>334</v>
      </c>
      <c r="L14" s="6">
        <f t="shared" si="1"/>
        <v>22.9</v>
      </c>
      <c r="M14" s="1">
        <v>3</v>
      </c>
      <c r="N14" s="1">
        <v>0.99177750085095573</v>
      </c>
      <c r="O14" s="1">
        <v>0.82936862662891009</v>
      </c>
    </row>
    <row r="15" spans="1:21" x14ac:dyDescent="0.2">
      <c r="A15" s="18"/>
      <c r="B15" s="18"/>
      <c r="E15" s="6">
        <v>351</v>
      </c>
      <c r="F15" s="6">
        <v>347</v>
      </c>
      <c r="G15" s="6">
        <v>4</v>
      </c>
      <c r="H15" s="15">
        <v>12.2</v>
      </c>
      <c r="I15" s="6">
        <v>11.3</v>
      </c>
      <c r="J15" s="6">
        <v>0.89999999999999858</v>
      </c>
      <c r="K15" s="6">
        <f t="shared" si="0"/>
        <v>349</v>
      </c>
      <c r="L15" s="6">
        <f t="shared" si="1"/>
        <v>11.75</v>
      </c>
      <c r="M15" s="1">
        <v>4</v>
      </c>
      <c r="N15" s="1">
        <v>0.99177750085095573</v>
      </c>
      <c r="O15" s="1">
        <v>0.82936862662891009</v>
      </c>
    </row>
    <row r="16" spans="1:21" x14ac:dyDescent="0.2">
      <c r="A16" s="18"/>
      <c r="B16" s="18"/>
      <c r="E16" s="6">
        <v>252</v>
      </c>
      <c r="F16" s="6">
        <v>245</v>
      </c>
      <c r="G16" s="6">
        <v>7</v>
      </c>
      <c r="H16" s="15">
        <v>18</v>
      </c>
      <c r="I16" s="6">
        <v>17.100000000000001</v>
      </c>
      <c r="J16" s="6">
        <v>0.89999999999999858</v>
      </c>
      <c r="K16" s="6">
        <f t="shared" si="0"/>
        <v>248.5</v>
      </c>
      <c r="L16" s="6">
        <f t="shared" si="1"/>
        <v>17.55</v>
      </c>
      <c r="M16" s="1">
        <v>5</v>
      </c>
      <c r="N16" s="1">
        <v>0.99177750085095573</v>
      </c>
      <c r="O16" s="1">
        <v>0.82936862662891009</v>
      </c>
    </row>
    <row r="17" spans="1:15" x14ac:dyDescent="0.2">
      <c r="A17" s="18"/>
      <c r="B17" s="18"/>
      <c r="E17" s="6">
        <v>262</v>
      </c>
      <c r="F17" s="6">
        <v>254</v>
      </c>
      <c r="G17" s="6">
        <v>8</v>
      </c>
      <c r="H17" s="15">
        <v>12.2</v>
      </c>
      <c r="I17" s="6">
        <v>16.899999999999999</v>
      </c>
      <c r="J17" s="6">
        <v>-4.6999999999999993</v>
      </c>
      <c r="K17" s="6">
        <f t="shared" si="0"/>
        <v>258</v>
      </c>
      <c r="L17" s="6">
        <f t="shared" si="1"/>
        <v>14.549999999999999</v>
      </c>
      <c r="M17" s="1">
        <v>6</v>
      </c>
      <c r="N17" s="1">
        <v>0.99177750085095573</v>
      </c>
      <c r="O17" s="1">
        <v>0.82936862662891009</v>
      </c>
    </row>
    <row r="18" spans="1:15" x14ac:dyDescent="0.2">
      <c r="A18" s="18"/>
      <c r="B18" s="18"/>
      <c r="E18" s="6">
        <v>316</v>
      </c>
      <c r="F18" s="6">
        <v>320</v>
      </c>
      <c r="G18" s="6">
        <v>-4</v>
      </c>
      <c r="H18" s="15">
        <v>16.2</v>
      </c>
      <c r="I18" s="6">
        <v>16.5</v>
      </c>
      <c r="J18" s="6">
        <v>-0.30000000000000071</v>
      </c>
      <c r="K18" s="6">
        <f t="shared" si="0"/>
        <v>318</v>
      </c>
      <c r="L18" s="6">
        <f t="shared" si="1"/>
        <v>16.350000000000001</v>
      </c>
      <c r="M18" s="1">
        <v>7</v>
      </c>
      <c r="N18" s="1">
        <v>0.99177750085095573</v>
      </c>
      <c r="O18" s="1">
        <v>0.82936862662891009</v>
      </c>
    </row>
    <row r="19" spans="1:15" x14ac:dyDescent="0.2">
      <c r="A19" s="18"/>
      <c r="B19" s="18"/>
      <c r="E19" s="6">
        <v>334</v>
      </c>
      <c r="F19" s="6">
        <v>332</v>
      </c>
      <c r="G19" s="6">
        <v>2</v>
      </c>
      <c r="H19" s="15">
        <v>11.5</v>
      </c>
      <c r="I19" s="6">
        <v>15.6</v>
      </c>
      <c r="J19" s="6">
        <v>-4.0999999999999996</v>
      </c>
      <c r="K19" s="6">
        <f t="shared" si="0"/>
        <v>333</v>
      </c>
      <c r="L19" s="6">
        <f t="shared" si="1"/>
        <v>13.55</v>
      </c>
      <c r="M19" s="1">
        <v>8</v>
      </c>
      <c r="N19" s="1">
        <v>0.99177750085095573</v>
      </c>
      <c r="O19" s="1">
        <v>0.82936862662891009</v>
      </c>
    </row>
    <row r="20" spans="1:15" x14ac:dyDescent="0.2">
      <c r="A20" s="18"/>
      <c r="B20" s="18"/>
      <c r="E20" s="6">
        <v>330</v>
      </c>
      <c r="F20" s="6">
        <v>334</v>
      </c>
      <c r="G20" s="6">
        <v>-4</v>
      </c>
      <c r="H20" s="15">
        <v>18.100000000000001</v>
      </c>
      <c r="I20" s="6">
        <v>18.2</v>
      </c>
      <c r="J20" s="6">
        <v>-9.9999999999997868E-2</v>
      </c>
      <c r="K20" s="6">
        <f t="shared" si="0"/>
        <v>332</v>
      </c>
      <c r="L20" s="6">
        <f t="shared" si="1"/>
        <v>18.149999999999999</v>
      </c>
      <c r="M20" s="1">
        <v>9</v>
      </c>
      <c r="N20" s="1">
        <v>0.99177750085095573</v>
      </c>
      <c r="O20" s="1">
        <v>0.82936862662891009</v>
      </c>
    </row>
    <row r="21" spans="1:15" x14ac:dyDescent="0.2">
      <c r="A21" s="7"/>
      <c r="B21" s="7"/>
      <c r="C21" s="10"/>
      <c r="D21" s="10"/>
      <c r="E21" s="22">
        <v>240</v>
      </c>
      <c r="F21" s="22">
        <v>247</v>
      </c>
      <c r="G21" s="22">
        <v>-7</v>
      </c>
      <c r="H21" s="23">
        <v>11.3</v>
      </c>
      <c r="I21" s="22">
        <v>11</v>
      </c>
      <c r="J21" s="22">
        <v>0.30000000000000071</v>
      </c>
      <c r="K21" s="6">
        <f t="shared" si="0"/>
        <v>243.5</v>
      </c>
      <c r="L21" s="6">
        <f t="shared" si="1"/>
        <v>11.15</v>
      </c>
      <c r="M21" s="10">
        <v>10</v>
      </c>
      <c r="N21" s="1">
        <v>0.99177750085095573</v>
      </c>
      <c r="O21" s="1">
        <v>0.82936862662891009</v>
      </c>
    </row>
    <row r="22" spans="1:15" x14ac:dyDescent="0.2">
      <c r="A22" s="81" t="s">
        <v>60</v>
      </c>
      <c r="B22" s="81"/>
      <c r="C22" s="81"/>
      <c r="D22" s="17" t="str">
        <f xml:space="preserve"> "n = "&amp;MAX(M22:M33)</f>
        <v>n = 8</v>
      </c>
      <c r="E22" s="6">
        <v>120</v>
      </c>
      <c r="F22" s="6">
        <v>180</v>
      </c>
      <c r="G22" s="6">
        <v>-60</v>
      </c>
      <c r="H22" s="15">
        <v>12.5</v>
      </c>
      <c r="I22" s="6">
        <v>8.5</v>
      </c>
      <c r="J22" s="6">
        <v>4</v>
      </c>
      <c r="K22" s="6">
        <f t="shared" si="0"/>
        <v>150</v>
      </c>
      <c r="L22" s="6">
        <f t="shared" si="1"/>
        <v>10.5</v>
      </c>
      <c r="M22" s="1">
        <v>1</v>
      </c>
      <c r="N22" s="1">
        <v>0.51463793906691291</v>
      </c>
      <c r="O22" s="1">
        <v>2.8796219651184379E-2</v>
      </c>
    </row>
    <row r="23" spans="1:15" x14ac:dyDescent="0.2">
      <c r="A23" s="18"/>
      <c r="B23" s="18"/>
      <c r="C23" s="1" t="s">
        <v>61</v>
      </c>
      <c r="E23" s="6">
        <v>146</v>
      </c>
      <c r="F23" s="6">
        <v>120</v>
      </c>
      <c r="G23" s="6">
        <v>26</v>
      </c>
      <c r="H23" s="15">
        <v>8.3000000000000007</v>
      </c>
      <c r="I23" s="6">
        <v>16.600000000000001</v>
      </c>
      <c r="J23" s="6">
        <v>-8.3000000000000007</v>
      </c>
      <c r="K23" s="6">
        <f t="shared" si="0"/>
        <v>133</v>
      </c>
      <c r="L23" s="6">
        <f t="shared" si="1"/>
        <v>12.450000000000001</v>
      </c>
      <c r="M23" s="1">
        <v>2</v>
      </c>
      <c r="N23" s="1">
        <v>0.52640725018889889</v>
      </c>
      <c r="O23" s="1">
        <v>2.8796219651184379E-2</v>
      </c>
    </row>
    <row r="24" spans="1:15" x14ac:dyDescent="0.2">
      <c r="A24" s="18"/>
      <c r="B24" s="18"/>
      <c r="E24" s="6">
        <v>141</v>
      </c>
      <c r="F24" s="6">
        <v>152</v>
      </c>
      <c r="G24" s="6">
        <v>-11</v>
      </c>
      <c r="H24" s="15">
        <v>11.8</v>
      </c>
      <c r="I24" s="6">
        <v>14.9</v>
      </c>
      <c r="J24" s="6">
        <v>-3.0999999999999996</v>
      </c>
      <c r="K24" s="6">
        <f t="shared" si="0"/>
        <v>146.5</v>
      </c>
      <c r="L24" s="6">
        <f t="shared" si="1"/>
        <v>13.350000000000001</v>
      </c>
      <c r="M24" s="1">
        <v>3</v>
      </c>
      <c r="N24" s="1">
        <v>0.52640725018889889</v>
      </c>
      <c r="O24" s="1">
        <v>2.8796219651184379E-2</v>
      </c>
    </row>
    <row r="25" spans="1:15" x14ac:dyDescent="0.2">
      <c r="A25" s="18"/>
      <c r="B25" s="18"/>
      <c r="E25" s="6">
        <v>115</v>
      </c>
      <c r="F25" s="6">
        <v>104</v>
      </c>
      <c r="G25" s="6">
        <v>11</v>
      </c>
      <c r="H25" s="15">
        <v>8.5</v>
      </c>
      <c r="I25" s="6">
        <v>10.1</v>
      </c>
      <c r="J25" s="6">
        <v>-1.5999999999999996</v>
      </c>
      <c r="K25" s="6">
        <f t="shared" si="0"/>
        <v>109.5</v>
      </c>
      <c r="L25" s="6">
        <f t="shared" si="1"/>
        <v>9.3000000000000007</v>
      </c>
      <c r="M25" s="1">
        <v>4</v>
      </c>
      <c r="N25" s="1">
        <v>0.52640725018889889</v>
      </c>
      <c r="O25" s="1">
        <v>2.8796219651184379E-2</v>
      </c>
    </row>
    <row r="26" spans="1:15" x14ac:dyDescent="0.2">
      <c r="A26" s="18"/>
      <c r="B26" s="18"/>
      <c r="E26" s="6">
        <v>112</v>
      </c>
      <c r="F26" s="6">
        <v>121</v>
      </c>
      <c r="G26" s="6">
        <v>-9</v>
      </c>
      <c r="H26" s="15">
        <v>10.9</v>
      </c>
      <c r="I26" s="6">
        <v>10.5</v>
      </c>
      <c r="J26" s="6">
        <v>0.40000000000000036</v>
      </c>
      <c r="K26" s="6">
        <f t="shared" si="0"/>
        <v>116.5</v>
      </c>
      <c r="L26" s="6">
        <f t="shared" si="1"/>
        <v>10.7</v>
      </c>
      <c r="M26" s="1">
        <v>5</v>
      </c>
      <c r="N26" s="1">
        <v>0.52640725018889889</v>
      </c>
      <c r="O26" s="1">
        <v>2.8796219651184379E-2</v>
      </c>
    </row>
    <row r="27" spans="1:15" x14ac:dyDescent="0.2">
      <c r="A27" s="18"/>
      <c r="B27" s="18"/>
      <c r="E27" s="6">
        <v>181</v>
      </c>
      <c r="F27" s="6">
        <v>171</v>
      </c>
      <c r="G27" s="6">
        <v>10</v>
      </c>
      <c r="H27" s="15">
        <v>14.5</v>
      </c>
      <c r="I27" s="6">
        <v>14.2</v>
      </c>
      <c r="J27" s="6">
        <v>0.30000000000000071</v>
      </c>
      <c r="K27" s="6">
        <f t="shared" si="0"/>
        <v>176</v>
      </c>
      <c r="L27" s="6">
        <f t="shared" si="1"/>
        <v>14.35</v>
      </c>
      <c r="M27" s="1">
        <v>6</v>
      </c>
      <c r="N27" s="1">
        <v>0.52640725018889889</v>
      </c>
      <c r="O27" s="1">
        <v>2.8796219651184379E-2</v>
      </c>
    </row>
    <row r="28" spans="1:15" x14ac:dyDescent="0.2">
      <c r="A28" s="18"/>
      <c r="B28" s="18"/>
      <c r="E28" s="6">
        <v>164</v>
      </c>
      <c r="F28" s="6">
        <v>160</v>
      </c>
      <c r="G28" s="6">
        <v>4</v>
      </c>
      <c r="H28" s="15">
        <v>9.6</v>
      </c>
      <c r="I28" s="6">
        <v>11.5</v>
      </c>
      <c r="J28" s="6">
        <v>-1.9000000000000004</v>
      </c>
      <c r="K28" s="6">
        <f t="shared" si="0"/>
        <v>162</v>
      </c>
      <c r="L28" s="6">
        <f t="shared" si="1"/>
        <v>10.55</v>
      </c>
      <c r="M28" s="1">
        <v>7</v>
      </c>
      <c r="N28" s="1">
        <v>0.52640725018889889</v>
      </c>
      <c r="O28" s="1">
        <v>2.8796219651184379E-2</v>
      </c>
    </row>
    <row r="29" spans="1:15" x14ac:dyDescent="0.2">
      <c r="A29" s="7"/>
      <c r="B29" s="7"/>
      <c r="C29" s="10"/>
      <c r="D29" s="10"/>
      <c r="E29" s="22">
        <v>192</v>
      </c>
      <c r="F29" s="22">
        <v>160</v>
      </c>
      <c r="G29" s="22">
        <v>32</v>
      </c>
      <c r="H29" s="23">
        <v>9.1</v>
      </c>
      <c r="I29" s="22">
        <v>10.4</v>
      </c>
      <c r="J29" s="22">
        <v>-1.3000000000000007</v>
      </c>
      <c r="K29" s="6">
        <f t="shared" si="0"/>
        <v>176</v>
      </c>
      <c r="L29" s="6">
        <f t="shared" si="1"/>
        <v>9.75</v>
      </c>
      <c r="M29" s="10">
        <v>8</v>
      </c>
      <c r="N29" s="1">
        <v>0.52640725018889889</v>
      </c>
      <c r="O29" s="1">
        <v>2.8796219651184379E-2</v>
      </c>
    </row>
    <row r="30" spans="1:15" x14ac:dyDescent="0.2">
      <c r="A30" s="81" t="s">
        <v>63</v>
      </c>
      <c r="B30" s="81"/>
      <c r="C30" s="81"/>
      <c r="D30" s="17" t="str">
        <f xml:space="preserve"> "n = "&amp;MAX(M30:M49)</f>
        <v>n = 13</v>
      </c>
      <c r="E30" s="6">
        <v>224</v>
      </c>
      <c r="F30" s="6">
        <v>184</v>
      </c>
      <c r="G30" s="6">
        <v>40</v>
      </c>
      <c r="H30" s="15">
        <v>3</v>
      </c>
      <c r="I30" s="6">
        <v>8</v>
      </c>
      <c r="J30" s="6">
        <v>-5</v>
      </c>
      <c r="K30" s="6">
        <f t="shared" si="0"/>
        <v>204</v>
      </c>
      <c r="L30" s="6">
        <f t="shared" si="1"/>
        <v>5.5</v>
      </c>
      <c r="M30" s="1">
        <v>1</v>
      </c>
      <c r="N30" s="1">
        <v>0.88820284828705676</v>
      </c>
      <c r="O30" s="1">
        <v>0.56642633173365708</v>
      </c>
    </row>
    <row r="31" spans="1:15" x14ac:dyDescent="0.2">
      <c r="A31" s="18"/>
      <c r="B31" s="18"/>
      <c r="C31" s="1" t="s">
        <v>62</v>
      </c>
      <c r="E31" s="6">
        <v>242</v>
      </c>
      <c r="F31" s="6">
        <v>205</v>
      </c>
      <c r="G31" s="6">
        <v>37</v>
      </c>
      <c r="H31" s="15">
        <v>10</v>
      </c>
      <c r="I31" s="6">
        <v>16</v>
      </c>
      <c r="J31" s="6">
        <v>-6</v>
      </c>
      <c r="K31" s="6">
        <f t="shared" si="0"/>
        <v>223.5</v>
      </c>
      <c r="L31" s="6">
        <f t="shared" si="1"/>
        <v>13</v>
      </c>
      <c r="M31" s="1">
        <v>2</v>
      </c>
      <c r="N31" s="1">
        <v>0.88820284828705676</v>
      </c>
      <c r="O31" s="1">
        <v>0.56642633173365708</v>
      </c>
    </row>
    <row r="32" spans="1:15" x14ac:dyDescent="0.2">
      <c r="A32" s="18"/>
      <c r="B32" s="18"/>
      <c r="E32" s="6">
        <v>275</v>
      </c>
      <c r="F32" s="6">
        <v>201</v>
      </c>
      <c r="G32" s="6">
        <v>74</v>
      </c>
      <c r="H32" s="15">
        <v>10.9</v>
      </c>
      <c r="I32" s="6">
        <v>17</v>
      </c>
      <c r="J32" s="6">
        <v>-6.1</v>
      </c>
      <c r="K32" s="6">
        <f t="shared" si="0"/>
        <v>238</v>
      </c>
      <c r="L32" s="6">
        <f t="shared" si="1"/>
        <v>13.95</v>
      </c>
      <c r="M32" s="1">
        <v>3</v>
      </c>
      <c r="N32" s="1">
        <v>0.88820284828705676</v>
      </c>
      <c r="O32" s="1">
        <v>0.56642633173365708</v>
      </c>
    </row>
    <row r="33" spans="1:15" x14ac:dyDescent="0.2">
      <c r="A33" s="18"/>
      <c r="B33" s="18"/>
      <c r="E33" s="6">
        <v>268</v>
      </c>
      <c r="F33" s="6">
        <v>224</v>
      </c>
      <c r="G33" s="6">
        <v>44</v>
      </c>
      <c r="H33" s="15">
        <v>12</v>
      </c>
      <c r="I33" s="6">
        <v>18</v>
      </c>
      <c r="J33" s="6">
        <v>-6</v>
      </c>
      <c r="K33" s="6">
        <f t="shared" si="0"/>
        <v>246</v>
      </c>
      <c r="L33" s="6">
        <f t="shared" si="1"/>
        <v>15</v>
      </c>
      <c r="M33" s="1">
        <v>4</v>
      </c>
      <c r="N33" s="1">
        <v>0.88820284828705676</v>
      </c>
      <c r="O33" s="1">
        <v>0.56642633173365708</v>
      </c>
    </row>
    <row r="34" spans="1:15" x14ac:dyDescent="0.2">
      <c r="A34" s="18"/>
      <c r="B34" s="18"/>
      <c r="E34" s="6">
        <v>262</v>
      </c>
      <c r="F34" s="6">
        <v>240</v>
      </c>
      <c r="G34" s="6">
        <v>22</v>
      </c>
      <c r="H34" s="15">
        <v>14</v>
      </c>
      <c r="I34" s="6">
        <v>17</v>
      </c>
      <c r="J34" s="6">
        <v>-3</v>
      </c>
      <c r="K34" s="6">
        <f t="shared" si="0"/>
        <v>251</v>
      </c>
      <c r="L34" s="6">
        <f t="shared" si="1"/>
        <v>15.5</v>
      </c>
      <c r="M34" s="1">
        <v>5</v>
      </c>
      <c r="N34" s="1">
        <v>0.88820284828705676</v>
      </c>
      <c r="O34" s="1">
        <v>0.56642633173365708</v>
      </c>
    </row>
    <row r="35" spans="1:15" x14ac:dyDescent="0.2">
      <c r="A35" s="18"/>
      <c r="B35" s="18"/>
      <c r="E35" s="6">
        <v>275</v>
      </c>
      <c r="F35" s="6">
        <v>251</v>
      </c>
      <c r="G35" s="6">
        <v>24</v>
      </c>
      <c r="H35" s="15">
        <v>14</v>
      </c>
      <c r="I35" s="6">
        <v>14</v>
      </c>
      <c r="J35" s="6">
        <v>0</v>
      </c>
      <c r="K35" s="6">
        <f t="shared" si="0"/>
        <v>263</v>
      </c>
      <c r="L35" s="6">
        <f t="shared" si="1"/>
        <v>14</v>
      </c>
      <c r="M35" s="1">
        <v>6</v>
      </c>
      <c r="N35" s="1">
        <v>0.88820284828705676</v>
      </c>
      <c r="O35" s="1">
        <v>0.56642633173365708</v>
      </c>
    </row>
    <row r="36" spans="1:15" x14ac:dyDescent="0.2">
      <c r="A36" s="18"/>
      <c r="B36" s="18"/>
      <c r="E36" s="6">
        <v>294</v>
      </c>
      <c r="F36" s="6">
        <v>261</v>
      </c>
      <c r="G36" s="6">
        <v>33</v>
      </c>
      <c r="H36" s="15">
        <v>11</v>
      </c>
      <c r="I36" s="6">
        <v>20</v>
      </c>
      <c r="J36" s="6">
        <v>-9</v>
      </c>
      <c r="K36" s="6">
        <f t="shared" si="0"/>
        <v>277.5</v>
      </c>
      <c r="L36" s="6">
        <f t="shared" si="1"/>
        <v>15.5</v>
      </c>
      <c r="M36" s="1">
        <v>7</v>
      </c>
      <c r="N36" s="1">
        <v>0.88820284828705676</v>
      </c>
      <c r="O36" s="1">
        <v>0.56642633173365708</v>
      </c>
    </row>
    <row r="37" spans="1:15" x14ac:dyDescent="0.2">
      <c r="A37" s="18"/>
      <c r="B37" s="18"/>
      <c r="E37" s="6">
        <v>294</v>
      </c>
      <c r="F37" s="6">
        <v>268</v>
      </c>
      <c r="G37" s="6">
        <v>26</v>
      </c>
      <c r="H37" s="15">
        <v>10.9</v>
      </c>
      <c r="I37" s="6">
        <v>22</v>
      </c>
      <c r="J37" s="6">
        <v>-11.1</v>
      </c>
      <c r="K37" s="6">
        <f t="shared" si="0"/>
        <v>281</v>
      </c>
      <c r="L37" s="6">
        <f t="shared" si="1"/>
        <v>16.45</v>
      </c>
      <c r="M37" s="1">
        <v>8</v>
      </c>
      <c r="N37" s="1">
        <v>0.88820284828705676</v>
      </c>
      <c r="O37" s="1">
        <v>0.56642633173365708</v>
      </c>
    </row>
    <row r="38" spans="1:15" x14ac:dyDescent="0.2">
      <c r="A38" s="18"/>
      <c r="B38" s="18"/>
      <c r="E38" s="6">
        <v>304</v>
      </c>
      <c r="F38" s="6">
        <v>269</v>
      </c>
      <c r="G38" s="6">
        <v>35</v>
      </c>
      <c r="H38" s="15">
        <v>10.9</v>
      </c>
      <c r="I38" s="6">
        <v>25</v>
      </c>
      <c r="J38" s="6">
        <v>-14.1</v>
      </c>
      <c r="K38" s="6">
        <f t="shared" si="0"/>
        <v>286.5</v>
      </c>
      <c r="L38" s="6">
        <f t="shared" si="1"/>
        <v>17.95</v>
      </c>
      <c r="M38" s="1">
        <v>9</v>
      </c>
      <c r="N38" s="1">
        <v>0.88820284828705676</v>
      </c>
      <c r="O38" s="1">
        <v>0.56642633173365708</v>
      </c>
    </row>
    <row r="39" spans="1:15" x14ac:dyDescent="0.2">
      <c r="A39" s="18"/>
      <c r="B39" s="18"/>
      <c r="E39" s="6">
        <v>297</v>
      </c>
      <c r="F39" s="6">
        <v>281</v>
      </c>
      <c r="G39" s="6">
        <v>16</v>
      </c>
      <c r="H39" s="15">
        <v>12</v>
      </c>
      <c r="I39" s="6">
        <v>24</v>
      </c>
      <c r="J39" s="6">
        <v>-12</v>
      </c>
      <c r="K39" s="6">
        <f t="shared" si="0"/>
        <v>289</v>
      </c>
      <c r="L39" s="6">
        <f t="shared" si="1"/>
        <v>18</v>
      </c>
      <c r="M39" s="1">
        <v>10</v>
      </c>
      <c r="N39" s="1">
        <v>0.88820284828705676</v>
      </c>
      <c r="O39" s="1">
        <v>0.56642633173365708</v>
      </c>
    </row>
    <row r="40" spans="1:15" x14ac:dyDescent="0.2">
      <c r="A40" s="18"/>
      <c r="B40" s="18"/>
      <c r="E40" s="6">
        <v>298</v>
      </c>
      <c r="F40" s="6">
        <v>295</v>
      </c>
      <c r="G40" s="6">
        <v>3</v>
      </c>
      <c r="H40" s="15">
        <v>16</v>
      </c>
      <c r="I40" s="6">
        <v>25</v>
      </c>
      <c r="J40" s="6">
        <v>-9</v>
      </c>
      <c r="K40" s="6">
        <f t="shared" si="0"/>
        <v>296.5</v>
      </c>
      <c r="L40" s="6">
        <f t="shared" si="1"/>
        <v>20.5</v>
      </c>
      <c r="M40" s="1">
        <v>11</v>
      </c>
      <c r="N40" s="1">
        <v>0.88820284828705676</v>
      </c>
      <c r="O40" s="1">
        <v>0.56642633173365708</v>
      </c>
    </row>
    <row r="41" spans="1:15" x14ac:dyDescent="0.2">
      <c r="A41" s="18"/>
      <c r="B41" s="18"/>
      <c r="E41" s="6">
        <v>359</v>
      </c>
      <c r="F41" s="6">
        <v>300</v>
      </c>
      <c r="G41" s="6">
        <v>59</v>
      </c>
      <c r="H41" s="15">
        <v>17</v>
      </c>
      <c r="I41" s="6">
        <v>18</v>
      </c>
      <c r="J41" s="6">
        <v>-1</v>
      </c>
      <c r="K41" s="6">
        <f t="shared" si="0"/>
        <v>329.5</v>
      </c>
      <c r="L41" s="6">
        <f t="shared" si="1"/>
        <v>17.5</v>
      </c>
      <c r="M41" s="1">
        <v>12</v>
      </c>
      <c r="N41" s="1">
        <v>0.88820284828705676</v>
      </c>
      <c r="O41" s="1">
        <v>0.56642633173365708</v>
      </c>
    </row>
    <row r="42" spans="1:15" x14ac:dyDescent="0.2">
      <c r="A42" s="7"/>
      <c r="B42" s="7"/>
      <c r="C42" s="10"/>
      <c r="D42" s="10"/>
      <c r="E42" s="22">
        <v>373</v>
      </c>
      <c r="F42" s="22">
        <v>313</v>
      </c>
      <c r="G42" s="22">
        <v>60</v>
      </c>
      <c r="H42" s="23">
        <v>21</v>
      </c>
      <c r="I42" s="22">
        <v>19</v>
      </c>
      <c r="J42" s="22">
        <v>2</v>
      </c>
      <c r="K42" s="6">
        <f t="shared" si="0"/>
        <v>343</v>
      </c>
      <c r="L42" s="6">
        <f t="shared" si="1"/>
        <v>20</v>
      </c>
      <c r="M42" s="10">
        <v>13</v>
      </c>
      <c r="N42" s="1">
        <v>0.88820284828705676</v>
      </c>
      <c r="O42" s="1">
        <v>0.56642633173365708</v>
      </c>
    </row>
    <row r="43" spans="1:15" x14ac:dyDescent="0.2">
      <c r="A43" s="81" t="s">
        <v>63</v>
      </c>
      <c r="B43" s="81"/>
      <c r="C43" s="81"/>
      <c r="D43" s="17" t="str">
        <f xml:space="preserve"> "n = "&amp;MAX(M43:M62)</f>
        <v>n = 13</v>
      </c>
      <c r="E43" s="6">
        <v>223</v>
      </c>
      <c r="F43" s="6">
        <v>190</v>
      </c>
      <c r="G43" s="6">
        <v>33</v>
      </c>
      <c r="H43" s="15">
        <v>15.3</v>
      </c>
      <c r="I43" s="6">
        <v>24</v>
      </c>
      <c r="J43" s="6">
        <v>-8.6999999999999993</v>
      </c>
      <c r="K43" s="6">
        <f t="shared" si="0"/>
        <v>206.5</v>
      </c>
      <c r="L43" s="6">
        <f t="shared" si="1"/>
        <v>19.649999999999999</v>
      </c>
      <c r="M43" s="1">
        <v>1</v>
      </c>
      <c r="N43" s="1">
        <v>0.88820284828705676</v>
      </c>
      <c r="O43" s="1">
        <v>0.56642633173365708</v>
      </c>
    </row>
    <row r="44" spans="1:15" x14ac:dyDescent="0.2">
      <c r="A44" s="18"/>
      <c r="B44" s="18"/>
      <c r="C44" s="1" t="s">
        <v>75</v>
      </c>
      <c r="E44" s="6">
        <v>241</v>
      </c>
      <c r="F44" s="6">
        <v>207</v>
      </c>
      <c r="G44" s="6">
        <v>34</v>
      </c>
      <c r="H44" s="15">
        <v>20.5</v>
      </c>
      <c r="I44" s="6">
        <v>18</v>
      </c>
      <c r="J44" s="6">
        <v>2.5</v>
      </c>
      <c r="K44" s="6">
        <f t="shared" si="0"/>
        <v>224</v>
      </c>
      <c r="L44" s="6">
        <f t="shared" si="1"/>
        <v>19.25</v>
      </c>
      <c r="M44" s="1">
        <v>2</v>
      </c>
      <c r="N44" s="1">
        <v>0.88820284828705676</v>
      </c>
      <c r="O44" s="1">
        <v>0.56642633173365708</v>
      </c>
    </row>
    <row r="45" spans="1:15" x14ac:dyDescent="0.2">
      <c r="A45" s="18"/>
      <c r="B45" s="18"/>
      <c r="E45" s="6">
        <v>274</v>
      </c>
      <c r="F45" s="6">
        <v>216</v>
      </c>
      <c r="G45" s="6">
        <v>58</v>
      </c>
      <c r="H45" s="15">
        <v>11.1</v>
      </c>
      <c r="I45" s="6">
        <v>23</v>
      </c>
      <c r="J45" s="6">
        <v>-11.9</v>
      </c>
      <c r="K45" s="6">
        <f t="shared" si="0"/>
        <v>245</v>
      </c>
      <c r="L45" s="6">
        <f t="shared" si="1"/>
        <v>17.05</v>
      </c>
      <c r="M45" s="1">
        <v>3</v>
      </c>
      <c r="N45" s="1">
        <v>0.88820284828705676</v>
      </c>
      <c r="O45" s="1">
        <v>0.56642633173365708</v>
      </c>
    </row>
    <row r="46" spans="1:15" x14ac:dyDescent="0.2">
      <c r="A46" s="18"/>
      <c r="B46" s="18"/>
      <c r="E46" s="6">
        <v>267</v>
      </c>
      <c r="F46" s="6">
        <v>240</v>
      </c>
      <c r="G46" s="6">
        <v>27</v>
      </c>
      <c r="H46" s="15">
        <v>10</v>
      </c>
      <c r="I46" s="6">
        <v>19</v>
      </c>
      <c r="J46" s="6">
        <v>-9</v>
      </c>
      <c r="K46" s="6">
        <f t="shared" si="0"/>
        <v>253.5</v>
      </c>
      <c r="L46" s="6">
        <f t="shared" si="1"/>
        <v>14.5</v>
      </c>
      <c r="M46" s="1">
        <v>4</v>
      </c>
      <c r="N46" s="1">
        <v>0.88820284828705676</v>
      </c>
      <c r="O46" s="1">
        <v>0.56642633173365708</v>
      </c>
    </row>
    <row r="47" spans="1:15" x14ac:dyDescent="0.2">
      <c r="A47" s="18"/>
      <c r="B47" s="18"/>
      <c r="E47" s="6">
        <v>261</v>
      </c>
      <c r="F47" s="6">
        <v>254</v>
      </c>
      <c r="G47" s="6">
        <v>7</v>
      </c>
      <c r="H47" s="15">
        <v>10</v>
      </c>
      <c r="I47" s="6">
        <v>18</v>
      </c>
      <c r="J47" s="6">
        <v>-8</v>
      </c>
      <c r="K47" s="6">
        <f t="shared" si="0"/>
        <v>257.5</v>
      </c>
      <c r="L47" s="6">
        <f t="shared" si="1"/>
        <v>14</v>
      </c>
      <c r="M47" s="1">
        <v>5</v>
      </c>
      <c r="N47" s="1">
        <v>0.88820284828705676</v>
      </c>
      <c r="O47" s="1">
        <v>0.56642633173365708</v>
      </c>
    </row>
    <row r="48" spans="1:15" x14ac:dyDescent="0.2">
      <c r="A48" s="18"/>
      <c r="B48" s="18"/>
      <c r="E48" s="6">
        <v>274</v>
      </c>
      <c r="F48" s="6">
        <v>257</v>
      </c>
      <c r="G48" s="6">
        <v>17</v>
      </c>
      <c r="H48" s="15">
        <v>10</v>
      </c>
      <c r="I48" s="6">
        <v>17</v>
      </c>
      <c r="J48" s="6">
        <v>-7</v>
      </c>
      <c r="K48" s="6">
        <f t="shared" si="0"/>
        <v>265.5</v>
      </c>
      <c r="L48" s="6">
        <f t="shared" si="1"/>
        <v>13.5</v>
      </c>
      <c r="M48" s="1">
        <v>6</v>
      </c>
      <c r="N48" s="1">
        <v>0.88820284828705676</v>
      </c>
      <c r="O48" s="1">
        <v>0.56642633173365708</v>
      </c>
    </row>
    <row r="49" spans="1:15" x14ac:dyDescent="0.2">
      <c r="A49" s="18"/>
      <c r="B49" s="18"/>
      <c r="E49" s="6">
        <v>293</v>
      </c>
      <c r="F49" s="6">
        <v>262</v>
      </c>
      <c r="G49" s="6">
        <v>31</v>
      </c>
      <c r="H49" s="15">
        <v>11.1</v>
      </c>
      <c r="I49" s="6">
        <v>18</v>
      </c>
      <c r="J49" s="6">
        <v>-6.9</v>
      </c>
      <c r="K49" s="6">
        <f t="shared" si="0"/>
        <v>277.5</v>
      </c>
      <c r="L49" s="6">
        <f t="shared" si="1"/>
        <v>14.55</v>
      </c>
      <c r="M49" s="1">
        <v>7</v>
      </c>
      <c r="N49" s="1">
        <v>0.88820284828705676</v>
      </c>
      <c r="O49" s="1">
        <v>0.56642633173365708</v>
      </c>
    </row>
    <row r="50" spans="1:15" x14ac:dyDescent="0.2">
      <c r="A50" s="18"/>
      <c r="B50" s="18"/>
      <c r="E50" s="6">
        <v>303</v>
      </c>
      <c r="F50" s="6">
        <v>270</v>
      </c>
      <c r="G50" s="6">
        <v>33</v>
      </c>
      <c r="H50" s="15">
        <v>9</v>
      </c>
      <c r="I50" s="6">
        <v>15</v>
      </c>
      <c r="J50" s="6">
        <v>-6</v>
      </c>
      <c r="K50" s="6">
        <f t="shared" si="0"/>
        <v>286.5</v>
      </c>
      <c r="L50" s="6">
        <f t="shared" si="1"/>
        <v>12</v>
      </c>
      <c r="M50" s="1">
        <v>8</v>
      </c>
      <c r="N50" s="1">
        <v>0.88820284828705676</v>
      </c>
      <c r="O50" s="1">
        <v>0.56642633173365708</v>
      </c>
    </row>
    <row r="51" spans="1:15" x14ac:dyDescent="0.2">
      <c r="A51" s="18"/>
      <c r="B51" s="18"/>
      <c r="E51" s="6">
        <v>293</v>
      </c>
      <c r="F51" s="6">
        <v>277</v>
      </c>
      <c r="G51" s="6">
        <v>16</v>
      </c>
      <c r="H51" s="15">
        <v>13.2</v>
      </c>
      <c r="I51" s="6">
        <v>15</v>
      </c>
      <c r="J51" s="6">
        <v>-1.8000000000000007</v>
      </c>
      <c r="K51" s="6">
        <f t="shared" si="0"/>
        <v>285</v>
      </c>
      <c r="L51" s="6">
        <f t="shared" si="1"/>
        <v>14.1</v>
      </c>
      <c r="M51" s="1">
        <v>9</v>
      </c>
      <c r="N51" s="1">
        <v>0.88820284828705676</v>
      </c>
      <c r="O51" s="1">
        <v>0.56642633173365708</v>
      </c>
    </row>
    <row r="52" spans="1:15" x14ac:dyDescent="0.2">
      <c r="A52" s="18"/>
      <c r="B52" s="18"/>
      <c r="E52" s="6">
        <v>296</v>
      </c>
      <c r="F52" s="6">
        <v>283</v>
      </c>
      <c r="G52" s="6">
        <v>13</v>
      </c>
      <c r="H52" s="15">
        <v>16.399999999999999</v>
      </c>
      <c r="I52" s="6">
        <v>16</v>
      </c>
      <c r="J52" s="6">
        <v>0.39999999999999858</v>
      </c>
      <c r="K52" s="6">
        <f t="shared" si="0"/>
        <v>289.5</v>
      </c>
      <c r="L52" s="6">
        <f t="shared" si="1"/>
        <v>16.2</v>
      </c>
      <c r="M52" s="1">
        <v>10</v>
      </c>
      <c r="N52" s="1">
        <v>0.88820284828705676</v>
      </c>
      <c r="O52" s="1">
        <v>0.56642633173365708</v>
      </c>
    </row>
    <row r="53" spans="1:15" x14ac:dyDescent="0.2">
      <c r="A53" s="18"/>
      <c r="B53" s="18"/>
      <c r="E53" s="6">
        <v>298</v>
      </c>
      <c r="F53" s="6">
        <v>293</v>
      </c>
      <c r="G53" s="6">
        <v>5</v>
      </c>
      <c r="H53" s="15">
        <v>13.2</v>
      </c>
      <c r="I53" s="6">
        <v>10</v>
      </c>
      <c r="J53" s="6">
        <v>3.1999999999999993</v>
      </c>
      <c r="K53" s="6">
        <f t="shared" si="0"/>
        <v>295.5</v>
      </c>
      <c r="L53" s="6">
        <f t="shared" si="1"/>
        <v>11.6</v>
      </c>
      <c r="M53" s="1">
        <v>11</v>
      </c>
      <c r="N53" s="1">
        <v>0.88820284828705676</v>
      </c>
      <c r="O53" s="1">
        <v>0.56642633173365708</v>
      </c>
    </row>
    <row r="54" spans="1:15" x14ac:dyDescent="0.2">
      <c r="A54" s="18"/>
      <c r="B54" s="18"/>
      <c r="E54" s="6">
        <v>359</v>
      </c>
      <c r="F54" s="6">
        <v>302</v>
      </c>
      <c r="G54" s="6">
        <v>57</v>
      </c>
      <c r="H54" s="15">
        <v>1.6</v>
      </c>
      <c r="I54" s="6">
        <v>6</v>
      </c>
      <c r="J54" s="6">
        <v>-4.4000000000000004</v>
      </c>
      <c r="K54" s="6">
        <f t="shared" si="0"/>
        <v>330.5</v>
      </c>
      <c r="L54" s="6">
        <f t="shared" si="1"/>
        <v>3.8</v>
      </c>
      <c r="M54" s="1">
        <v>12</v>
      </c>
      <c r="N54" s="1">
        <v>0.88820284828705676</v>
      </c>
      <c r="O54" s="1">
        <v>0.56642633173365708</v>
      </c>
    </row>
    <row r="55" spans="1:15" x14ac:dyDescent="0.2">
      <c r="A55" s="7"/>
      <c r="B55" s="7"/>
      <c r="C55" s="10"/>
      <c r="D55" s="10"/>
      <c r="E55" s="22">
        <v>372</v>
      </c>
      <c r="F55" s="22">
        <v>318</v>
      </c>
      <c r="G55" s="22">
        <v>54</v>
      </c>
      <c r="H55" s="23">
        <v>1.6</v>
      </c>
      <c r="I55" s="22">
        <v>6</v>
      </c>
      <c r="J55" s="22" t="s">
        <v>58</v>
      </c>
      <c r="K55" s="6">
        <f t="shared" si="0"/>
        <v>345</v>
      </c>
      <c r="L55" s="6">
        <f t="shared" si="1"/>
        <v>3.8</v>
      </c>
      <c r="M55" s="10">
        <v>13</v>
      </c>
      <c r="N55" s="1">
        <v>0.88820284828705676</v>
      </c>
      <c r="O55" s="1">
        <v>0.56642633173365708</v>
      </c>
    </row>
    <row r="56" spans="1:15" x14ac:dyDescent="0.2">
      <c r="A56" s="81" t="s">
        <v>64</v>
      </c>
      <c r="B56" s="81"/>
      <c r="C56" s="81"/>
      <c r="D56" s="17" t="str">
        <f xml:space="preserve"> "n = "&amp;MAX(M56:M75)</f>
        <v>n = 9</v>
      </c>
      <c r="E56" s="6">
        <v>307</v>
      </c>
      <c r="F56" s="6">
        <v>289</v>
      </c>
      <c r="G56" s="6">
        <v>18</v>
      </c>
      <c r="H56" s="15">
        <v>15.7</v>
      </c>
      <c r="I56" s="6">
        <v>22.4</v>
      </c>
      <c r="J56" s="6">
        <v>-6.6999999999999993</v>
      </c>
      <c r="K56" s="6">
        <f t="shared" si="0"/>
        <v>298</v>
      </c>
      <c r="L56" s="6">
        <f t="shared" si="1"/>
        <v>19.049999999999997</v>
      </c>
      <c r="M56" s="1">
        <v>1</v>
      </c>
      <c r="N56" s="1">
        <v>0.73787462630834433</v>
      </c>
      <c r="O56" s="1">
        <v>-0.11241950713431811</v>
      </c>
    </row>
    <row r="57" spans="1:15" x14ac:dyDescent="0.2">
      <c r="A57" s="18"/>
      <c r="B57" s="18"/>
      <c r="C57" s="1" t="s">
        <v>65</v>
      </c>
      <c r="E57" s="6">
        <v>182</v>
      </c>
      <c r="F57" s="6">
        <v>201</v>
      </c>
      <c r="G57" s="6">
        <v>-19</v>
      </c>
      <c r="H57" s="15">
        <v>19.399999999999999</v>
      </c>
      <c r="I57" s="6">
        <v>11</v>
      </c>
      <c r="J57" s="6">
        <v>8.3999999999999986</v>
      </c>
      <c r="K57" s="6">
        <f t="shared" si="0"/>
        <v>191.5</v>
      </c>
      <c r="L57" s="6">
        <f t="shared" si="1"/>
        <v>15.2</v>
      </c>
      <c r="M57" s="1">
        <v>2</v>
      </c>
      <c r="N57" s="1">
        <v>0.73787462630834433</v>
      </c>
      <c r="O57" s="1">
        <v>-0.11241950713431811</v>
      </c>
    </row>
    <row r="58" spans="1:15" x14ac:dyDescent="0.2">
      <c r="A58" s="18"/>
      <c r="B58" s="18"/>
      <c r="E58" s="6">
        <v>249</v>
      </c>
      <c r="F58" s="6">
        <v>222</v>
      </c>
      <c r="G58" s="6">
        <v>27</v>
      </c>
      <c r="H58" s="15">
        <v>17.600000000000001</v>
      </c>
      <c r="I58" s="6">
        <v>20.5</v>
      </c>
      <c r="J58" s="6">
        <v>-2.8999999999999986</v>
      </c>
      <c r="K58" s="6">
        <f t="shared" si="0"/>
        <v>235.5</v>
      </c>
      <c r="L58" s="6">
        <f t="shared" si="1"/>
        <v>19.05</v>
      </c>
      <c r="M58" s="1">
        <v>3</v>
      </c>
      <c r="N58" s="1">
        <v>0.73787462630834433</v>
      </c>
      <c r="O58" s="1">
        <v>-0.11241950713431811</v>
      </c>
    </row>
    <row r="59" spans="1:15" x14ac:dyDescent="0.2">
      <c r="A59" s="18"/>
      <c r="B59" s="18"/>
      <c r="E59" s="6">
        <v>155</v>
      </c>
      <c r="F59" s="6">
        <v>158</v>
      </c>
      <c r="G59" s="6">
        <v>-3</v>
      </c>
      <c r="H59" s="15">
        <v>17.899999999999999</v>
      </c>
      <c r="I59" s="6">
        <v>11.6</v>
      </c>
      <c r="J59" s="6">
        <v>6.2999999999999989</v>
      </c>
      <c r="K59" s="6">
        <f t="shared" si="0"/>
        <v>156.5</v>
      </c>
      <c r="L59" s="6">
        <f t="shared" si="1"/>
        <v>14.75</v>
      </c>
      <c r="M59" s="1">
        <v>4</v>
      </c>
      <c r="N59" s="1">
        <v>0.73787462630834433</v>
      </c>
      <c r="O59" s="1">
        <v>-0.11241950713431811</v>
      </c>
    </row>
    <row r="60" spans="1:15" x14ac:dyDescent="0.2">
      <c r="A60" s="18"/>
      <c r="B60" s="18"/>
      <c r="E60" s="6">
        <v>155</v>
      </c>
      <c r="F60" s="6">
        <v>155</v>
      </c>
      <c r="G60" s="6">
        <v>0</v>
      </c>
      <c r="H60" s="15">
        <v>18.100000000000001</v>
      </c>
      <c r="I60" s="6">
        <v>29.8</v>
      </c>
      <c r="J60" s="6">
        <v>-11.7</v>
      </c>
      <c r="K60" s="6">
        <f t="shared" si="0"/>
        <v>155</v>
      </c>
      <c r="L60" s="6">
        <f t="shared" si="1"/>
        <v>23.950000000000003</v>
      </c>
      <c r="M60" s="1">
        <v>5</v>
      </c>
      <c r="N60" s="1">
        <v>0.73787462630834433</v>
      </c>
      <c r="O60" s="1">
        <v>-0.11241950713431811</v>
      </c>
    </row>
    <row r="61" spans="1:15" x14ac:dyDescent="0.2">
      <c r="A61" s="18"/>
      <c r="B61" s="18"/>
      <c r="E61" s="6">
        <v>182</v>
      </c>
      <c r="F61" s="6">
        <v>228</v>
      </c>
      <c r="G61" s="6">
        <v>-46</v>
      </c>
      <c r="H61" s="15">
        <v>14.4</v>
      </c>
      <c r="I61" s="6">
        <v>22.4</v>
      </c>
      <c r="J61" s="6">
        <v>-7.9999999999999982</v>
      </c>
      <c r="K61" s="6">
        <f t="shared" si="0"/>
        <v>205</v>
      </c>
      <c r="L61" s="6">
        <f t="shared" si="1"/>
        <v>18.399999999999999</v>
      </c>
      <c r="M61" s="1">
        <v>6</v>
      </c>
      <c r="N61" s="1">
        <v>0.73787462630834433</v>
      </c>
      <c r="O61" s="1">
        <v>-0.11241950713431811</v>
      </c>
    </row>
    <row r="62" spans="1:15" x14ac:dyDescent="0.2">
      <c r="A62" s="18"/>
      <c r="B62" s="18"/>
      <c r="E62" s="6">
        <v>272</v>
      </c>
      <c r="F62" s="6">
        <v>206</v>
      </c>
      <c r="G62" s="6">
        <v>66</v>
      </c>
      <c r="H62" s="15">
        <v>12.3</v>
      </c>
      <c r="I62" s="6">
        <v>26.1</v>
      </c>
      <c r="J62" s="6">
        <v>-13.8</v>
      </c>
      <c r="K62" s="6">
        <f t="shared" si="0"/>
        <v>239</v>
      </c>
      <c r="L62" s="6">
        <f t="shared" si="1"/>
        <v>19.200000000000003</v>
      </c>
      <c r="M62" s="1">
        <v>7</v>
      </c>
      <c r="N62" s="1">
        <v>0.73787462630834433</v>
      </c>
      <c r="O62" s="1">
        <v>-0.11241950713431811</v>
      </c>
    </row>
    <row r="63" spans="1:15" x14ac:dyDescent="0.2">
      <c r="A63" s="18"/>
      <c r="B63" s="18"/>
      <c r="E63" s="6">
        <v>246</v>
      </c>
      <c r="F63" s="6">
        <v>258</v>
      </c>
      <c r="G63" s="6">
        <v>-12</v>
      </c>
      <c r="H63" s="15">
        <v>23.3</v>
      </c>
      <c r="I63" s="6">
        <v>25</v>
      </c>
      <c r="J63" s="6">
        <v>-1.6999999999999993</v>
      </c>
      <c r="K63" s="6">
        <f t="shared" si="0"/>
        <v>252</v>
      </c>
      <c r="L63" s="6">
        <f t="shared" si="1"/>
        <v>24.15</v>
      </c>
      <c r="M63" s="1">
        <v>8</v>
      </c>
      <c r="N63" s="1">
        <v>0.73787462630834433</v>
      </c>
      <c r="O63" s="1">
        <v>-0.11241950713431811</v>
      </c>
    </row>
    <row r="64" spans="1:15" x14ac:dyDescent="0.2">
      <c r="A64" s="7"/>
      <c r="B64" s="7"/>
      <c r="C64" s="10"/>
      <c r="D64" s="10"/>
      <c r="E64" s="22">
        <v>296</v>
      </c>
      <c r="F64" s="22">
        <v>187</v>
      </c>
      <c r="G64" s="22">
        <v>109</v>
      </c>
      <c r="H64" s="23">
        <v>17</v>
      </c>
      <c r="I64" s="22">
        <v>16.600000000000001</v>
      </c>
      <c r="J64" s="22">
        <v>0.39999999999999858</v>
      </c>
      <c r="K64" s="6">
        <f t="shared" si="0"/>
        <v>241.5</v>
      </c>
      <c r="L64" s="6">
        <f t="shared" si="1"/>
        <v>16.8</v>
      </c>
      <c r="M64" s="10">
        <v>9</v>
      </c>
      <c r="N64" s="1">
        <v>0.73787462630834433</v>
      </c>
      <c r="O64" s="1">
        <v>-0.11241950713431811</v>
      </c>
    </row>
    <row r="65" spans="1:15" x14ac:dyDescent="0.2">
      <c r="A65" s="81" t="s">
        <v>64</v>
      </c>
      <c r="B65" s="81"/>
      <c r="C65" s="81"/>
      <c r="D65" s="17" t="str">
        <f xml:space="preserve"> "n = "&amp;MAX(M65:M73)</f>
        <v>n = 9</v>
      </c>
      <c r="E65" s="6">
        <v>304</v>
      </c>
      <c r="F65" s="6">
        <v>308</v>
      </c>
      <c r="G65" s="6">
        <v>-4</v>
      </c>
      <c r="H65" s="15">
        <v>16</v>
      </c>
      <c r="I65" s="6">
        <v>13.3</v>
      </c>
      <c r="J65" s="6">
        <v>2.6999999999999993</v>
      </c>
      <c r="K65" s="6">
        <f t="shared" si="0"/>
        <v>306</v>
      </c>
      <c r="L65" s="6">
        <f t="shared" si="1"/>
        <v>14.65</v>
      </c>
      <c r="M65" s="1">
        <v>1</v>
      </c>
      <c r="N65" s="1">
        <v>0.73787462630834433</v>
      </c>
      <c r="O65" s="1">
        <v>-0.11241950713431811</v>
      </c>
    </row>
    <row r="66" spans="1:15" x14ac:dyDescent="0.2">
      <c r="A66" s="18"/>
      <c r="B66" s="18"/>
      <c r="C66" s="1" t="s">
        <v>66</v>
      </c>
      <c r="E66" s="6">
        <v>215</v>
      </c>
      <c r="F66" s="6">
        <v>198</v>
      </c>
      <c r="G66" s="6">
        <v>17</v>
      </c>
      <c r="H66" s="15">
        <v>17.899999999999999</v>
      </c>
      <c r="I66" s="6">
        <v>13.3</v>
      </c>
      <c r="J66" s="6">
        <v>4.5999999999999979</v>
      </c>
      <c r="K66" s="6">
        <f t="shared" si="0"/>
        <v>206.5</v>
      </c>
      <c r="L66" s="6">
        <f t="shared" si="1"/>
        <v>15.6</v>
      </c>
      <c r="M66" s="1">
        <v>2</v>
      </c>
      <c r="N66" s="1">
        <v>0.73787462630834433</v>
      </c>
      <c r="O66" s="1">
        <v>-0.11241950713431811</v>
      </c>
    </row>
    <row r="67" spans="1:15" x14ac:dyDescent="0.2">
      <c r="A67" s="18"/>
      <c r="B67" s="18"/>
      <c r="E67" s="6">
        <v>264</v>
      </c>
      <c r="F67" s="6">
        <v>260</v>
      </c>
      <c r="G67" s="6">
        <v>4</v>
      </c>
      <c r="H67" s="15">
        <v>19.399999999999999</v>
      </c>
      <c r="I67" s="6">
        <v>13.9</v>
      </c>
      <c r="J67" s="6">
        <v>5.4999999999999982</v>
      </c>
      <c r="K67" s="6">
        <f t="shared" ref="K67:K130" si="2" xml:space="preserve"> AVERAGE(E67:F67)</f>
        <v>262</v>
      </c>
      <c r="L67" s="6">
        <f t="shared" ref="L67:L130" si="3" xml:space="preserve"> AVERAGE(H67:I67)</f>
        <v>16.649999999999999</v>
      </c>
      <c r="M67" s="1">
        <v>3</v>
      </c>
      <c r="N67" s="1">
        <v>0.73787462630834433</v>
      </c>
      <c r="O67" s="1">
        <v>-0.11241950713431811</v>
      </c>
    </row>
    <row r="68" spans="1:15" x14ac:dyDescent="0.2">
      <c r="A68" s="18"/>
      <c r="B68" s="18"/>
      <c r="E68" s="6">
        <v>188</v>
      </c>
      <c r="F68" s="6">
        <v>212</v>
      </c>
      <c r="G68" s="6">
        <v>-24</v>
      </c>
      <c r="H68" s="15">
        <v>14.4</v>
      </c>
      <c r="I68" s="6">
        <v>18.399999999999999</v>
      </c>
      <c r="J68" s="6">
        <v>-3.9999999999999982</v>
      </c>
      <c r="K68" s="6">
        <f t="shared" si="2"/>
        <v>200</v>
      </c>
      <c r="L68" s="6">
        <f t="shared" si="3"/>
        <v>16.399999999999999</v>
      </c>
      <c r="M68" s="1">
        <v>4</v>
      </c>
      <c r="N68" s="1">
        <v>0.73787462630834433</v>
      </c>
      <c r="O68" s="1">
        <v>-0.11241950713431811</v>
      </c>
    </row>
    <row r="69" spans="1:15" x14ac:dyDescent="0.2">
      <c r="A69" s="18"/>
      <c r="B69" s="18"/>
      <c r="E69" s="6">
        <v>240</v>
      </c>
      <c r="F69" s="6">
        <v>225</v>
      </c>
      <c r="G69" s="6">
        <v>15</v>
      </c>
      <c r="H69" s="15">
        <v>16.100000000000001</v>
      </c>
      <c r="I69" s="6">
        <v>13.3</v>
      </c>
      <c r="J69" s="6">
        <v>2.8000000000000007</v>
      </c>
      <c r="K69" s="6">
        <f t="shared" si="2"/>
        <v>232.5</v>
      </c>
      <c r="L69" s="6">
        <f t="shared" si="3"/>
        <v>14.700000000000001</v>
      </c>
      <c r="M69" s="1">
        <v>5</v>
      </c>
      <c r="N69" s="1">
        <v>0.73787462630834433</v>
      </c>
      <c r="O69" s="1">
        <v>-0.11241950713431811</v>
      </c>
    </row>
    <row r="70" spans="1:15" x14ac:dyDescent="0.2">
      <c r="A70" s="18"/>
      <c r="B70" s="18"/>
      <c r="E70" s="6">
        <v>311</v>
      </c>
      <c r="F70" s="6">
        <v>284</v>
      </c>
      <c r="G70" s="6">
        <v>27</v>
      </c>
      <c r="H70" s="15">
        <v>13</v>
      </c>
      <c r="I70" s="6">
        <v>15.9</v>
      </c>
      <c r="J70" s="6">
        <v>-2.9000000000000004</v>
      </c>
      <c r="K70" s="6">
        <f t="shared" si="2"/>
        <v>297.5</v>
      </c>
      <c r="L70" s="6">
        <f t="shared" si="3"/>
        <v>14.45</v>
      </c>
      <c r="M70" s="1">
        <v>6</v>
      </c>
      <c r="N70" s="1">
        <v>0.73787462630834433</v>
      </c>
      <c r="O70" s="1">
        <v>-0.11241950713431811</v>
      </c>
    </row>
    <row r="71" spans="1:15" x14ac:dyDescent="0.2">
      <c r="A71" s="18"/>
      <c r="B71" s="18"/>
      <c r="E71" s="6">
        <v>273</v>
      </c>
      <c r="F71" s="6">
        <v>241</v>
      </c>
      <c r="G71" s="6">
        <v>32</v>
      </c>
      <c r="H71" s="15">
        <v>11</v>
      </c>
      <c r="I71" s="6">
        <v>24</v>
      </c>
      <c r="J71" s="6">
        <v>-13</v>
      </c>
      <c r="K71" s="6">
        <f t="shared" si="2"/>
        <v>257</v>
      </c>
      <c r="L71" s="6">
        <f t="shared" si="3"/>
        <v>17.5</v>
      </c>
      <c r="M71" s="1">
        <v>7</v>
      </c>
      <c r="N71" s="1">
        <v>0.73787462630834433</v>
      </c>
      <c r="O71" s="1">
        <v>-0.11241950713431811</v>
      </c>
    </row>
    <row r="72" spans="1:15" x14ac:dyDescent="0.2">
      <c r="A72" s="18"/>
      <c r="B72" s="18"/>
      <c r="E72" s="6">
        <v>283</v>
      </c>
      <c r="F72" s="6">
        <v>269</v>
      </c>
      <c r="G72" s="6">
        <v>14</v>
      </c>
      <c r="H72" s="15">
        <v>14.3</v>
      </c>
      <c r="I72" s="6">
        <v>16.7</v>
      </c>
      <c r="J72" s="6">
        <v>-2.3999999999999986</v>
      </c>
      <c r="K72" s="6">
        <f t="shared" si="2"/>
        <v>276</v>
      </c>
      <c r="L72" s="6">
        <f t="shared" si="3"/>
        <v>15.5</v>
      </c>
      <c r="M72" s="1">
        <v>8</v>
      </c>
      <c r="N72" s="1">
        <v>0.73787462630834433</v>
      </c>
      <c r="O72" s="1">
        <v>-0.11241950713431811</v>
      </c>
    </row>
    <row r="73" spans="1:15" x14ac:dyDescent="0.2">
      <c r="A73" s="7"/>
      <c r="B73" s="7"/>
      <c r="C73" s="10"/>
      <c r="D73" s="10"/>
      <c r="E73" s="22">
        <v>252</v>
      </c>
      <c r="F73" s="22">
        <v>203</v>
      </c>
      <c r="G73" s="22">
        <v>49</v>
      </c>
      <c r="H73" s="23">
        <v>10.199999999999999</v>
      </c>
      <c r="I73" s="22">
        <v>16.8</v>
      </c>
      <c r="J73" s="22">
        <v>-6.6000000000000014</v>
      </c>
      <c r="K73" s="6">
        <f t="shared" si="2"/>
        <v>227.5</v>
      </c>
      <c r="L73" s="6">
        <f t="shared" si="3"/>
        <v>13.5</v>
      </c>
      <c r="M73" s="10">
        <v>9</v>
      </c>
      <c r="N73" s="1">
        <v>0.73787462630834433</v>
      </c>
      <c r="O73" s="1">
        <v>-0.11241950713431811</v>
      </c>
    </row>
    <row r="74" spans="1:15" x14ac:dyDescent="0.2">
      <c r="A74" s="81" t="s">
        <v>67</v>
      </c>
      <c r="B74" s="81"/>
      <c r="C74" s="81"/>
      <c r="D74" s="17" t="str">
        <f xml:space="preserve"> "n = "&amp;MAX(M74:M93)</f>
        <v>n = 10</v>
      </c>
      <c r="E74" s="6">
        <v>220</v>
      </c>
      <c r="F74" s="6">
        <v>225</v>
      </c>
      <c r="G74" s="6">
        <v>-5</v>
      </c>
      <c r="H74" s="15">
        <v>15.26</v>
      </c>
      <c r="I74" s="6">
        <v>14.55</v>
      </c>
      <c r="J74" s="6">
        <v>0.70999999999999908</v>
      </c>
      <c r="K74" s="6">
        <f t="shared" si="2"/>
        <v>222.5</v>
      </c>
      <c r="L74" s="6">
        <f t="shared" si="3"/>
        <v>14.905000000000001</v>
      </c>
      <c r="M74" s="1">
        <v>1</v>
      </c>
      <c r="N74" s="1">
        <v>0.97889579778377078</v>
      </c>
      <c r="O74" s="1">
        <v>0.84970762568997049</v>
      </c>
    </row>
    <row r="75" spans="1:15" x14ac:dyDescent="0.2">
      <c r="A75" s="18"/>
      <c r="B75" s="18"/>
      <c r="C75" s="1" t="s">
        <v>66</v>
      </c>
      <c r="E75" s="6">
        <v>195</v>
      </c>
      <c r="F75" s="6">
        <v>201</v>
      </c>
      <c r="G75" s="6">
        <v>-6</v>
      </c>
      <c r="H75" s="15">
        <v>14.04</v>
      </c>
      <c r="I75" s="6">
        <v>15.54</v>
      </c>
      <c r="J75" s="6">
        <v>-1.5</v>
      </c>
      <c r="K75" s="6">
        <f t="shared" si="2"/>
        <v>198</v>
      </c>
      <c r="L75" s="6">
        <f t="shared" si="3"/>
        <v>14.79</v>
      </c>
      <c r="M75" s="1">
        <v>2</v>
      </c>
      <c r="N75" s="1">
        <v>0.97889579778377078</v>
      </c>
      <c r="O75" s="1">
        <v>0.84970762568997049</v>
      </c>
    </row>
    <row r="76" spans="1:15" x14ac:dyDescent="0.2">
      <c r="A76" s="18"/>
      <c r="B76" s="18"/>
      <c r="E76" s="6">
        <v>297</v>
      </c>
      <c r="F76" s="6">
        <v>286</v>
      </c>
      <c r="G76" s="6">
        <v>11</v>
      </c>
      <c r="H76" s="15">
        <v>16.95</v>
      </c>
      <c r="I76" s="6">
        <v>23.21</v>
      </c>
      <c r="J76" s="6">
        <v>-6.2600000000000016</v>
      </c>
      <c r="K76" s="6">
        <f t="shared" si="2"/>
        <v>291.5</v>
      </c>
      <c r="L76" s="6">
        <f t="shared" si="3"/>
        <v>20.079999999999998</v>
      </c>
      <c r="M76" s="1">
        <v>3</v>
      </c>
      <c r="N76" s="1">
        <v>0.97889579778377078</v>
      </c>
      <c r="O76" s="1">
        <v>0.84970762568997049</v>
      </c>
    </row>
    <row r="77" spans="1:15" x14ac:dyDescent="0.2">
      <c r="A77" s="18"/>
      <c r="B77" s="18"/>
      <c r="E77" s="6">
        <v>240</v>
      </c>
      <c r="F77" s="6">
        <v>217</v>
      </c>
      <c r="G77" s="6">
        <v>23</v>
      </c>
      <c r="H77" s="15">
        <v>12.3</v>
      </c>
      <c r="I77" s="6">
        <v>20.25</v>
      </c>
      <c r="J77" s="6">
        <v>-7.9499999999999993</v>
      </c>
      <c r="K77" s="6">
        <f t="shared" si="2"/>
        <v>228.5</v>
      </c>
      <c r="L77" s="6">
        <f t="shared" si="3"/>
        <v>16.274999999999999</v>
      </c>
      <c r="M77" s="1">
        <v>4</v>
      </c>
      <c r="N77" s="1">
        <v>0.97889579778377078</v>
      </c>
      <c r="O77" s="1">
        <v>0.84970762568997049</v>
      </c>
    </row>
    <row r="78" spans="1:15" x14ac:dyDescent="0.2">
      <c r="A78" s="18"/>
      <c r="B78" s="18"/>
      <c r="E78" s="6">
        <v>193</v>
      </c>
      <c r="F78" s="6">
        <v>195</v>
      </c>
      <c r="G78" s="6">
        <v>-2</v>
      </c>
      <c r="H78" s="15">
        <v>8.11</v>
      </c>
      <c r="I78" s="6">
        <v>4.1100000000000003</v>
      </c>
      <c r="J78" s="6">
        <v>3.9999999999999991</v>
      </c>
      <c r="K78" s="6">
        <f t="shared" si="2"/>
        <v>194</v>
      </c>
      <c r="L78" s="6">
        <f t="shared" si="3"/>
        <v>6.1099999999999994</v>
      </c>
      <c r="M78" s="1">
        <v>5</v>
      </c>
      <c r="N78" s="1">
        <v>0.97889579778377078</v>
      </c>
      <c r="O78" s="1">
        <v>0.84970762568997049</v>
      </c>
    </row>
    <row r="79" spans="1:15" x14ac:dyDescent="0.2">
      <c r="A79" s="18"/>
      <c r="B79" s="18"/>
      <c r="E79" s="6">
        <v>179</v>
      </c>
      <c r="F79" s="6">
        <v>178</v>
      </c>
      <c r="G79" s="6">
        <v>1</v>
      </c>
      <c r="H79" s="15">
        <v>5.13</v>
      </c>
      <c r="I79" s="6">
        <v>5.61</v>
      </c>
      <c r="J79" s="6">
        <v>-0.48000000000000043</v>
      </c>
      <c r="K79" s="6">
        <f t="shared" si="2"/>
        <v>178.5</v>
      </c>
      <c r="L79" s="6">
        <f t="shared" si="3"/>
        <v>5.37</v>
      </c>
      <c r="M79" s="1">
        <v>6</v>
      </c>
      <c r="N79" s="1">
        <v>0.97889579778377078</v>
      </c>
      <c r="O79" s="1">
        <v>0.84970762568997049</v>
      </c>
    </row>
    <row r="80" spans="1:15" x14ac:dyDescent="0.2">
      <c r="A80" s="18"/>
      <c r="B80" s="18"/>
      <c r="E80" s="6">
        <v>164</v>
      </c>
      <c r="F80" s="6">
        <v>168</v>
      </c>
      <c r="G80" s="6">
        <v>-4</v>
      </c>
      <c r="H80" s="15">
        <v>8.1199999999999992</v>
      </c>
      <c r="I80" s="6">
        <v>7.1</v>
      </c>
      <c r="J80" s="6">
        <v>1.0199999999999996</v>
      </c>
      <c r="K80" s="6">
        <f t="shared" si="2"/>
        <v>166</v>
      </c>
      <c r="L80" s="6">
        <f t="shared" si="3"/>
        <v>7.6099999999999994</v>
      </c>
      <c r="M80" s="1">
        <v>7</v>
      </c>
      <c r="N80" s="1">
        <v>0.97889579778377078</v>
      </c>
      <c r="O80" s="1">
        <v>0.84970762568997049</v>
      </c>
    </row>
    <row r="81" spans="1:15" x14ac:dyDescent="0.2">
      <c r="A81" s="18"/>
      <c r="B81" s="18"/>
      <c r="E81" s="6">
        <v>188</v>
      </c>
      <c r="F81" s="6">
        <v>189</v>
      </c>
      <c r="G81" s="6">
        <v>-1</v>
      </c>
      <c r="H81" s="15">
        <v>8.52</v>
      </c>
      <c r="I81" s="6">
        <v>8.0399999999999991</v>
      </c>
      <c r="J81" s="6">
        <v>0.48000000000000043</v>
      </c>
      <c r="K81" s="6">
        <f t="shared" si="2"/>
        <v>188.5</v>
      </c>
      <c r="L81" s="6">
        <f t="shared" si="3"/>
        <v>8.2799999999999994</v>
      </c>
      <c r="M81" s="1">
        <v>8</v>
      </c>
      <c r="N81" s="1">
        <v>0.97889579778377078</v>
      </c>
      <c r="O81" s="1">
        <v>0.84970762568997049</v>
      </c>
    </row>
    <row r="82" spans="1:15" x14ac:dyDescent="0.2">
      <c r="A82" s="18"/>
      <c r="B82" s="18"/>
      <c r="E82" s="6">
        <v>209</v>
      </c>
      <c r="F82" s="6">
        <v>209</v>
      </c>
      <c r="G82" s="6">
        <v>0</v>
      </c>
      <c r="H82" s="15">
        <v>8.07</v>
      </c>
      <c r="I82" s="6">
        <v>8.15</v>
      </c>
      <c r="J82" s="6">
        <v>-8.0000000000000071E-2</v>
      </c>
      <c r="K82" s="6">
        <f t="shared" si="2"/>
        <v>209</v>
      </c>
      <c r="L82" s="6">
        <f t="shared" si="3"/>
        <v>8.11</v>
      </c>
      <c r="M82" s="1">
        <v>9</v>
      </c>
      <c r="N82" s="1">
        <v>0.97889579778377078</v>
      </c>
      <c r="O82" s="1">
        <v>0.84970762568997049</v>
      </c>
    </row>
    <row r="83" spans="1:15" x14ac:dyDescent="0.2">
      <c r="A83" s="7"/>
      <c r="B83" s="7"/>
      <c r="C83" s="10"/>
      <c r="D83" s="10"/>
      <c r="E83" s="22">
        <v>260</v>
      </c>
      <c r="F83" s="22">
        <v>254</v>
      </c>
      <c r="G83" s="22">
        <v>6</v>
      </c>
      <c r="H83" s="23">
        <v>15.08</v>
      </c>
      <c r="I83" s="22">
        <v>14.03</v>
      </c>
      <c r="J83" s="22">
        <v>1.0500000000000007</v>
      </c>
      <c r="K83" s="6">
        <f t="shared" si="2"/>
        <v>257</v>
      </c>
      <c r="L83" s="6">
        <f t="shared" si="3"/>
        <v>14.555</v>
      </c>
      <c r="M83" s="10">
        <v>10</v>
      </c>
      <c r="N83" s="1">
        <v>0.97889579778377078</v>
      </c>
      <c r="O83" s="1">
        <v>0.84970762568997049</v>
      </c>
    </row>
    <row r="84" spans="1:15" x14ac:dyDescent="0.2">
      <c r="A84" s="81" t="s">
        <v>67</v>
      </c>
      <c r="B84" s="81"/>
      <c r="C84" s="81"/>
      <c r="D84" s="17" t="str">
        <f xml:space="preserve"> "n = "&amp;MAX(M84:M103)</f>
        <v>n = 10</v>
      </c>
      <c r="E84" s="6">
        <v>220</v>
      </c>
      <c r="F84" s="6">
        <v>228</v>
      </c>
      <c r="G84" s="6">
        <v>-8</v>
      </c>
      <c r="H84" s="20">
        <v>15.26</v>
      </c>
      <c r="I84" s="6">
        <v>13.54</v>
      </c>
      <c r="J84" s="6">
        <v>1.7200000000000006</v>
      </c>
      <c r="K84" s="6">
        <f t="shared" si="2"/>
        <v>224</v>
      </c>
      <c r="L84" s="6">
        <f t="shared" si="3"/>
        <v>14.399999999999999</v>
      </c>
      <c r="M84" s="1">
        <v>1</v>
      </c>
      <c r="N84" s="1">
        <v>0.97889579778377078</v>
      </c>
      <c r="O84" s="1">
        <v>0.84970762568997049</v>
      </c>
    </row>
    <row r="85" spans="1:15" x14ac:dyDescent="0.2">
      <c r="A85" s="18"/>
      <c r="B85" s="18"/>
      <c r="C85" s="1" t="s">
        <v>74</v>
      </c>
      <c r="E85" s="6">
        <v>195</v>
      </c>
      <c r="F85" s="6">
        <v>204</v>
      </c>
      <c r="G85" s="6">
        <v>-9</v>
      </c>
      <c r="H85" s="15">
        <v>14.04</v>
      </c>
      <c r="I85" s="6">
        <v>14.38</v>
      </c>
      <c r="J85" s="6">
        <v>-0.34000000000000163</v>
      </c>
      <c r="K85" s="6">
        <f t="shared" si="2"/>
        <v>199.5</v>
      </c>
      <c r="L85" s="6">
        <f t="shared" si="3"/>
        <v>14.21</v>
      </c>
      <c r="M85" s="1">
        <v>2</v>
      </c>
      <c r="N85" s="1">
        <v>0.97889579778377078</v>
      </c>
      <c r="O85" s="1">
        <v>0.84970762568997049</v>
      </c>
    </row>
    <row r="86" spans="1:15" x14ac:dyDescent="0.2">
      <c r="A86" s="18"/>
      <c r="B86" s="18"/>
      <c r="E86" s="6">
        <v>297</v>
      </c>
      <c r="F86" s="6">
        <v>287</v>
      </c>
      <c r="G86" s="6">
        <v>10</v>
      </c>
      <c r="H86" s="15">
        <v>16.95</v>
      </c>
      <c r="I86" s="6">
        <v>22.72</v>
      </c>
      <c r="J86" s="6">
        <v>-5.77</v>
      </c>
      <c r="K86" s="6">
        <f t="shared" si="2"/>
        <v>292</v>
      </c>
      <c r="L86" s="6">
        <f t="shared" si="3"/>
        <v>19.835000000000001</v>
      </c>
      <c r="M86" s="1">
        <v>3</v>
      </c>
      <c r="N86" s="1">
        <v>0.97889579778377078</v>
      </c>
      <c r="O86" s="1">
        <v>0.84970762568997049</v>
      </c>
    </row>
    <row r="87" spans="1:15" x14ac:dyDescent="0.2">
      <c r="A87" s="18"/>
      <c r="B87" s="18"/>
      <c r="E87" s="6">
        <v>240</v>
      </c>
      <c r="F87" s="6">
        <v>217</v>
      </c>
      <c r="G87" s="6">
        <v>23</v>
      </c>
      <c r="H87" s="15">
        <v>12.3</v>
      </c>
      <c r="I87" s="6">
        <v>20.239999999999998</v>
      </c>
      <c r="J87" s="6">
        <v>-7.9399999999999977</v>
      </c>
      <c r="K87" s="6">
        <f t="shared" si="2"/>
        <v>228.5</v>
      </c>
      <c r="L87" s="6">
        <f t="shared" si="3"/>
        <v>16.27</v>
      </c>
      <c r="M87" s="1">
        <v>4</v>
      </c>
      <c r="N87" s="1">
        <v>0.97889579778377078</v>
      </c>
      <c r="O87" s="1">
        <v>0.84970762568997049</v>
      </c>
    </row>
    <row r="88" spans="1:15" x14ac:dyDescent="0.2">
      <c r="A88" s="18"/>
      <c r="B88" s="18"/>
      <c r="E88" s="6">
        <v>193</v>
      </c>
      <c r="F88" s="6">
        <v>196</v>
      </c>
      <c r="G88" s="6">
        <v>-3</v>
      </c>
      <c r="H88" s="15">
        <v>8.11</v>
      </c>
      <c r="I88" s="6">
        <v>3.85</v>
      </c>
      <c r="J88" s="6">
        <v>4.26</v>
      </c>
      <c r="K88" s="6">
        <f t="shared" si="2"/>
        <v>194.5</v>
      </c>
      <c r="L88" s="6">
        <f t="shared" si="3"/>
        <v>5.9799999999999995</v>
      </c>
      <c r="M88" s="1">
        <v>5</v>
      </c>
      <c r="N88" s="1">
        <v>0.97889579778377078</v>
      </c>
      <c r="O88" s="1">
        <v>0.84970762568997049</v>
      </c>
    </row>
    <row r="89" spans="1:15" x14ac:dyDescent="0.2">
      <c r="A89" s="18"/>
      <c r="B89" s="18"/>
      <c r="E89" s="6">
        <v>179</v>
      </c>
      <c r="F89" s="6">
        <v>178</v>
      </c>
      <c r="G89" s="6">
        <v>1</v>
      </c>
      <c r="H89" s="15">
        <v>5.13</v>
      </c>
      <c r="I89" s="6">
        <v>5.54</v>
      </c>
      <c r="J89" s="6">
        <v>-0.41000000000000014</v>
      </c>
      <c r="K89" s="6">
        <f t="shared" si="2"/>
        <v>178.5</v>
      </c>
      <c r="L89" s="6">
        <f t="shared" si="3"/>
        <v>5.335</v>
      </c>
      <c r="M89" s="1">
        <v>6</v>
      </c>
      <c r="N89" s="1">
        <v>0.97889579778377078</v>
      </c>
      <c r="O89" s="1">
        <v>0.84970762568997049</v>
      </c>
    </row>
    <row r="90" spans="1:15" x14ac:dyDescent="0.2">
      <c r="A90" s="18"/>
      <c r="B90" s="18"/>
      <c r="E90" s="6">
        <v>164</v>
      </c>
      <c r="F90" s="6">
        <v>170</v>
      </c>
      <c r="G90" s="6">
        <v>-6</v>
      </c>
      <c r="H90" s="15">
        <v>8.1199999999999992</v>
      </c>
      <c r="I90" s="6">
        <v>6.46</v>
      </c>
      <c r="J90" s="6">
        <v>1.6599999999999993</v>
      </c>
      <c r="K90" s="6">
        <f t="shared" si="2"/>
        <v>167</v>
      </c>
      <c r="L90" s="6">
        <f t="shared" si="3"/>
        <v>7.2899999999999991</v>
      </c>
      <c r="M90" s="1">
        <v>7</v>
      </c>
      <c r="N90" s="1">
        <v>0.97889579778377078</v>
      </c>
      <c r="O90" s="1">
        <v>0.84970762568997049</v>
      </c>
    </row>
    <row r="91" spans="1:15" x14ac:dyDescent="0.2">
      <c r="A91" s="18"/>
      <c r="B91" s="18"/>
      <c r="E91" s="6">
        <v>188</v>
      </c>
      <c r="F91" s="6">
        <v>189</v>
      </c>
      <c r="G91" s="6">
        <v>-1</v>
      </c>
      <c r="H91" s="15">
        <v>8.52</v>
      </c>
      <c r="I91" s="6">
        <v>8.0299999999999994</v>
      </c>
      <c r="J91" s="6">
        <v>0.49000000000000021</v>
      </c>
      <c r="K91" s="6">
        <f t="shared" si="2"/>
        <v>188.5</v>
      </c>
      <c r="L91" s="6">
        <f t="shared" si="3"/>
        <v>8.2749999999999986</v>
      </c>
      <c r="M91" s="1">
        <v>8</v>
      </c>
      <c r="N91" s="1">
        <v>0.97889579778377078</v>
      </c>
      <c r="O91" s="1">
        <v>0.84970762568997049</v>
      </c>
    </row>
    <row r="92" spans="1:15" x14ac:dyDescent="0.2">
      <c r="A92" s="18"/>
      <c r="B92" s="18"/>
      <c r="E92" s="6">
        <v>209</v>
      </c>
      <c r="F92" s="6">
        <v>207</v>
      </c>
      <c r="G92" s="6">
        <v>2</v>
      </c>
      <c r="H92" s="15">
        <v>8.07</v>
      </c>
      <c r="I92" s="6">
        <v>8.83</v>
      </c>
      <c r="J92" s="6">
        <v>-0.75999999999999979</v>
      </c>
      <c r="K92" s="6">
        <f t="shared" si="2"/>
        <v>208</v>
      </c>
      <c r="L92" s="6">
        <f t="shared" si="3"/>
        <v>8.4499999999999993</v>
      </c>
      <c r="M92" s="1">
        <v>9</v>
      </c>
      <c r="N92" s="1">
        <v>0.97889579778377078</v>
      </c>
      <c r="O92" s="1">
        <v>0.84970762568997049</v>
      </c>
    </row>
    <row r="93" spans="1:15" x14ac:dyDescent="0.2">
      <c r="A93" s="7"/>
      <c r="B93" s="7"/>
      <c r="C93" s="10"/>
      <c r="D93" s="10"/>
      <c r="E93" s="22">
        <v>260</v>
      </c>
      <c r="F93" s="22">
        <v>256</v>
      </c>
      <c r="G93" s="22">
        <v>4</v>
      </c>
      <c r="H93" s="23">
        <v>15.08</v>
      </c>
      <c r="I93" s="22">
        <v>13.37</v>
      </c>
      <c r="J93" s="22">
        <v>1.7100000000000009</v>
      </c>
      <c r="K93" s="6">
        <f t="shared" si="2"/>
        <v>258</v>
      </c>
      <c r="L93" s="6">
        <f t="shared" si="3"/>
        <v>14.225</v>
      </c>
      <c r="M93" s="10">
        <v>10</v>
      </c>
      <c r="N93" s="1">
        <v>0.97889579778377078</v>
      </c>
      <c r="O93" s="1">
        <v>0.84970762568997049</v>
      </c>
    </row>
    <row r="94" spans="1:15" x14ac:dyDescent="0.2">
      <c r="A94" s="81" t="s">
        <v>0</v>
      </c>
      <c r="B94" s="81"/>
      <c r="C94" s="81"/>
      <c r="D94" s="17" t="str">
        <f xml:space="preserve"> "n = "&amp;MAX(M94:M99)</f>
        <v>n = 6</v>
      </c>
      <c r="E94" s="6">
        <v>375</v>
      </c>
      <c r="F94" s="6">
        <v>324</v>
      </c>
      <c r="G94" s="6">
        <v>51</v>
      </c>
      <c r="H94" s="15">
        <v>12.4</v>
      </c>
      <c r="I94" s="6">
        <v>25.8</v>
      </c>
      <c r="J94" s="6">
        <v>-13.4</v>
      </c>
      <c r="K94" s="6">
        <f t="shared" si="2"/>
        <v>349.5</v>
      </c>
      <c r="L94" s="6">
        <f t="shared" si="3"/>
        <v>19.100000000000001</v>
      </c>
      <c r="M94" s="1">
        <v>1</v>
      </c>
      <c r="N94" s="1">
        <v>0.79674425845287844</v>
      </c>
      <c r="O94" s="1">
        <v>-0.38108653368596573</v>
      </c>
    </row>
    <row r="95" spans="1:15" x14ac:dyDescent="0.2">
      <c r="A95" s="18"/>
      <c r="B95" s="18"/>
      <c r="C95" s="1" t="s">
        <v>46</v>
      </c>
      <c r="E95" s="6">
        <v>380</v>
      </c>
      <c r="F95" s="6">
        <v>371</v>
      </c>
      <c r="G95" s="6">
        <v>9</v>
      </c>
      <c r="H95" s="15">
        <v>12.9</v>
      </c>
      <c r="I95" s="6">
        <v>21.8</v>
      </c>
      <c r="J95" s="6">
        <v>-8.9</v>
      </c>
      <c r="K95" s="6">
        <f t="shared" si="2"/>
        <v>375.5</v>
      </c>
      <c r="L95" s="6">
        <f t="shared" si="3"/>
        <v>17.350000000000001</v>
      </c>
      <c r="M95" s="1">
        <v>2</v>
      </c>
      <c r="N95" s="1">
        <v>0.79674425845287844</v>
      </c>
      <c r="O95" s="1">
        <v>-0.38108653368596573</v>
      </c>
    </row>
    <row r="96" spans="1:15" x14ac:dyDescent="0.2">
      <c r="A96" s="18"/>
      <c r="B96" s="18"/>
      <c r="E96" s="6">
        <v>418</v>
      </c>
      <c r="F96" s="6">
        <v>357</v>
      </c>
      <c r="G96" s="6">
        <v>61</v>
      </c>
      <c r="H96" s="15">
        <v>15</v>
      </c>
      <c r="I96" s="6">
        <v>25.9</v>
      </c>
      <c r="J96" s="6">
        <v>-10.899999999999999</v>
      </c>
      <c r="K96" s="6">
        <f t="shared" si="2"/>
        <v>387.5</v>
      </c>
      <c r="L96" s="6">
        <f t="shared" si="3"/>
        <v>20.45</v>
      </c>
      <c r="M96" s="1">
        <v>3</v>
      </c>
      <c r="N96" s="1">
        <v>0.79674425845287844</v>
      </c>
      <c r="O96" s="1">
        <v>-0.38108653368596573</v>
      </c>
    </row>
    <row r="97" spans="1:15" x14ac:dyDescent="0.2">
      <c r="A97" s="18"/>
      <c r="B97" s="18"/>
      <c r="E97" s="6">
        <v>411</v>
      </c>
      <c r="F97" s="6">
        <v>343</v>
      </c>
      <c r="G97" s="6">
        <v>68</v>
      </c>
      <c r="H97" s="15">
        <v>15.4</v>
      </c>
      <c r="I97" s="6">
        <v>20.9</v>
      </c>
      <c r="J97" s="6">
        <v>-5.4999999999999982</v>
      </c>
      <c r="K97" s="6">
        <f t="shared" si="2"/>
        <v>377</v>
      </c>
      <c r="L97" s="6">
        <f t="shared" si="3"/>
        <v>18.149999999999999</v>
      </c>
      <c r="M97" s="1">
        <v>4</v>
      </c>
      <c r="N97" s="1">
        <v>0.79674425845287844</v>
      </c>
      <c r="O97" s="1">
        <v>-0.38108653368596573</v>
      </c>
    </row>
    <row r="98" spans="1:15" x14ac:dyDescent="0.2">
      <c r="A98" s="18"/>
      <c r="B98" s="18"/>
      <c r="E98" s="6">
        <v>365</v>
      </c>
      <c r="F98" s="6">
        <v>313</v>
      </c>
      <c r="G98" s="6">
        <v>52</v>
      </c>
      <c r="H98" s="15">
        <v>15.4</v>
      </c>
      <c r="I98" s="6">
        <v>31.6</v>
      </c>
      <c r="J98" s="6">
        <v>-16.200000000000003</v>
      </c>
      <c r="K98" s="6">
        <f t="shared" si="2"/>
        <v>339</v>
      </c>
      <c r="L98" s="6">
        <f t="shared" si="3"/>
        <v>23.5</v>
      </c>
      <c r="M98" s="1">
        <v>5</v>
      </c>
      <c r="N98" s="1">
        <v>0.79674425845287844</v>
      </c>
      <c r="O98" s="1">
        <v>-0.38108653368596573</v>
      </c>
    </row>
    <row r="99" spans="1:15" x14ac:dyDescent="0.2">
      <c r="A99" s="7"/>
      <c r="B99" s="7"/>
      <c r="C99" s="10"/>
      <c r="D99" s="10"/>
      <c r="E99" s="22">
        <v>464</v>
      </c>
      <c r="F99" s="22">
        <v>395</v>
      </c>
      <c r="G99" s="22">
        <v>69</v>
      </c>
      <c r="H99" s="23">
        <v>21.7</v>
      </c>
      <c r="I99" s="22">
        <v>19.7</v>
      </c>
      <c r="J99" s="22">
        <v>2</v>
      </c>
      <c r="K99" s="6">
        <f t="shared" si="2"/>
        <v>429.5</v>
      </c>
      <c r="L99" s="6">
        <f t="shared" si="3"/>
        <v>20.7</v>
      </c>
      <c r="M99" s="10">
        <v>6</v>
      </c>
      <c r="N99" s="1">
        <v>0.79674425845287844</v>
      </c>
      <c r="O99" s="1">
        <v>-0.38108653368596573</v>
      </c>
    </row>
    <row r="100" spans="1:15" x14ac:dyDescent="0.2">
      <c r="A100" s="81" t="s">
        <v>68</v>
      </c>
      <c r="B100" s="81"/>
      <c r="C100" s="81"/>
      <c r="D100" s="17" t="str">
        <f xml:space="preserve"> "n = "&amp;MAX(M100:M119)</f>
        <v>n = 12</v>
      </c>
      <c r="E100" s="6">
        <v>215.39999999999998</v>
      </c>
      <c r="F100" s="6">
        <v>194.99999999999997</v>
      </c>
      <c r="G100" s="6">
        <v>20.400000000000006</v>
      </c>
      <c r="H100" s="15">
        <v>29.5</v>
      </c>
      <c r="I100" s="6">
        <v>33.700000000000003</v>
      </c>
      <c r="J100" s="6">
        <v>-4.2000000000000028</v>
      </c>
      <c r="K100" s="6">
        <f t="shared" si="2"/>
        <v>205.2</v>
      </c>
      <c r="L100" s="6">
        <f t="shared" si="3"/>
        <v>31.6</v>
      </c>
      <c r="M100" s="1">
        <v>1</v>
      </c>
      <c r="N100" s="1">
        <v>0.70582760868381866</v>
      </c>
      <c r="O100" s="1">
        <v>0.60251136797863547</v>
      </c>
    </row>
    <row r="101" spans="1:15" x14ac:dyDescent="0.2">
      <c r="A101" s="18"/>
      <c r="B101" s="18"/>
      <c r="C101" s="1" t="s">
        <v>46</v>
      </c>
      <c r="E101" s="6">
        <v>236.54999999999998</v>
      </c>
      <c r="F101" s="6">
        <v>224.64999999999998</v>
      </c>
      <c r="G101" s="6">
        <v>11.900000000000006</v>
      </c>
      <c r="H101" s="15">
        <v>19.200000000000003</v>
      </c>
      <c r="I101" s="6">
        <v>30.400000000000002</v>
      </c>
      <c r="J101" s="6">
        <v>-11.2</v>
      </c>
      <c r="K101" s="6">
        <f t="shared" si="2"/>
        <v>230.59999999999997</v>
      </c>
      <c r="L101" s="6">
        <f t="shared" si="3"/>
        <v>24.800000000000004</v>
      </c>
      <c r="M101" s="1">
        <v>2</v>
      </c>
      <c r="N101" s="1">
        <v>0.70582760868381866</v>
      </c>
      <c r="O101" s="1">
        <v>0.60251136797863547</v>
      </c>
    </row>
    <row r="102" spans="1:15" x14ac:dyDescent="0.2">
      <c r="A102" s="18"/>
      <c r="B102" s="18"/>
      <c r="E102" s="6">
        <v>226.54999999999998</v>
      </c>
      <c r="F102" s="6">
        <v>222.85</v>
      </c>
      <c r="G102" s="6">
        <v>3.6999999999999886</v>
      </c>
      <c r="H102" s="15">
        <v>19.899999999999999</v>
      </c>
      <c r="I102" s="6">
        <v>22.5</v>
      </c>
      <c r="J102" s="6">
        <v>-2.6000000000000014</v>
      </c>
      <c r="K102" s="6">
        <f t="shared" si="2"/>
        <v>224.7</v>
      </c>
      <c r="L102" s="6">
        <f t="shared" si="3"/>
        <v>21.2</v>
      </c>
      <c r="M102" s="1">
        <v>3</v>
      </c>
      <c r="N102" s="1">
        <v>0.70582760868381866</v>
      </c>
      <c r="O102" s="1">
        <v>0.60251136797863547</v>
      </c>
    </row>
    <row r="103" spans="1:15" x14ac:dyDescent="0.2">
      <c r="A103" s="18"/>
      <c r="B103" s="18"/>
      <c r="E103" s="6">
        <v>214.04999999999998</v>
      </c>
      <c r="F103" s="6">
        <v>224.14999999999998</v>
      </c>
      <c r="G103" s="6">
        <v>-10.099999999999994</v>
      </c>
      <c r="H103" s="15">
        <v>17.350000000000001</v>
      </c>
      <c r="I103" s="6">
        <v>24.650000000000002</v>
      </c>
      <c r="J103" s="6">
        <v>-7.3000000000000007</v>
      </c>
      <c r="K103" s="6">
        <f t="shared" si="2"/>
        <v>219.09999999999997</v>
      </c>
      <c r="L103" s="6">
        <f t="shared" si="3"/>
        <v>21</v>
      </c>
      <c r="M103" s="1">
        <v>4</v>
      </c>
      <c r="N103" s="1">
        <v>0.70582760868381866</v>
      </c>
      <c r="O103" s="1">
        <v>0.60251136797863547</v>
      </c>
    </row>
    <row r="104" spans="1:15" x14ac:dyDescent="0.2">
      <c r="A104" s="18"/>
      <c r="B104" s="18"/>
      <c r="E104" s="6">
        <v>223</v>
      </c>
      <c r="F104" s="6">
        <v>240</v>
      </c>
      <c r="G104" s="6">
        <v>-17</v>
      </c>
      <c r="H104" s="15">
        <v>14.5</v>
      </c>
      <c r="I104" s="6">
        <v>23.9</v>
      </c>
      <c r="J104" s="6">
        <v>-9.3999999999999986</v>
      </c>
      <c r="K104" s="6">
        <f t="shared" si="2"/>
        <v>231.5</v>
      </c>
      <c r="L104" s="6">
        <f t="shared" si="3"/>
        <v>19.2</v>
      </c>
      <c r="M104" s="1">
        <v>5</v>
      </c>
      <c r="N104" s="1">
        <v>0.70582760868381866</v>
      </c>
      <c r="O104" s="1">
        <v>0.60251136797863547</v>
      </c>
    </row>
    <row r="105" spans="1:15" x14ac:dyDescent="0.2">
      <c r="A105" s="18"/>
      <c r="B105" s="18"/>
      <c r="E105" s="6">
        <v>214.45</v>
      </c>
      <c r="F105" s="6">
        <v>244.54999999999998</v>
      </c>
      <c r="G105" s="6">
        <v>-30.099999999999994</v>
      </c>
      <c r="H105" s="15">
        <v>9.9</v>
      </c>
      <c r="I105" s="6">
        <v>24.700000000000003</v>
      </c>
      <c r="J105" s="6">
        <v>-14.800000000000002</v>
      </c>
      <c r="K105" s="6">
        <f t="shared" si="2"/>
        <v>229.5</v>
      </c>
      <c r="L105" s="6">
        <f t="shared" si="3"/>
        <v>17.3</v>
      </c>
      <c r="M105" s="1">
        <v>6</v>
      </c>
      <c r="N105" s="1">
        <v>0.70582760868381866</v>
      </c>
      <c r="O105" s="1">
        <v>0.60251136797863547</v>
      </c>
    </row>
    <row r="106" spans="1:15" x14ac:dyDescent="0.2">
      <c r="A106" s="18"/>
      <c r="B106" s="18"/>
      <c r="E106" s="6">
        <v>233.1</v>
      </c>
      <c r="F106" s="6">
        <v>243.1</v>
      </c>
      <c r="G106" s="6">
        <v>-10</v>
      </c>
      <c r="H106" s="15">
        <v>8.1</v>
      </c>
      <c r="I106" s="6">
        <v>23.9</v>
      </c>
      <c r="J106" s="6">
        <v>-15.799999999999999</v>
      </c>
      <c r="K106" s="6">
        <f t="shared" si="2"/>
        <v>238.1</v>
      </c>
      <c r="L106" s="6">
        <f t="shared" si="3"/>
        <v>16</v>
      </c>
      <c r="M106" s="1">
        <v>7</v>
      </c>
      <c r="N106" s="1">
        <v>0.70582760868381866</v>
      </c>
      <c r="O106" s="1">
        <v>0.60251136797863547</v>
      </c>
    </row>
    <row r="107" spans="1:15" x14ac:dyDescent="0.2">
      <c r="A107" s="18"/>
      <c r="B107" s="18"/>
      <c r="E107" s="6">
        <v>267.5</v>
      </c>
      <c r="F107" s="6">
        <v>288.7</v>
      </c>
      <c r="G107" s="6">
        <v>-21.199999999999989</v>
      </c>
      <c r="H107" s="15">
        <v>14.549999999999999</v>
      </c>
      <c r="I107" s="6">
        <v>20.849999999999998</v>
      </c>
      <c r="J107" s="6">
        <v>-6.2999999999999989</v>
      </c>
      <c r="K107" s="6">
        <f t="shared" si="2"/>
        <v>278.10000000000002</v>
      </c>
      <c r="L107" s="6">
        <f t="shared" si="3"/>
        <v>17.7</v>
      </c>
      <c r="M107" s="1">
        <v>8</v>
      </c>
      <c r="N107" s="1">
        <v>0.70582760868381866</v>
      </c>
      <c r="O107" s="1">
        <v>0.60251136797863547</v>
      </c>
    </row>
    <row r="108" spans="1:15" x14ac:dyDescent="0.2">
      <c r="A108" s="18"/>
      <c r="B108" s="18"/>
      <c r="E108" s="6">
        <v>259.3</v>
      </c>
      <c r="F108" s="6">
        <v>267.3</v>
      </c>
      <c r="G108" s="6">
        <v>-8</v>
      </c>
      <c r="H108" s="15">
        <v>12.25</v>
      </c>
      <c r="I108" s="6">
        <v>18.75</v>
      </c>
      <c r="J108" s="6">
        <v>-6.5</v>
      </c>
      <c r="K108" s="6">
        <f t="shared" si="2"/>
        <v>263.3</v>
      </c>
      <c r="L108" s="6">
        <f t="shared" si="3"/>
        <v>15.5</v>
      </c>
      <c r="M108" s="1">
        <v>9</v>
      </c>
      <c r="N108" s="1">
        <v>0.70582760868381866</v>
      </c>
      <c r="O108" s="1">
        <v>0.60251136797863547</v>
      </c>
    </row>
    <row r="109" spans="1:15" x14ac:dyDescent="0.2">
      <c r="A109" s="18"/>
      <c r="B109" s="18"/>
      <c r="E109" s="6">
        <v>266.5</v>
      </c>
      <c r="F109" s="6">
        <v>271.5</v>
      </c>
      <c r="G109" s="6">
        <v>-5</v>
      </c>
      <c r="H109" s="15">
        <v>15.25</v>
      </c>
      <c r="I109" s="6">
        <v>16.149999999999999</v>
      </c>
      <c r="J109" s="6">
        <v>-0.89999999999999858</v>
      </c>
      <c r="K109" s="6">
        <f t="shared" si="2"/>
        <v>269</v>
      </c>
      <c r="L109" s="6">
        <f t="shared" si="3"/>
        <v>15.7</v>
      </c>
      <c r="M109" s="1">
        <v>10</v>
      </c>
      <c r="N109" s="1">
        <v>0.70582760868381866</v>
      </c>
      <c r="O109" s="1">
        <v>0.60251136797863547</v>
      </c>
    </row>
    <row r="110" spans="1:15" x14ac:dyDescent="0.2">
      <c r="E110" s="6">
        <v>270.10000000000002</v>
      </c>
      <c r="F110" s="6">
        <v>267.10000000000002</v>
      </c>
      <c r="G110" s="6">
        <v>3</v>
      </c>
      <c r="H110" s="15">
        <v>14.3</v>
      </c>
      <c r="I110" s="6">
        <v>16.7</v>
      </c>
      <c r="J110" s="6">
        <v>-2.3999999999999986</v>
      </c>
      <c r="K110" s="6">
        <f t="shared" si="2"/>
        <v>268.60000000000002</v>
      </c>
      <c r="L110" s="6">
        <f t="shared" si="3"/>
        <v>15.5</v>
      </c>
      <c r="M110" s="1">
        <v>11</v>
      </c>
      <c r="N110" s="1">
        <v>0.70582760868381866</v>
      </c>
      <c r="O110" s="1">
        <v>0.60251136797863547</v>
      </c>
    </row>
    <row r="111" spans="1:15" x14ac:dyDescent="0.2">
      <c r="A111" s="10"/>
      <c r="B111" s="10"/>
      <c r="C111" s="10"/>
      <c r="D111" s="10"/>
      <c r="E111" s="22">
        <v>267.09999999999997</v>
      </c>
      <c r="F111" s="22">
        <v>253.29999999999995</v>
      </c>
      <c r="G111" s="22">
        <v>13.800000000000011</v>
      </c>
      <c r="H111" s="23">
        <v>11.55</v>
      </c>
      <c r="I111" s="22">
        <v>15.450000000000001</v>
      </c>
      <c r="J111" s="22">
        <v>-3.9000000000000004</v>
      </c>
      <c r="K111" s="6">
        <f t="shared" si="2"/>
        <v>260.19999999999993</v>
      </c>
      <c r="L111" s="6">
        <f t="shared" si="3"/>
        <v>13.5</v>
      </c>
      <c r="M111" s="10">
        <v>12</v>
      </c>
      <c r="N111" s="1">
        <v>0.70582760868381866</v>
      </c>
      <c r="O111" s="1">
        <v>0.60251136797863547</v>
      </c>
    </row>
    <row r="112" spans="1:15" x14ac:dyDescent="0.2">
      <c r="A112" s="81" t="s">
        <v>68</v>
      </c>
      <c r="B112" s="81"/>
      <c r="C112" s="81"/>
      <c r="D112" s="17" t="str">
        <f xml:space="preserve"> "n = "&amp;MAX(M112:M131)</f>
        <v>n = 12</v>
      </c>
      <c r="E112" s="6">
        <v>224.6</v>
      </c>
      <c r="F112" s="6">
        <v>194.79999999999998</v>
      </c>
      <c r="G112" s="6">
        <v>29.800000000000011</v>
      </c>
      <c r="H112" s="15">
        <v>11.350000000000001</v>
      </c>
      <c r="I112" s="6">
        <v>15.450000000000001</v>
      </c>
      <c r="J112" s="6">
        <v>-4.0999999999999996</v>
      </c>
      <c r="K112" s="6">
        <f t="shared" si="2"/>
        <v>209.7</v>
      </c>
      <c r="L112" s="6">
        <f t="shared" si="3"/>
        <v>13.400000000000002</v>
      </c>
      <c r="M112" s="1">
        <v>1</v>
      </c>
      <c r="N112" s="1">
        <v>0.70582760868381866</v>
      </c>
      <c r="O112" s="1">
        <v>0.60251136797863547</v>
      </c>
    </row>
    <row r="113" spans="1:15" x14ac:dyDescent="0.2">
      <c r="A113" s="18"/>
      <c r="B113" s="18"/>
      <c r="C113" s="1" t="s">
        <v>69</v>
      </c>
      <c r="E113" s="6">
        <v>226.85</v>
      </c>
      <c r="F113" s="6">
        <v>222.54999999999998</v>
      </c>
      <c r="G113" s="6">
        <v>4.3000000000000114</v>
      </c>
      <c r="H113" s="15">
        <v>11.55</v>
      </c>
      <c r="I113" s="6">
        <v>16.25</v>
      </c>
      <c r="J113" s="6">
        <v>-4.6999999999999993</v>
      </c>
      <c r="K113" s="6">
        <f t="shared" si="2"/>
        <v>224.7</v>
      </c>
      <c r="L113" s="6">
        <f t="shared" si="3"/>
        <v>13.9</v>
      </c>
      <c r="M113" s="1">
        <v>2</v>
      </c>
      <c r="N113" s="1">
        <v>0.70582760868381866</v>
      </c>
      <c r="O113" s="1">
        <v>0.60251136797863547</v>
      </c>
    </row>
    <row r="114" spans="1:15" x14ac:dyDescent="0.2">
      <c r="A114" s="18"/>
      <c r="B114" s="18"/>
      <c r="E114" s="6">
        <v>234.7</v>
      </c>
      <c r="F114" s="6">
        <v>224.29999999999998</v>
      </c>
      <c r="G114" s="6">
        <v>10.400000000000006</v>
      </c>
      <c r="H114" s="15">
        <v>12.649999999999999</v>
      </c>
      <c r="I114" s="6">
        <v>16.75</v>
      </c>
      <c r="J114" s="6">
        <v>-4.1000000000000014</v>
      </c>
      <c r="K114" s="6">
        <f t="shared" si="2"/>
        <v>229.5</v>
      </c>
      <c r="L114" s="6">
        <f t="shared" si="3"/>
        <v>14.7</v>
      </c>
      <c r="M114" s="1">
        <v>3</v>
      </c>
      <c r="N114" s="1">
        <v>0.70582760868381866</v>
      </c>
      <c r="O114" s="1">
        <v>0.60251136797863547</v>
      </c>
    </row>
    <row r="115" spans="1:15" x14ac:dyDescent="0.2">
      <c r="A115" s="18"/>
      <c r="B115" s="18"/>
      <c r="E115" s="6">
        <v>239.9</v>
      </c>
      <c r="F115" s="6">
        <v>223.9</v>
      </c>
      <c r="G115" s="6">
        <v>16</v>
      </c>
      <c r="H115" s="15">
        <v>18.150000000000002</v>
      </c>
      <c r="I115" s="6">
        <v>22.450000000000003</v>
      </c>
      <c r="J115" s="6">
        <v>-4.3000000000000007</v>
      </c>
      <c r="K115" s="6">
        <f t="shared" si="2"/>
        <v>231.9</v>
      </c>
      <c r="L115" s="6">
        <f t="shared" si="3"/>
        <v>20.300000000000004</v>
      </c>
      <c r="M115" s="1">
        <v>4</v>
      </c>
      <c r="N115" s="1">
        <v>0.70582760868381866</v>
      </c>
      <c r="O115" s="1">
        <v>0.60251136797863547</v>
      </c>
    </row>
    <row r="116" spans="1:15" x14ac:dyDescent="0.2">
      <c r="A116" s="18"/>
      <c r="B116" s="18"/>
      <c r="E116" s="6">
        <v>246.95</v>
      </c>
      <c r="F116" s="6">
        <v>238.45</v>
      </c>
      <c r="G116" s="6">
        <v>8.5</v>
      </c>
      <c r="H116" s="15">
        <v>11.45</v>
      </c>
      <c r="I116" s="6">
        <v>18.75</v>
      </c>
      <c r="J116" s="6">
        <v>-7.3000000000000007</v>
      </c>
      <c r="K116" s="6">
        <f t="shared" si="2"/>
        <v>242.7</v>
      </c>
      <c r="L116" s="6">
        <f t="shared" si="3"/>
        <v>15.1</v>
      </c>
      <c r="M116" s="1">
        <v>5</v>
      </c>
      <c r="N116" s="1">
        <v>0.70582760868381866</v>
      </c>
      <c r="O116" s="1">
        <v>0.60251136797863547</v>
      </c>
    </row>
    <row r="117" spans="1:15" x14ac:dyDescent="0.2">
      <c r="A117" s="18"/>
      <c r="B117" s="18"/>
      <c r="E117" s="6">
        <v>259.8</v>
      </c>
      <c r="F117" s="6">
        <v>244.20000000000002</v>
      </c>
      <c r="G117" s="6">
        <v>15.599999999999994</v>
      </c>
      <c r="H117" s="15">
        <v>15.55</v>
      </c>
      <c r="I117" s="6">
        <v>24.65</v>
      </c>
      <c r="J117" s="6">
        <v>-9.0999999999999979</v>
      </c>
      <c r="K117" s="6">
        <f t="shared" si="2"/>
        <v>252</v>
      </c>
      <c r="L117" s="6">
        <f t="shared" si="3"/>
        <v>20.100000000000001</v>
      </c>
      <c r="M117" s="1">
        <v>6</v>
      </c>
      <c r="N117" s="1">
        <v>0.70582760868381866</v>
      </c>
      <c r="O117" s="1">
        <v>0.60251136797863547</v>
      </c>
    </row>
    <row r="118" spans="1:15" x14ac:dyDescent="0.2">
      <c r="A118" s="18"/>
      <c r="B118" s="18"/>
      <c r="E118" s="6">
        <v>286.84999999999997</v>
      </c>
      <c r="F118" s="6">
        <v>242.94999999999996</v>
      </c>
      <c r="G118" s="6">
        <v>43.900000000000006</v>
      </c>
      <c r="H118" s="15">
        <v>10.75</v>
      </c>
      <c r="I118" s="6">
        <v>20.85</v>
      </c>
      <c r="J118" s="6">
        <v>-10.100000000000001</v>
      </c>
      <c r="K118" s="6">
        <f t="shared" si="2"/>
        <v>264.89999999999998</v>
      </c>
      <c r="L118" s="6">
        <f t="shared" si="3"/>
        <v>15.8</v>
      </c>
      <c r="M118" s="1">
        <v>7</v>
      </c>
      <c r="N118" s="1">
        <v>0.70582760868381866</v>
      </c>
      <c r="O118" s="1">
        <v>0.60251136797863547</v>
      </c>
    </row>
    <row r="119" spans="1:15" x14ac:dyDescent="0.2">
      <c r="A119" s="18"/>
      <c r="B119" s="18"/>
      <c r="E119" s="6">
        <v>293.14999999999998</v>
      </c>
      <c r="F119" s="6">
        <v>271.25</v>
      </c>
      <c r="G119" s="6">
        <v>21.899999999999977</v>
      </c>
      <c r="H119" s="15">
        <v>22.7</v>
      </c>
      <c r="I119" s="6">
        <v>33.700000000000003</v>
      </c>
      <c r="J119" s="6">
        <v>-11.000000000000004</v>
      </c>
      <c r="K119" s="6">
        <f t="shared" si="2"/>
        <v>282.2</v>
      </c>
      <c r="L119" s="6">
        <f t="shared" si="3"/>
        <v>28.200000000000003</v>
      </c>
      <c r="M119" s="1">
        <v>8</v>
      </c>
      <c r="N119" s="1">
        <v>0.70582760868381866</v>
      </c>
      <c r="O119" s="1">
        <v>0.60251136797863547</v>
      </c>
    </row>
    <row r="120" spans="1:15" x14ac:dyDescent="0.2">
      <c r="A120" s="18"/>
      <c r="B120" s="18"/>
      <c r="E120" s="6">
        <v>308.39999999999998</v>
      </c>
      <c r="F120" s="6">
        <v>288.39999999999998</v>
      </c>
      <c r="G120" s="6">
        <v>20</v>
      </c>
      <c r="H120" s="15">
        <v>19.149999999999999</v>
      </c>
      <c r="I120" s="6">
        <v>30.25</v>
      </c>
      <c r="J120" s="6">
        <v>-11.100000000000001</v>
      </c>
      <c r="K120" s="6">
        <f t="shared" si="2"/>
        <v>298.39999999999998</v>
      </c>
      <c r="L120" s="6">
        <f t="shared" si="3"/>
        <v>24.7</v>
      </c>
      <c r="M120" s="1">
        <v>9</v>
      </c>
      <c r="N120" s="1">
        <v>0.70582760868381866</v>
      </c>
      <c r="O120" s="1">
        <v>0.60251136797863547</v>
      </c>
    </row>
    <row r="121" spans="1:15" x14ac:dyDescent="0.2">
      <c r="A121" s="18"/>
      <c r="B121" s="18"/>
      <c r="E121" s="6">
        <v>311.84999999999997</v>
      </c>
      <c r="F121" s="6">
        <v>266.95</v>
      </c>
      <c r="G121" s="6">
        <v>44.899999999999977</v>
      </c>
      <c r="H121" s="15">
        <v>12.3</v>
      </c>
      <c r="I121" s="6">
        <v>24.700000000000003</v>
      </c>
      <c r="J121" s="6">
        <v>-12.400000000000002</v>
      </c>
      <c r="K121" s="6">
        <f t="shared" si="2"/>
        <v>289.39999999999998</v>
      </c>
      <c r="L121" s="6">
        <f t="shared" si="3"/>
        <v>18.5</v>
      </c>
      <c r="M121" s="1">
        <v>10</v>
      </c>
      <c r="N121" s="1">
        <v>0.70582760868381866</v>
      </c>
      <c r="O121" s="1">
        <v>0.60251136797863547</v>
      </c>
    </row>
    <row r="122" spans="1:15" x14ac:dyDescent="0.2">
      <c r="A122" s="18"/>
      <c r="B122" s="18"/>
      <c r="E122" s="6">
        <v>322.60000000000002</v>
      </c>
      <c r="F122" s="6">
        <v>253.00000000000003</v>
      </c>
      <c r="G122" s="6">
        <v>69.599999999999994</v>
      </c>
      <c r="H122" s="15">
        <v>9.8500000000000014</v>
      </c>
      <c r="I122" s="6">
        <v>24.75</v>
      </c>
      <c r="J122" s="6">
        <v>-14.899999999999999</v>
      </c>
      <c r="K122" s="6">
        <f t="shared" si="2"/>
        <v>287.8</v>
      </c>
      <c r="L122" s="6">
        <f t="shared" si="3"/>
        <v>17.3</v>
      </c>
      <c r="M122" s="1">
        <v>11</v>
      </c>
      <c r="N122" s="1">
        <v>0.70582760868381866</v>
      </c>
      <c r="O122" s="1">
        <v>0.60251136797863547</v>
      </c>
    </row>
    <row r="123" spans="1:15" x14ac:dyDescent="0.2">
      <c r="A123" s="7"/>
      <c r="B123" s="7"/>
      <c r="C123" s="10"/>
      <c r="D123" s="10"/>
      <c r="E123" s="22">
        <v>343.9</v>
      </c>
      <c r="F123" s="22">
        <v>266.89999999999998</v>
      </c>
      <c r="G123" s="22">
        <v>77</v>
      </c>
      <c r="H123" s="23">
        <v>5.85</v>
      </c>
      <c r="I123" s="22">
        <v>23.950000000000003</v>
      </c>
      <c r="J123" s="22">
        <v>-18.100000000000001</v>
      </c>
      <c r="K123" s="6">
        <f t="shared" si="2"/>
        <v>305.39999999999998</v>
      </c>
      <c r="L123" s="6">
        <f t="shared" si="3"/>
        <v>14.900000000000002</v>
      </c>
      <c r="M123" s="10">
        <v>12</v>
      </c>
      <c r="N123" s="1">
        <v>0.70582760868381866</v>
      </c>
      <c r="O123" s="1">
        <v>0.60251136797863547</v>
      </c>
    </row>
    <row r="124" spans="1:15" x14ac:dyDescent="0.2">
      <c r="A124" s="81" t="s">
        <v>70</v>
      </c>
      <c r="B124" s="81"/>
      <c r="C124" s="81"/>
      <c r="D124" s="17" t="str">
        <f xml:space="preserve"> "n = "&amp;MAX(M124:M137)</f>
        <v>n = 14</v>
      </c>
      <c r="E124" s="6">
        <v>153.5</v>
      </c>
      <c r="F124" s="6">
        <v>188.2</v>
      </c>
      <c r="G124" s="6">
        <v>-34.699999999999989</v>
      </c>
      <c r="H124" s="20">
        <v>7.6</v>
      </c>
      <c r="I124" s="6">
        <v>8.8000000000000007</v>
      </c>
      <c r="J124" s="6">
        <v>-1.2000000000000011</v>
      </c>
      <c r="K124" s="6">
        <f t="shared" si="2"/>
        <v>170.85</v>
      </c>
      <c r="L124" s="6">
        <f t="shared" si="3"/>
        <v>8.1999999999999993</v>
      </c>
      <c r="M124" s="1">
        <v>1</v>
      </c>
      <c r="N124" s="1">
        <v>0.90992016877134796</v>
      </c>
      <c r="O124" s="1">
        <v>0.51696841060077037</v>
      </c>
    </row>
    <row r="125" spans="1:15" x14ac:dyDescent="0.2">
      <c r="A125" s="18"/>
      <c r="B125" s="18"/>
      <c r="C125" s="1" t="s">
        <v>71</v>
      </c>
      <c r="E125" s="6">
        <v>212.2</v>
      </c>
      <c r="F125" s="6">
        <v>215.2</v>
      </c>
      <c r="G125" s="6">
        <v>-3</v>
      </c>
      <c r="H125" s="15">
        <v>7.4</v>
      </c>
      <c r="I125" s="6">
        <v>10.6</v>
      </c>
      <c r="J125" s="6">
        <v>-3.1999999999999993</v>
      </c>
      <c r="K125" s="6">
        <f t="shared" si="2"/>
        <v>213.7</v>
      </c>
      <c r="L125" s="6">
        <f t="shared" si="3"/>
        <v>9</v>
      </c>
      <c r="M125" s="1">
        <v>2</v>
      </c>
      <c r="N125" s="1">
        <v>0.90992016877134796</v>
      </c>
      <c r="O125" s="1">
        <v>0.51696841060077037</v>
      </c>
    </row>
    <row r="126" spans="1:15" x14ac:dyDescent="0.2">
      <c r="A126" s="18"/>
      <c r="B126" s="18"/>
      <c r="E126" s="6">
        <v>216.4</v>
      </c>
      <c r="F126" s="6">
        <v>216.5</v>
      </c>
      <c r="G126" s="6">
        <v>-9.9999999999994316E-2</v>
      </c>
      <c r="H126" s="15">
        <v>9.5</v>
      </c>
      <c r="I126" s="6">
        <v>11.7</v>
      </c>
      <c r="J126" s="6">
        <v>-2.1999999999999993</v>
      </c>
      <c r="K126" s="6">
        <f t="shared" si="2"/>
        <v>216.45</v>
      </c>
      <c r="L126" s="6">
        <f t="shared" si="3"/>
        <v>10.6</v>
      </c>
      <c r="M126" s="1">
        <v>3</v>
      </c>
      <c r="N126" s="1">
        <v>0.90992016877134796</v>
      </c>
      <c r="O126" s="1">
        <v>0.51696841060077037</v>
      </c>
    </row>
    <row r="127" spans="1:15" x14ac:dyDescent="0.2">
      <c r="A127" s="18"/>
      <c r="B127" s="18"/>
      <c r="E127" s="6">
        <v>208.7</v>
      </c>
      <c r="F127" s="6">
        <v>227.9</v>
      </c>
      <c r="G127" s="6">
        <v>-19.200000000000017</v>
      </c>
      <c r="H127" s="15">
        <v>9</v>
      </c>
      <c r="I127" s="6">
        <v>16.8</v>
      </c>
      <c r="J127" s="6">
        <v>-7.8000000000000007</v>
      </c>
      <c r="K127" s="6">
        <f t="shared" si="2"/>
        <v>218.3</v>
      </c>
      <c r="L127" s="6">
        <f t="shared" si="3"/>
        <v>12.9</v>
      </c>
      <c r="M127" s="1">
        <v>4</v>
      </c>
      <c r="N127" s="1">
        <v>0.90992016877134796</v>
      </c>
      <c r="O127" s="1">
        <v>0.51696841060077037</v>
      </c>
    </row>
    <row r="128" spans="1:15" x14ac:dyDescent="0.2">
      <c r="A128" s="18"/>
      <c r="B128" s="18"/>
      <c r="E128" s="6">
        <v>219.5</v>
      </c>
      <c r="F128" s="6">
        <v>240.8</v>
      </c>
      <c r="G128" s="6">
        <v>-21.300000000000011</v>
      </c>
      <c r="H128" s="15">
        <v>13.4</v>
      </c>
      <c r="I128" s="6">
        <v>10.3</v>
      </c>
      <c r="J128" s="6">
        <v>3.0999999999999996</v>
      </c>
      <c r="K128" s="6">
        <f t="shared" si="2"/>
        <v>230.15</v>
      </c>
      <c r="L128" s="6">
        <f t="shared" si="3"/>
        <v>11.850000000000001</v>
      </c>
      <c r="M128" s="1">
        <v>5</v>
      </c>
      <c r="N128" s="1">
        <v>0.90992016877134796</v>
      </c>
      <c r="O128" s="1">
        <v>0.51696841060077037</v>
      </c>
    </row>
    <row r="129" spans="1:15" x14ac:dyDescent="0.2">
      <c r="A129" s="18"/>
      <c r="B129" s="18"/>
      <c r="E129" s="6">
        <v>248.7</v>
      </c>
      <c r="F129" s="6">
        <v>248.5</v>
      </c>
      <c r="G129" s="6">
        <v>0.19999999999998863</v>
      </c>
      <c r="H129" s="15">
        <v>12.4</v>
      </c>
      <c r="I129" s="6">
        <v>15.2</v>
      </c>
      <c r="J129" s="6">
        <v>-2.7999999999999989</v>
      </c>
      <c r="K129" s="6">
        <f t="shared" si="2"/>
        <v>248.6</v>
      </c>
      <c r="L129" s="6">
        <f t="shared" si="3"/>
        <v>13.8</v>
      </c>
      <c r="M129" s="1">
        <v>6</v>
      </c>
      <c r="N129" s="1">
        <v>0.90992016877134796</v>
      </c>
      <c r="O129" s="1">
        <v>0.51696841060077037</v>
      </c>
    </row>
    <row r="130" spans="1:15" x14ac:dyDescent="0.2">
      <c r="A130" s="18"/>
      <c r="B130" s="18"/>
      <c r="E130" s="6">
        <v>263.39999999999998</v>
      </c>
      <c r="F130" s="6">
        <v>253.7</v>
      </c>
      <c r="G130" s="6">
        <v>9.6999999999999886</v>
      </c>
      <c r="H130" s="15">
        <v>14.1</v>
      </c>
      <c r="I130" s="6">
        <v>15.9</v>
      </c>
      <c r="J130" s="6">
        <v>-1.8000000000000007</v>
      </c>
      <c r="K130" s="6">
        <f t="shared" si="2"/>
        <v>258.54999999999995</v>
      </c>
      <c r="L130" s="6">
        <f t="shared" si="3"/>
        <v>15</v>
      </c>
      <c r="M130" s="1">
        <v>7</v>
      </c>
      <c r="N130" s="1">
        <v>0.90992016877134796</v>
      </c>
      <c r="O130" s="1">
        <v>0.51696841060077037</v>
      </c>
    </row>
    <row r="131" spans="1:15" x14ac:dyDescent="0.2">
      <c r="A131" s="18"/>
      <c r="B131" s="18"/>
      <c r="E131" s="6">
        <v>263.89999999999998</v>
      </c>
      <c r="F131" s="6">
        <v>275.39999999999998</v>
      </c>
      <c r="G131" s="6">
        <v>-11.5</v>
      </c>
      <c r="H131" s="15">
        <v>25.5</v>
      </c>
      <c r="I131" s="6">
        <v>23.8</v>
      </c>
      <c r="J131" s="6">
        <v>1.6999999999999993</v>
      </c>
      <c r="K131" s="6">
        <f t="shared" ref="K131:K137" si="4" xml:space="preserve"> AVERAGE(E131:F131)</f>
        <v>269.64999999999998</v>
      </c>
      <c r="L131" s="6">
        <f t="shared" ref="L131:L137" si="5" xml:space="preserve"> AVERAGE(H131:I131)</f>
        <v>24.65</v>
      </c>
      <c r="M131" s="1">
        <v>8</v>
      </c>
      <c r="N131" s="1">
        <v>0.90992016877134796</v>
      </c>
      <c r="O131" s="1">
        <v>0.51696841060077037</v>
      </c>
    </row>
    <row r="132" spans="1:15" x14ac:dyDescent="0.2">
      <c r="A132" s="18"/>
      <c r="B132" s="18"/>
      <c r="E132" s="6">
        <v>281.10000000000002</v>
      </c>
      <c r="F132" s="6">
        <v>253.7</v>
      </c>
      <c r="G132" s="6">
        <v>27.400000000000034</v>
      </c>
      <c r="H132" s="15">
        <v>19.399999999999999</v>
      </c>
      <c r="I132" s="6">
        <v>9.8000000000000007</v>
      </c>
      <c r="J132" s="6">
        <v>9.5999999999999979</v>
      </c>
      <c r="K132" s="6">
        <f t="shared" si="4"/>
        <v>267.39999999999998</v>
      </c>
      <c r="L132" s="6">
        <f t="shared" si="5"/>
        <v>14.6</v>
      </c>
      <c r="M132" s="1">
        <v>9</v>
      </c>
      <c r="N132" s="1">
        <v>0.90992016877134796</v>
      </c>
      <c r="O132" s="1">
        <v>0.51696841060077037</v>
      </c>
    </row>
    <row r="133" spans="1:15" x14ac:dyDescent="0.2">
      <c r="A133" s="18"/>
      <c r="B133" s="18"/>
      <c r="E133" s="6">
        <v>286.5</v>
      </c>
      <c r="F133" s="6">
        <v>253.6</v>
      </c>
      <c r="G133" s="6">
        <v>32.900000000000006</v>
      </c>
      <c r="H133" s="15">
        <v>19</v>
      </c>
      <c r="I133" s="6">
        <v>11.4</v>
      </c>
      <c r="J133" s="6">
        <v>7.6</v>
      </c>
      <c r="K133" s="6">
        <f t="shared" si="4"/>
        <v>270.05</v>
      </c>
      <c r="L133" s="6">
        <f t="shared" si="5"/>
        <v>15.2</v>
      </c>
      <c r="M133" s="1">
        <v>10</v>
      </c>
      <c r="N133" s="1">
        <v>0.90992016877134796</v>
      </c>
      <c r="O133" s="1">
        <v>0.51696841060077037</v>
      </c>
    </row>
    <row r="134" spans="1:15" x14ac:dyDescent="0.2">
      <c r="A134" s="18"/>
      <c r="B134" s="18"/>
      <c r="E134" s="6">
        <v>296.8</v>
      </c>
      <c r="F134" s="6">
        <v>261.3</v>
      </c>
      <c r="G134" s="6">
        <v>35.5</v>
      </c>
      <c r="H134" s="15">
        <v>19.100000000000001</v>
      </c>
      <c r="I134" s="6">
        <v>15.5</v>
      </c>
      <c r="J134" s="6">
        <v>3.6000000000000014</v>
      </c>
      <c r="K134" s="6">
        <f t="shared" si="4"/>
        <v>279.05</v>
      </c>
      <c r="L134" s="6">
        <f t="shared" si="5"/>
        <v>17.3</v>
      </c>
      <c r="M134" s="1">
        <v>11</v>
      </c>
      <c r="N134" s="1">
        <v>0.90992016877134796</v>
      </c>
      <c r="O134" s="1">
        <v>0.51696841060077037</v>
      </c>
    </row>
    <row r="135" spans="1:15" x14ac:dyDescent="0.2">
      <c r="A135" s="18"/>
      <c r="B135" s="18"/>
      <c r="E135" s="6">
        <v>293.3</v>
      </c>
      <c r="F135" s="6">
        <v>267.8</v>
      </c>
      <c r="G135" s="6">
        <v>25.5</v>
      </c>
      <c r="H135" s="15">
        <v>17.3</v>
      </c>
      <c r="I135" s="6">
        <v>19.8</v>
      </c>
      <c r="J135" s="6">
        <v>-2.5</v>
      </c>
      <c r="K135" s="6">
        <f t="shared" si="4"/>
        <v>280.55</v>
      </c>
      <c r="L135" s="6">
        <f t="shared" si="5"/>
        <v>18.55</v>
      </c>
      <c r="M135" s="1">
        <v>12</v>
      </c>
      <c r="N135" s="1">
        <v>0.90992016877134796</v>
      </c>
      <c r="O135" s="1">
        <v>0.51696841060077037</v>
      </c>
    </row>
    <row r="136" spans="1:15" x14ac:dyDescent="0.2">
      <c r="A136" s="18"/>
      <c r="B136" s="18"/>
      <c r="E136" s="6">
        <v>318.7</v>
      </c>
      <c r="F136" s="6">
        <v>336.9</v>
      </c>
      <c r="G136" s="6">
        <v>-18.199999999999989</v>
      </c>
      <c r="H136" s="15">
        <v>16.8</v>
      </c>
      <c r="I136" s="6">
        <v>20.6</v>
      </c>
      <c r="J136" s="6">
        <v>-3.8000000000000007</v>
      </c>
      <c r="K136" s="6">
        <f t="shared" si="4"/>
        <v>327.79999999999995</v>
      </c>
      <c r="L136" s="6">
        <f t="shared" si="5"/>
        <v>18.700000000000003</v>
      </c>
      <c r="M136" s="1">
        <v>13</v>
      </c>
      <c r="N136" s="1">
        <v>0.90992016877134796</v>
      </c>
      <c r="O136" s="1">
        <v>0.51696841060077037</v>
      </c>
    </row>
    <row r="137" spans="1:15" x14ac:dyDescent="0.2">
      <c r="A137" s="7"/>
      <c r="B137" s="7"/>
      <c r="C137" s="10"/>
      <c r="D137" s="10"/>
      <c r="E137" s="22">
        <v>349.9</v>
      </c>
      <c r="F137" s="22">
        <v>330.5</v>
      </c>
      <c r="G137" s="22">
        <v>19.399999999999977</v>
      </c>
      <c r="H137" s="23">
        <v>15.4</v>
      </c>
      <c r="I137" s="22">
        <v>22.2</v>
      </c>
      <c r="J137" s="22">
        <v>-6.7999999999999989</v>
      </c>
      <c r="K137" s="22">
        <f t="shared" si="4"/>
        <v>340.2</v>
      </c>
      <c r="L137" s="22">
        <f t="shared" si="5"/>
        <v>18.8</v>
      </c>
      <c r="M137" s="10">
        <v>14</v>
      </c>
      <c r="N137" s="10">
        <v>0.90992016877134796</v>
      </c>
      <c r="O137" s="10">
        <v>0.51696841060077037</v>
      </c>
    </row>
    <row r="138" spans="1:15" x14ac:dyDescent="0.2">
      <c r="A138" s="81" t="s">
        <v>119</v>
      </c>
      <c r="B138" s="81"/>
      <c r="C138" s="81"/>
      <c r="D138" s="17" t="str">
        <f xml:space="preserve"> "n = "&amp;MAX(M138:M152)</f>
        <v>n = 15</v>
      </c>
      <c r="E138" s="6">
        <f>'Goulding 21 mix up'!B2</f>
        <v>137.80000000000001</v>
      </c>
      <c r="F138" s="6">
        <f>'Goulding 21 mix up'!C2</f>
        <v>136.5</v>
      </c>
      <c r="G138" s="6">
        <f>'Goulding 21 mix up'!D2</f>
        <v>1.3000000000000114</v>
      </c>
      <c r="H138" s="6">
        <f>'Goulding 21 mix up'!E2</f>
        <v>11.700000000000001</v>
      </c>
      <c r="I138" s="6">
        <f>'Goulding 21 mix up'!F2</f>
        <v>24.9</v>
      </c>
      <c r="J138" s="6">
        <f>'Goulding 21 mix up'!G2</f>
        <v>-13.199999999999998</v>
      </c>
      <c r="K138" s="6">
        <f t="shared" ref="K138:K139" si="6" xml:space="preserve"> AVERAGE(E138:F138)</f>
        <v>137.15</v>
      </c>
      <c r="L138" s="6">
        <f t="shared" ref="L138:L139" si="7" xml:space="preserve"> AVERAGE(H138:I138)</f>
        <v>18.3</v>
      </c>
      <c r="M138" s="1">
        <v>1</v>
      </c>
      <c r="N138" s="1">
        <v>0.96456820859636827</v>
      </c>
      <c r="O138" s="1">
        <v>0.64511177972357414</v>
      </c>
    </row>
    <row r="139" spans="1:15" x14ac:dyDescent="0.2">
      <c r="A139" s="18"/>
      <c r="B139" s="18"/>
      <c r="C139" s="1" t="s">
        <v>131</v>
      </c>
      <c r="E139" s="6">
        <f>'Goulding 21 mix up'!B3</f>
        <v>177.1</v>
      </c>
      <c r="F139" s="6">
        <f>'Goulding 21 mix up'!C3</f>
        <v>172.2</v>
      </c>
      <c r="G139" s="6">
        <f>'Goulding 21 mix up'!D3</f>
        <v>4.9000000000000057</v>
      </c>
      <c r="H139" s="6">
        <f>'Goulding 21 mix up'!E3</f>
        <v>20.399999999999999</v>
      </c>
      <c r="I139" s="6">
        <f>'Goulding 21 mix up'!F3</f>
        <v>25.4</v>
      </c>
      <c r="J139" s="6">
        <f>'Goulding 21 mix up'!G3</f>
        <v>-5</v>
      </c>
      <c r="K139" s="6">
        <f t="shared" si="6"/>
        <v>174.64999999999998</v>
      </c>
      <c r="L139" s="6">
        <f t="shared" si="7"/>
        <v>22.9</v>
      </c>
      <c r="M139" s="1">
        <v>2</v>
      </c>
      <c r="N139" s="1">
        <v>0.96456820859636827</v>
      </c>
      <c r="O139" s="1">
        <v>0.64511177972357414</v>
      </c>
    </row>
    <row r="140" spans="1:15" x14ac:dyDescent="0.2">
      <c r="A140" s="18"/>
      <c r="B140" s="18"/>
      <c r="E140" s="6">
        <f>'Goulding 21 mix up'!B4</f>
        <v>174.3</v>
      </c>
      <c r="F140" s="6">
        <f>'Goulding 21 mix up'!C4</f>
        <v>175.4</v>
      </c>
      <c r="G140" s="6">
        <f>'Goulding 21 mix up'!D4</f>
        <v>-1.0999999999999943</v>
      </c>
      <c r="H140" s="6">
        <f>'Goulding 21 mix up'!E4</f>
        <v>18.95</v>
      </c>
      <c r="I140" s="6">
        <f>'Goulding 21 mix up'!F4</f>
        <v>23.05</v>
      </c>
      <c r="J140" s="6">
        <f>'Goulding 21 mix up'!G4</f>
        <v>-4.1000000000000014</v>
      </c>
      <c r="K140" s="6">
        <f t="shared" ref="K140:K154" si="8" xml:space="preserve"> AVERAGE(E140:F140)</f>
        <v>174.85000000000002</v>
      </c>
      <c r="L140" s="6">
        <f t="shared" ref="L140:L154" si="9" xml:space="preserve"> AVERAGE(H140:I140)</f>
        <v>21</v>
      </c>
      <c r="M140" s="1">
        <v>3</v>
      </c>
      <c r="N140" s="1">
        <v>0.96456820859636827</v>
      </c>
      <c r="O140" s="1">
        <v>0.64511177972357414</v>
      </c>
    </row>
    <row r="141" spans="1:15" x14ac:dyDescent="0.2">
      <c r="A141" s="18"/>
      <c r="B141" s="18"/>
      <c r="E141" s="6">
        <f>'Goulding 21 mix up'!B5</f>
        <v>198.2</v>
      </c>
      <c r="F141" s="6">
        <f>'Goulding 21 mix up'!C5</f>
        <v>190.2</v>
      </c>
      <c r="G141" s="6">
        <f>'Goulding 21 mix up'!D5</f>
        <v>8</v>
      </c>
      <c r="H141" s="6">
        <f>'Goulding 21 mix up'!E5</f>
        <v>21.45</v>
      </c>
      <c r="I141" s="6">
        <f>'Goulding 21 mix up'!F5</f>
        <v>21.95</v>
      </c>
      <c r="J141" s="6">
        <f>'Goulding 21 mix up'!G5</f>
        <v>-0.5</v>
      </c>
      <c r="K141" s="6">
        <f t="shared" si="8"/>
        <v>194.2</v>
      </c>
      <c r="L141" s="6">
        <f t="shared" si="9"/>
        <v>21.7</v>
      </c>
      <c r="M141" s="1">
        <v>4</v>
      </c>
      <c r="N141" s="1">
        <v>0.96456820859636827</v>
      </c>
      <c r="O141" s="1">
        <v>0.64511177972357414</v>
      </c>
    </row>
    <row r="142" spans="1:15" x14ac:dyDescent="0.2">
      <c r="A142" s="18"/>
      <c r="B142" s="18"/>
      <c r="E142" s="6">
        <f>'Goulding 21 mix up'!B6</f>
        <v>189.9</v>
      </c>
      <c r="F142" s="6">
        <f>'Goulding 21 mix up'!C6</f>
        <v>193.6</v>
      </c>
      <c r="G142" s="6">
        <f>'Goulding 21 mix up'!D6</f>
        <v>-3.6999999999999886</v>
      </c>
      <c r="H142" s="6">
        <f>'Goulding 21 mix up'!E6</f>
        <v>18.25</v>
      </c>
      <c r="I142" s="6">
        <f>'Goulding 21 mix up'!F6</f>
        <v>17.549999999999997</v>
      </c>
      <c r="J142" s="6">
        <f>'Goulding 21 mix up'!G6</f>
        <v>0.70000000000000284</v>
      </c>
      <c r="K142" s="6">
        <f t="shared" si="8"/>
        <v>191.75</v>
      </c>
      <c r="L142" s="6">
        <f t="shared" si="9"/>
        <v>17.899999999999999</v>
      </c>
      <c r="M142" s="1">
        <v>5</v>
      </c>
      <c r="N142" s="1">
        <v>0.96456820859636827</v>
      </c>
      <c r="O142" s="1">
        <v>0.64511177972357414</v>
      </c>
    </row>
    <row r="143" spans="1:15" x14ac:dyDescent="0.2">
      <c r="A143" s="18"/>
      <c r="B143" s="18"/>
      <c r="E143" s="6">
        <f>'Goulding 21 mix up'!B7</f>
        <v>209.9</v>
      </c>
      <c r="F143" s="6">
        <f>'Goulding 21 mix up'!C7</f>
        <v>215.6</v>
      </c>
      <c r="G143" s="6">
        <f>'Goulding 21 mix up'!D7</f>
        <v>-5.6999999999999886</v>
      </c>
      <c r="H143" s="6">
        <f>'Goulding 21 mix up'!E7</f>
        <v>17.7</v>
      </c>
      <c r="I143" s="6">
        <f>'Goulding 21 mix up'!F7</f>
        <v>11.9</v>
      </c>
      <c r="J143" s="6">
        <f>'Goulding 21 mix up'!G7</f>
        <v>5.7999999999999989</v>
      </c>
      <c r="K143" s="6">
        <f t="shared" si="8"/>
        <v>212.75</v>
      </c>
      <c r="L143" s="6">
        <f t="shared" si="9"/>
        <v>14.8</v>
      </c>
      <c r="M143" s="1">
        <v>6</v>
      </c>
      <c r="N143" s="1">
        <v>0.96456820859636827</v>
      </c>
      <c r="O143" s="1">
        <v>0.64511177972357414</v>
      </c>
    </row>
    <row r="144" spans="1:15" x14ac:dyDescent="0.2">
      <c r="A144" s="18"/>
      <c r="B144" s="18"/>
      <c r="E144" s="6">
        <f>'Goulding 21 mix up'!B8</f>
        <v>216.3</v>
      </c>
      <c r="F144" s="6">
        <f>'Goulding 21 mix up'!C8</f>
        <v>235</v>
      </c>
      <c r="G144" s="6">
        <f>'Goulding 21 mix up'!D8</f>
        <v>-18.699999999999989</v>
      </c>
      <c r="H144" s="6">
        <f>'Goulding 21 mix up'!E8</f>
        <v>7.25</v>
      </c>
      <c r="I144" s="6">
        <f>'Goulding 21 mix up'!F8</f>
        <v>6.15</v>
      </c>
      <c r="J144" s="6">
        <f>'Goulding 21 mix up'!G8</f>
        <v>1.0999999999999996</v>
      </c>
      <c r="K144" s="6">
        <f t="shared" si="8"/>
        <v>225.65</v>
      </c>
      <c r="L144" s="6">
        <f t="shared" si="9"/>
        <v>6.7</v>
      </c>
      <c r="M144" s="1">
        <v>7</v>
      </c>
      <c r="N144" s="1">
        <v>0.96456820859636827</v>
      </c>
      <c r="O144" s="1">
        <v>0.64511177972357414</v>
      </c>
    </row>
    <row r="145" spans="1:15" x14ac:dyDescent="0.2">
      <c r="A145" s="18"/>
      <c r="B145" s="18"/>
      <c r="E145" s="6">
        <f>'Goulding 21 mix up'!B9</f>
        <v>228.7</v>
      </c>
      <c r="F145" s="6">
        <f>'Goulding 21 mix up'!C9</f>
        <v>239.4</v>
      </c>
      <c r="G145" s="6">
        <f>'Goulding 21 mix up'!D9</f>
        <v>-10.700000000000017</v>
      </c>
      <c r="H145" s="6">
        <f>'Goulding 21 mix up'!E9</f>
        <v>9.0499999999999989</v>
      </c>
      <c r="I145" s="6">
        <f>'Goulding 21 mix up'!F9</f>
        <v>15.35</v>
      </c>
      <c r="J145" s="6">
        <f>'Goulding 21 mix up'!G9</f>
        <v>-6.3000000000000007</v>
      </c>
      <c r="K145" s="6">
        <f t="shared" si="8"/>
        <v>234.05</v>
      </c>
      <c r="L145" s="6">
        <f t="shared" si="9"/>
        <v>12.2</v>
      </c>
      <c r="M145" s="1">
        <v>8</v>
      </c>
      <c r="N145" s="1">
        <v>0.96456820859636827</v>
      </c>
      <c r="O145" s="1">
        <v>0.64511177972357414</v>
      </c>
    </row>
    <row r="146" spans="1:15" x14ac:dyDescent="0.2">
      <c r="A146" s="18"/>
      <c r="B146" s="18"/>
      <c r="E146" s="6">
        <f>'Goulding 21 mix up'!B10</f>
        <v>228</v>
      </c>
      <c r="F146" s="6">
        <f>'Goulding 21 mix up'!C10</f>
        <v>221.9</v>
      </c>
      <c r="G146" s="6">
        <f>'Goulding 21 mix up'!D10</f>
        <v>6.0999999999999943</v>
      </c>
      <c r="H146" s="6">
        <f>'Goulding 21 mix up'!E10</f>
        <v>21.15</v>
      </c>
      <c r="I146" s="6">
        <f>'Goulding 21 mix up'!F10</f>
        <v>19.850000000000001</v>
      </c>
      <c r="J146" s="6">
        <f>'Goulding 21 mix up'!G10</f>
        <v>1.2999999999999972</v>
      </c>
      <c r="K146" s="6">
        <f t="shared" si="8"/>
        <v>224.95</v>
      </c>
      <c r="L146" s="6">
        <f t="shared" si="9"/>
        <v>20.5</v>
      </c>
      <c r="M146" s="1">
        <v>9</v>
      </c>
      <c r="N146" s="1">
        <v>0.96456820859636827</v>
      </c>
      <c r="O146" s="1">
        <v>0.64511177972357414</v>
      </c>
    </row>
    <row r="147" spans="1:15" x14ac:dyDescent="0.2">
      <c r="A147" s="18"/>
      <c r="B147" s="18"/>
      <c r="E147" s="6">
        <f>'Goulding 21 mix up'!B11</f>
        <v>246.4</v>
      </c>
      <c r="F147" s="6">
        <f>'Goulding 21 mix up'!C11</f>
        <v>224.2</v>
      </c>
      <c r="G147" s="6">
        <f>'Goulding 21 mix up'!D11</f>
        <v>22.200000000000017</v>
      </c>
      <c r="H147" s="6">
        <f>'Goulding 21 mix up'!E11</f>
        <v>11.35</v>
      </c>
      <c r="I147" s="6">
        <f>'Goulding 21 mix up'!F11</f>
        <v>12.85</v>
      </c>
      <c r="J147" s="6">
        <f>'Goulding 21 mix up'!G11</f>
        <v>-1.5</v>
      </c>
      <c r="K147" s="6">
        <f t="shared" si="8"/>
        <v>235.3</v>
      </c>
      <c r="L147" s="6">
        <f t="shared" si="9"/>
        <v>12.1</v>
      </c>
      <c r="M147" s="1">
        <v>10</v>
      </c>
      <c r="N147" s="1">
        <v>0.96456820859636827</v>
      </c>
      <c r="O147" s="1">
        <v>0.64511177972357414</v>
      </c>
    </row>
    <row r="148" spans="1:15" x14ac:dyDescent="0.2">
      <c r="A148" s="18"/>
      <c r="B148" s="18"/>
      <c r="E148" s="6">
        <f>'Goulding 21 mix up'!B12</f>
        <v>276.7</v>
      </c>
      <c r="F148" s="6">
        <f>'Goulding 21 mix up'!C12</f>
        <v>251</v>
      </c>
      <c r="G148" s="6">
        <f>'Goulding 21 mix up'!D12</f>
        <v>25.699999999999989</v>
      </c>
      <c r="H148" s="6">
        <f>'Goulding 21 mix up'!E12</f>
        <v>7.8999999999999995</v>
      </c>
      <c r="I148" s="6">
        <f>'Goulding 21 mix up'!F12</f>
        <v>12.3</v>
      </c>
      <c r="J148" s="6">
        <f>'Goulding 21 mix up'!G12</f>
        <v>-4.4000000000000012</v>
      </c>
      <c r="K148" s="6">
        <f t="shared" si="8"/>
        <v>263.85000000000002</v>
      </c>
      <c r="L148" s="6">
        <f t="shared" si="9"/>
        <v>10.1</v>
      </c>
      <c r="M148" s="1">
        <v>11</v>
      </c>
      <c r="N148" s="1">
        <v>0.96456820859636827</v>
      </c>
      <c r="O148" s="1">
        <v>0.64511177972357414</v>
      </c>
    </row>
    <row r="149" spans="1:15" x14ac:dyDescent="0.2">
      <c r="A149" s="18"/>
      <c r="B149" s="18"/>
      <c r="E149" s="6">
        <f>'Goulding 21 mix up'!B13</f>
        <v>278.3</v>
      </c>
      <c r="F149" s="6">
        <f>'Goulding 21 mix up'!C13</f>
        <v>256.39999999999998</v>
      </c>
      <c r="G149" s="6">
        <f>'Goulding 21 mix up'!D13</f>
        <v>21.900000000000034</v>
      </c>
      <c r="H149" s="6">
        <f>'Goulding 21 mix up'!E13</f>
        <v>10.549999999999999</v>
      </c>
      <c r="I149" s="6">
        <f>'Goulding 21 mix up'!F13</f>
        <v>15.85</v>
      </c>
      <c r="J149" s="6">
        <f>'Goulding 21 mix up'!G13</f>
        <v>-5.3000000000000007</v>
      </c>
      <c r="K149" s="6">
        <f t="shared" si="8"/>
        <v>267.35000000000002</v>
      </c>
      <c r="L149" s="6">
        <f t="shared" si="9"/>
        <v>13.2</v>
      </c>
      <c r="M149" s="1">
        <v>12</v>
      </c>
      <c r="N149" s="1">
        <v>0.96456820859636827</v>
      </c>
      <c r="O149" s="1">
        <v>0.64511177972357414</v>
      </c>
    </row>
    <row r="150" spans="1:15" x14ac:dyDescent="0.2">
      <c r="A150" s="18"/>
      <c r="B150" s="18"/>
      <c r="E150" s="6">
        <f>'Goulding 21 mix up'!B14</f>
        <v>279</v>
      </c>
      <c r="F150" s="6">
        <f>'Goulding 21 mix up'!C14</f>
        <v>257.5</v>
      </c>
      <c r="G150" s="6">
        <f>'Goulding 21 mix up'!D14</f>
        <v>21.5</v>
      </c>
      <c r="H150" s="6">
        <f>'Goulding 21 mix up'!E14</f>
        <v>15.299999999999999</v>
      </c>
      <c r="I150" s="6">
        <f>'Goulding 21 mix up'!F14</f>
        <v>18.099999999999998</v>
      </c>
      <c r="J150" s="6">
        <f>'Goulding 21 mix up'!G14</f>
        <v>-2.7999999999999989</v>
      </c>
      <c r="K150" s="6">
        <f t="shared" si="8"/>
        <v>268.25</v>
      </c>
      <c r="L150" s="6">
        <f t="shared" si="9"/>
        <v>16.7</v>
      </c>
      <c r="M150" s="1">
        <v>13</v>
      </c>
      <c r="N150" s="1">
        <v>0.96456820859636827</v>
      </c>
      <c r="O150" s="1">
        <v>0.64511177972357414</v>
      </c>
    </row>
    <row r="151" spans="1:15" x14ac:dyDescent="0.2">
      <c r="A151" s="18"/>
      <c r="B151" s="18"/>
      <c r="E151" s="6">
        <f>'Goulding 21 mix up'!B15</f>
        <v>278.39999999999998</v>
      </c>
      <c r="F151" s="6">
        <f>'Goulding 21 mix up'!C15</f>
        <v>269.10000000000002</v>
      </c>
      <c r="G151" s="6">
        <f>'Goulding 21 mix up'!D15</f>
        <v>9.2999999999999545</v>
      </c>
      <c r="H151" s="6">
        <f>'Goulding 21 mix up'!E15</f>
        <v>12.9</v>
      </c>
      <c r="I151" s="6">
        <f>'Goulding 21 mix up'!F15</f>
        <v>15.299999999999999</v>
      </c>
      <c r="J151" s="6">
        <f>'Goulding 21 mix up'!G15</f>
        <v>-2.3999999999999986</v>
      </c>
      <c r="K151" s="6">
        <f t="shared" si="8"/>
        <v>273.75</v>
      </c>
      <c r="L151" s="6">
        <f t="shared" si="9"/>
        <v>14.1</v>
      </c>
      <c r="M151" s="1">
        <v>14</v>
      </c>
      <c r="N151" s="1">
        <v>0.96456820859636827</v>
      </c>
      <c r="O151" s="1">
        <v>0.64511177972357414</v>
      </c>
    </row>
    <row r="152" spans="1:15" x14ac:dyDescent="0.2">
      <c r="A152" s="7"/>
      <c r="B152" s="7"/>
      <c r="C152" s="10"/>
      <c r="D152" s="10"/>
      <c r="E152" s="22">
        <f>'Goulding 21 mix up'!B16</f>
        <v>283.8</v>
      </c>
      <c r="F152" s="22">
        <f>'Goulding 21 mix up'!C16</f>
        <v>273.2</v>
      </c>
      <c r="G152" s="22">
        <f>'Goulding 21 mix up'!D16</f>
        <v>10.600000000000023</v>
      </c>
      <c r="H152" s="22">
        <f>'Goulding 21 mix up'!E16</f>
        <v>13.4</v>
      </c>
      <c r="I152" s="22">
        <f>'Goulding 21 mix up'!F16</f>
        <v>15.799999999999999</v>
      </c>
      <c r="J152" s="22">
        <f>'Goulding 21 mix up'!G16</f>
        <v>-2.3999999999999986</v>
      </c>
      <c r="K152" s="22">
        <f t="shared" si="8"/>
        <v>278.5</v>
      </c>
      <c r="L152" s="22">
        <f t="shared" si="9"/>
        <v>14.6</v>
      </c>
      <c r="M152" s="10">
        <v>15</v>
      </c>
      <c r="N152" s="10">
        <v>0.96456820859636827</v>
      </c>
      <c r="O152" s="10">
        <v>0.64511177972357414</v>
      </c>
    </row>
    <row r="153" spans="1:15" x14ac:dyDescent="0.2">
      <c r="A153" s="81" t="s">
        <v>119</v>
      </c>
      <c r="B153" s="81"/>
      <c r="C153" s="81"/>
      <c r="D153" s="17" t="str">
        <f xml:space="preserve"> "n = "&amp;MAX(M153:M160)</f>
        <v>n = 8</v>
      </c>
      <c r="E153" s="6">
        <f>'Goulding 21 mix sup'!B2</f>
        <v>220.9</v>
      </c>
      <c r="F153" s="6">
        <f>'Goulding 21 mix sup'!C2</f>
        <v>235</v>
      </c>
      <c r="G153" s="6">
        <f>'Goulding 21 mix sup'!D2</f>
        <v>-14.099999999999994</v>
      </c>
      <c r="H153" s="6">
        <f>'Goulding 21 mix sup'!E2</f>
        <v>5.55</v>
      </c>
      <c r="I153" s="6">
        <f>'Goulding 21 mix sup'!F2</f>
        <v>7.45</v>
      </c>
      <c r="J153" s="6">
        <f>'Goulding 21 mix sup'!G2</f>
        <v>-1.9000000000000004</v>
      </c>
      <c r="K153" s="6">
        <f t="shared" si="8"/>
        <v>227.95</v>
      </c>
      <c r="L153" s="6">
        <f t="shared" si="9"/>
        <v>6.5</v>
      </c>
      <c r="M153" s="1">
        <v>1</v>
      </c>
      <c r="N153" s="1">
        <v>0.97026583178807768</v>
      </c>
      <c r="O153" s="1">
        <v>0.7342095288270003</v>
      </c>
    </row>
    <row r="154" spans="1:15" x14ac:dyDescent="0.2">
      <c r="A154" s="18"/>
      <c r="B154" s="18"/>
      <c r="C154" s="1" t="s">
        <v>131</v>
      </c>
      <c r="E154" s="6">
        <f>'Goulding 21 mix sup'!B3</f>
        <v>152.19999999999999</v>
      </c>
      <c r="F154" s="6">
        <f>'Goulding 21 mix sup'!C3</f>
        <v>154.19999999999999</v>
      </c>
      <c r="G154" s="6">
        <f>'Goulding 21 mix sup'!D3</f>
        <v>-2</v>
      </c>
      <c r="H154" s="6">
        <f>'Goulding 21 mix sup'!E3</f>
        <v>6.8500000000000005</v>
      </c>
      <c r="I154" s="6">
        <f>'Goulding 21 mix sup'!F3</f>
        <v>7.95</v>
      </c>
      <c r="J154" s="6">
        <f>'Goulding 21 mix sup'!G3</f>
        <v>-1.0999999999999996</v>
      </c>
      <c r="K154" s="6">
        <f t="shared" si="8"/>
        <v>153.19999999999999</v>
      </c>
      <c r="L154" s="6">
        <f t="shared" si="9"/>
        <v>7.4</v>
      </c>
      <c r="M154" s="1">
        <v>2</v>
      </c>
      <c r="N154" s="1">
        <v>0.97026583178807768</v>
      </c>
      <c r="O154" s="1">
        <v>0.7342095288270003</v>
      </c>
    </row>
    <row r="155" spans="1:15" x14ac:dyDescent="0.2">
      <c r="A155" s="18"/>
      <c r="B155" s="18"/>
      <c r="E155" s="6">
        <f>'Goulding 21 mix sup'!B4</f>
        <v>152.9</v>
      </c>
      <c r="F155" s="6">
        <f>'Goulding 21 mix sup'!C4</f>
        <v>136.19999999999999</v>
      </c>
      <c r="G155" s="6">
        <f>'Goulding 21 mix sup'!D4</f>
        <v>16.700000000000017</v>
      </c>
      <c r="H155" s="6">
        <f>'Goulding 21 mix sup'!E4</f>
        <v>23.75</v>
      </c>
      <c r="I155" s="6">
        <f>'Goulding 21 mix sup'!F4</f>
        <v>13.049999999999999</v>
      </c>
      <c r="J155" s="6">
        <f>'Goulding 21 mix sup'!G4</f>
        <v>10.700000000000001</v>
      </c>
      <c r="K155" s="6">
        <f t="shared" ref="K155:K160" si="10" xml:space="preserve"> AVERAGE(E155:F155)</f>
        <v>144.55000000000001</v>
      </c>
      <c r="L155" s="6">
        <f t="shared" ref="L155:L160" si="11" xml:space="preserve"> AVERAGE(H155:I155)</f>
        <v>18.399999999999999</v>
      </c>
      <c r="M155" s="1">
        <v>3</v>
      </c>
      <c r="N155" s="1">
        <v>0.97026583178807768</v>
      </c>
      <c r="O155" s="1">
        <v>0.7342095288270003</v>
      </c>
    </row>
    <row r="156" spans="1:15" x14ac:dyDescent="0.2">
      <c r="A156" s="18"/>
      <c r="B156" s="18"/>
      <c r="E156" s="6">
        <f>'Goulding 21 mix sup'!B5</f>
        <v>132.1</v>
      </c>
      <c r="F156" s="6">
        <f>'Goulding 21 mix sup'!C5</f>
        <v>138.80000000000001</v>
      </c>
      <c r="G156" s="6">
        <f>'Goulding 21 mix sup'!D5</f>
        <v>-6.7000000000000171</v>
      </c>
      <c r="H156" s="6">
        <f>'Goulding 21 mix sup'!E5</f>
        <v>18.350000000000001</v>
      </c>
      <c r="I156" s="6">
        <f>'Goulding 21 mix sup'!F5</f>
        <v>14.65</v>
      </c>
      <c r="J156" s="6">
        <f>'Goulding 21 mix sup'!G5</f>
        <v>3.7000000000000011</v>
      </c>
      <c r="K156" s="6">
        <f t="shared" si="10"/>
        <v>135.44999999999999</v>
      </c>
      <c r="L156" s="6">
        <f t="shared" si="11"/>
        <v>16.5</v>
      </c>
      <c r="M156" s="1">
        <v>4</v>
      </c>
      <c r="N156" s="1">
        <v>0.97026583178807768</v>
      </c>
      <c r="O156" s="1">
        <v>0.7342095288270003</v>
      </c>
    </row>
    <row r="157" spans="1:15" x14ac:dyDescent="0.2">
      <c r="A157" s="18"/>
      <c r="B157" s="18"/>
      <c r="E157" s="6">
        <f>'Goulding 21 mix sup'!B6</f>
        <v>111.2</v>
      </c>
      <c r="F157" s="6">
        <f>'Goulding 21 mix sup'!C6</f>
        <v>128.9</v>
      </c>
      <c r="G157" s="6">
        <f>'Goulding 21 mix sup'!D6</f>
        <v>-17.700000000000003</v>
      </c>
      <c r="H157" s="6">
        <f>'Goulding 21 mix sup'!E6</f>
        <v>18.45</v>
      </c>
      <c r="I157" s="6">
        <f>'Goulding 21 mix sup'!F6</f>
        <v>13.95</v>
      </c>
      <c r="J157" s="6">
        <f>'Goulding 21 mix sup'!G6</f>
        <v>4.5</v>
      </c>
      <c r="K157" s="6">
        <f t="shared" si="10"/>
        <v>120.05000000000001</v>
      </c>
      <c r="L157" s="6">
        <f t="shared" si="11"/>
        <v>16.2</v>
      </c>
      <c r="M157" s="1">
        <v>5</v>
      </c>
      <c r="N157" s="1">
        <v>0.97026583178807768</v>
      </c>
      <c r="O157" s="1">
        <v>0.7342095288270003</v>
      </c>
    </row>
    <row r="158" spans="1:15" x14ac:dyDescent="0.2">
      <c r="A158" s="18"/>
      <c r="B158" s="18"/>
      <c r="E158" s="6">
        <f>'Goulding 21 mix sup'!B7</f>
        <v>109.9</v>
      </c>
      <c r="F158" s="6">
        <f>'Goulding 21 mix sup'!C7</f>
        <v>114.8</v>
      </c>
      <c r="G158" s="6">
        <f>'Goulding 21 mix sup'!D7</f>
        <v>-4.8999999999999915</v>
      </c>
      <c r="H158" s="6">
        <f>'Goulding 21 mix sup'!E7</f>
        <v>16.349999999999998</v>
      </c>
      <c r="I158" s="6">
        <f>'Goulding 21 mix sup'!F7</f>
        <v>11.049999999999999</v>
      </c>
      <c r="J158" s="6">
        <f>'Goulding 21 mix sup'!G7</f>
        <v>5.2999999999999989</v>
      </c>
      <c r="K158" s="6">
        <f t="shared" si="10"/>
        <v>112.35</v>
      </c>
      <c r="L158" s="6">
        <f t="shared" si="11"/>
        <v>13.7</v>
      </c>
      <c r="M158" s="1">
        <v>6</v>
      </c>
      <c r="N158" s="1">
        <v>0.97026583178807768</v>
      </c>
      <c r="O158" s="1">
        <v>0.7342095288270003</v>
      </c>
    </row>
    <row r="159" spans="1:15" x14ac:dyDescent="0.2">
      <c r="A159" s="18"/>
      <c r="B159" s="18"/>
      <c r="E159" s="6">
        <f>'Goulding 21 mix sup'!B8</f>
        <v>110.6</v>
      </c>
      <c r="F159" s="6">
        <f>'Goulding 21 mix sup'!C8</f>
        <v>111.4</v>
      </c>
      <c r="G159" s="6">
        <f>'Goulding 21 mix sup'!D8</f>
        <v>-0.80000000000001137</v>
      </c>
      <c r="H159" s="6">
        <f>'Goulding 21 mix sup'!E8</f>
        <v>15.05</v>
      </c>
      <c r="I159" s="6">
        <f>'Goulding 21 mix sup'!F8</f>
        <v>8.9499999999999993</v>
      </c>
      <c r="J159" s="6">
        <f>'Goulding 21 mix sup'!G8</f>
        <v>6.1000000000000014</v>
      </c>
      <c r="K159" s="6">
        <f t="shared" si="10"/>
        <v>111</v>
      </c>
      <c r="L159" s="6">
        <f t="shared" si="11"/>
        <v>12</v>
      </c>
      <c r="M159" s="1">
        <v>7</v>
      </c>
      <c r="N159" s="1">
        <v>0.97026583178807768</v>
      </c>
      <c r="O159" s="1">
        <v>0.7342095288270003</v>
      </c>
    </row>
    <row r="160" spans="1:15" x14ac:dyDescent="0.2">
      <c r="A160" s="18"/>
      <c r="B160" s="18"/>
      <c r="E160" s="6">
        <f>'Goulding 21 mix sup'!B9</f>
        <v>95</v>
      </c>
      <c r="F160" s="6">
        <f>'Goulding 21 mix sup'!C9</f>
        <v>98</v>
      </c>
      <c r="G160" s="6">
        <f>'Goulding 21 mix sup'!D9</f>
        <v>-3</v>
      </c>
      <c r="H160" s="6">
        <f>'Goulding 21 mix sup'!E9</f>
        <v>15.75</v>
      </c>
      <c r="I160" s="6">
        <f>'Goulding 21 mix sup'!F9</f>
        <v>7.0500000000000007</v>
      </c>
      <c r="J160" s="6">
        <f>'Goulding 21 mix sup'!G9</f>
        <v>8.6999999999999993</v>
      </c>
      <c r="K160" s="6">
        <f t="shared" si="10"/>
        <v>96.5</v>
      </c>
      <c r="L160" s="6">
        <f t="shared" si="11"/>
        <v>11.4</v>
      </c>
      <c r="M160" s="1">
        <v>8</v>
      </c>
      <c r="N160" s="1">
        <v>0.97026583178807768</v>
      </c>
      <c r="O160" s="1">
        <v>0.7342095288270003</v>
      </c>
    </row>
    <row r="161" spans="1:15" x14ac:dyDescent="0.2">
      <c r="A161" s="18"/>
      <c r="B161" s="18"/>
      <c r="E161" s="6"/>
      <c r="F161" s="6"/>
      <c r="G161" s="6"/>
      <c r="H161" s="6"/>
      <c r="I161" s="6"/>
      <c r="J161" s="6"/>
      <c r="K161" s="6"/>
      <c r="L161" s="6"/>
    </row>
    <row r="163" spans="1:15" x14ac:dyDescent="0.2">
      <c r="E163" s="6">
        <f t="shared" ref="E163" si="12" xml:space="preserve"> E164+(1.96*_xlfn.STDEV.S(E2:E160))</f>
        <v>383.1632888845196</v>
      </c>
      <c r="F163" s="6">
        <f t="shared" ref="F163" si="13" xml:space="preserve"> F164+(1.96*_xlfn.STDEV.S(F2:F160))</f>
        <v>352.67259621573896</v>
      </c>
      <c r="G163" s="6">
        <f t="shared" ref="G163" si="14" xml:space="preserve"> G164+(1.96*_xlfn.STDEV.S(G2:G160))</f>
        <v>60.509587256341497</v>
      </c>
      <c r="H163" s="6">
        <f t="shared" ref="H163" si="15" xml:space="preserve"> H164+(1.96*_xlfn.STDEV.S(H2:H160))</f>
        <v>23.093769324667363</v>
      </c>
      <c r="I163" s="6">
        <f t="shared" ref="I163" si="16" xml:space="preserve"> I164+(1.96*_xlfn.STDEV.S(I2:I160))</f>
        <v>28.926546593691356</v>
      </c>
      <c r="J163" s="6">
        <f t="shared" ref="J163" si="17" xml:space="preserve"> J164+(1.96*_xlfn.STDEV.S(J2:J160))</f>
        <v>8.0413737297881731</v>
      </c>
      <c r="K163" s="6">
        <f t="shared" ref="K163" si="18" xml:space="preserve"> K164+(1.96*_xlfn.STDEV.S(K2:K160))</f>
        <v>365.84766037391461</v>
      </c>
      <c r="L163" s="6">
        <f t="shared" ref="L163" si="19" xml:space="preserve"> L164+(1.96*_xlfn.STDEV.S(L2:L160))</f>
        <v>24.593299280145985</v>
      </c>
      <c r="M163" s="6"/>
      <c r="N163" s="6" t="e">
        <f ca="1" xml:space="preserve"> N164+(1.96*_xlfn.STABW.S(N2:N137))</f>
        <v>#NAME?</v>
      </c>
      <c r="O163" s="6" t="e">
        <f ca="1" xml:space="preserve"> O164+(1.96*_xlfn.STABW.S(O2:O137))</f>
        <v>#NAME?</v>
      </c>
    </row>
    <row r="164" spans="1:15" x14ac:dyDescent="0.2">
      <c r="E164" s="6">
        <f t="shared" ref="E164" si="20" xml:space="preserve"> AVERAGEA(E2:E160)</f>
        <v>250.3040880503145</v>
      </c>
      <c r="F164" s="6">
        <f t="shared" ref="F164:L164" si="21" xml:space="preserve"> AVERAGEA(F2:F160)</f>
        <v>238.58081761006289</v>
      </c>
      <c r="G164" s="6">
        <f t="shared" si="21"/>
        <v>11.723270440251575</v>
      </c>
      <c r="H164" s="6">
        <f t="shared" si="21"/>
        <v>13.748490566037734</v>
      </c>
      <c r="I164" s="6">
        <f t="shared" si="21"/>
        <v>16.790566037735857</v>
      </c>
      <c r="J164" s="6">
        <f t="shared" si="21"/>
        <v>-3.0144025157232703</v>
      </c>
      <c r="K164" s="6">
        <f t="shared" si="21"/>
        <v>244.44245283018873</v>
      </c>
      <c r="L164" s="6">
        <f t="shared" si="21"/>
        <v>15.269528301886787</v>
      </c>
      <c r="M164" s="6"/>
      <c r="N164" s="6" t="e">
        <f t="shared" ref="N164:O164" ca="1" si="22" xml:space="preserve"> MITTELWERTA(N2:N137)</f>
        <v>#NAME?</v>
      </c>
      <c r="O164" s="6" t="e">
        <f t="shared" ca="1" si="22"/>
        <v>#NAME?</v>
      </c>
    </row>
    <row r="165" spans="1:15" x14ac:dyDescent="0.2">
      <c r="E165" s="6">
        <f t="shared" ref="E165" si="23" xml:space="preserve"> E164-(1.96*_xlfn.STDEV.S(E2:E160))</f>
        <v>117.44488721610941</v>
      </c>
      <c r="F165" s="6">
        <f t="shared" ref="F165" si="24" xml:space="preserve"> F164-(1.96*_xlfn.STDEV.S(F2:F160))</f>
        <v>124.48903900438681</v>
      </c>
      <c r="G165" s="6">
        <f t="shared" ref="G165" si="25" xml:space="preserve"> G164-(1.96*_xlfn.STDEV.S(G2:G160))</f>
        <v>-37.063046375838347</v>
      </c>
      <c r="H165" s="6">
        <f t="shared" ref="H165" si="26" xml:space="preserve"> H164-(1.96*_xlfn.STDEV.S(H2:H160))</f>
        <v>4.4032118074081072</v>
      </c>
      <c r="I165" s="6">
        <f t="shared" ref="I165" si="27" xml:space="preserve"> I164-(1.96*_xlfn.STDEV.S(I2:I160))</f>
        <v>4.6545854817803605</v>
      </c>
      <c r="J165" s="6">
        <f t="shared" ref="J165" si="28" xml:space="preserve"> J164-(1.96*_xlfn.STDEV.S(J2:J160))</f>
        <v>-14.070178761234715</v>
      </c>
      <c r="K165" s="6">
        <f t="shared" ref="K165" si="29" xml:space="preserve"> K164-(1.96*_xlfn.STDEV.S(K2:K160))</f>
        <v>123.03724528646285</v>
      </c>
      <c r="L165" s="6">
        <f t="shared" ref="L165" si="30" xml:space="preserve"> L164-(1.96*_xlfn.STDEV.S(L2:L160))</f>
        <v>5.9457573236275891</v>
      </c>
      <c r="M165" s="6"/>
      <c r="N165" s="6" t="e">
        <f t="shared" ref="N165:O165" ca="1" si="31" xml:space="preserve"> N164-(1.96*_xlfn.STABW.S(N2:N137))</f>
        <v>#NAME?</v>
      </c>
      <c r="O165" s="6" t="e">
        <f t="shared" ca="1" si="31"/>
        <v>#NAME?</v>
      </c>
    </row>
    <row r="168" spans="1:15" x14ac:dyDescent="0.2">
      <c r="J168" s="6">
        <f xml:space="preserve"> MIN(J2:J137)</f>
        <v>-18.100000000000001</v>
      </c>
    </row>
    <row r="169" spans="1:15" x14ac:dyDescent="0.2">
      <c r="J169" s="6">
        <f xml:space="preserve"> MAX(J2:J137)</f>
        <v>9.5999999999999979</v>
      </c>
    </row>
  </sheetData>
  <mergeCells count="15">
    <mergeCell ref="A138:C138"/>
    <mergeCell ref="A153:C153"/>
    <mergeCell ref="A43:C43"/>
    <mergeCell ref="A2:C2"/>
    <mergeCell ref="A12:C12"/>
    <mergeCell ref="A22:C22"/>
    <mergeCell ref="A30:C30"/>
    <mergeCell ref="A112:C112"/>
    <mergeCell ref="A124:C124"/>
    <mergeCell ref="A56:C56"/>
    <mergeCell ref="A65:C65"/>
    <mergeCell ref="A74:C74"/>
    <mergeCell ref="A84:C84"/>
    <mergeCell ref="A94:C94"/>
    <mergeCell ref="A100:C100"/>
  </mergeCells>
  <pageMargins left="0.7" right="0.7" top="0.78740157499999996" bottom="0.78740157499999996" header="0.3" footer="0.3"/>
  <pageSetup paperSize="9" orientation="portrait" horizontalDpi="0" verticalDpi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E87C6E-C857-BB46-A3C9-3C7D11787985}">
  <sheetPr>
    <tabColor rgb="FF00B050"/>
  </sheetPr>
  <dimension ref="A1:L31"/>
  <sheetViews>
    <sheetView zoomScale="160" zoomScaleNormal="160" workbookViewId="0">
      <selection activeCell="B22" sqref="B22:G23"/>
    </sheetView>
  </sheetViews>
  <sheetFormatPr baseColWidth="10" defaultColWidth="10.83203125" defaultRowHeight="16" customHeight="1" x14ac:dyDescent="0.2"/>
  <cols>
    <col min="1" max="1" width="11" style="1" customWidth="1"/>
    <col min="2" max="16384" width="10.83203125" style="1"/>
  </cols>
  <sheetData>
    <row r="1" spans="2:12" ht="16" customHeight="1" x14ac:dyDescent="0.2">
      <c r="B1" s="7" t="s">
        <v>7</v>
      </c>
      <c r="C1" s="7" t="s">
        <v>6</v>
      </c>
      <c r="D1" s="7" t="s">
        <v>8</v>
      </c>
      <c r="E1" s="8" t="s">
        <v>9</v>
      </c>
      <c r="F1" s="9" t="s">
        <v>10</v>
      </c>
      <c r="G1" s="9" t="s">
        <v>11</v>
      </c>
      <c r="H1" s="10" t="s">
        <v>12</v>
      </c>
      <c r="I1" s="10"/>
      <c r="J1" s="21"/>
      <c r="K1" s="21"/>
      <c r="L1" s="21"/>
    </row>
    <row r="2" spans="2:12" ht="16" customHeight="1" x14ac:dyDescent="0.2">
      <c r="B2" s="1">
        <v>173</v>
      </c>
      <c r="C2" s="1">
        <v>177</v>
      </c>
      <c r="D2" s="1">
        <v>-4</v>
      </c>
      <c r="E2" s="20">
        <v>9.3000000000000007</v>
      </c>
      <c r="F2" s="6">
        <v>9.6999999999999993</v>
      </c>
      <c r="G2" s="6">
        <v>-0.39999999999999858</v>
      </c>
      <c r="H2" s="1">
        <v>1</v>
      </c>
      <c r="I2" s="81" t="s">
        <v>14</v>
      </c>
      <c r="J2" s="81"/>
      <c r="K2" s="81"/>
      <c r="L2" s="17" t="str">
        <f xml:space="preserve"> "n = "&amp;MAX(H2:H19)</f>
        <v>n = 10</v>
      </c>
    </row>
    <row r="3" spans="2:12" ht="16" customHeight="1" x14ac:dyDescent="0.2">
      <c r="B3" s="1">
        <v>286</v>
      </c>
      <c r="C3" s="1">
        <v>287</v>
      </c>
      <c r="D3" s="1">
        <v>-1</v>
      </c>
      <c r="E3" s="15">
        <v>16</v>
      </c>
      <c r="F3" s="6">
        <v>18.899999999999999</v>
      </c>
      <c r="G3" s="6">
        <v>-2.8999999999999986</v>
      </c>
      <c r="H3" s="1">
        <v>2</v>
      </c>
    </row>
    <row r="4" spans="2:12" ht="16" customHeight="1" x14ac:dyDescent="0.2">
      <c r="B4" s="1">
        <v>325</v>
      </c>
      <c r="C4" s="1">
        <v>337</v>
      </c>
      <c r="D4" s="1">
        <v>-12</v>
      </c>
      <c r="E4" s="15">
        <v>25.3</v>
      </c>
      <c r="F4" s="6">
        <v>22.1</v>
      </c>
      <c r="G4" s="6">
        <v>3.1999999999999993</v>
      </c>
      <c r="H4" s="1">
        <v>3</v>
      </c>
    </row>
    <row r="5" spans="2:12" ht="16" customHeight="1" x14ac:dyDescent="0.2">
      <c r="B5" s="1">
        <v>351</v>
      </c>
      <c r="C5" s="1">
        <v>347</v>
      </c>
      <c r="D5" s="1">
        <v>4</v>
      </c>
      <c r="E5" s="15">
        <v>12.2</v>
      </c>
      <c r="F5" s="6">
        <v>11.2</v>
      </c>
      <c r="G5" s="6">
        <v>1</v>
      </c>
      <c r="H5" s="1">
        <v>4</v>
      </c>
    </row>
    <row r="6" spans="2:12" ht="16" customHeight="1" x14ac:dyDescent="0.2">
      <c r="B6" s="1">
        <v>252</v>
      </c>
      <c r="C6" s="1">
        <v>247</v>
      </c>
      <c r="D6" s="1">
        <v>5</v>
      </c>
      <c r="E6" s="15">
        <v>18</v>
      </c>
      <c r="F6" s="6">
        <v>16.7</v>
      </c>
      <c r="G6" s="6">
        <v>1.3000000000000007</v>
      </c>
      <c r="H6" s="1">
        <v>5</v>
      </c>
    </row>
    <row r="7" spans="2:12" ht="16" customHeight="1" x14ac:dyDescent="0.2">
      <c r="B7" s="1">
        <v>262</v>
      </c>
      <c r="C7" s="1">
        <v>251</v>
      </c>
      <c r="D7" s="1">
        <v>11</v>
      </c>
      <c r="E7" s="15">
        <v>12.2</v>
      </c>
      <c r="F7" s="6">
        <v>18.100000000000001</v>
      </c>
      <c r="G7" s="6">
        <v>-5.9000000000000021</v>
      </c>
      <c r="H7" s="1">
        <v>6</v>
      </c>
    </row>
    <row r="8" spans="2:12" ht="16" customHeight="1" x14ac:dyDescent="0.2">
      <c r="B8" s="1">
        <v>316</v>
      </c>
      <c r="C8" s="1">
        <v>317</v>
      </c>
      <c r="D8" s="1">
        <v>-1</v>
      </c>
      <c r="E8" s="15">
        <v>16.2</v>
      </c>
      <c r="F8" s="6">
        <v>17.399999999999999</v>
      </c>
      <c r="G8" s="6">
        <v>-1.1999999999999993</v>
      </c>
      <c r="H8" s="1">
        <v>7</v>
      </c>
    </row>
    <row r="9" spans="2:12" ht="16" customHeight="1" x14ac:dyDescent="0.2">
      <c r="B9" s="1">
        <v>334</v>
      </c>
      <c r="C9" s="1">
        <v>334</v>
      </c>
      <c r="D9" s="1">
        <v>0</v>
      </c>
      <c r="E9" s="15">
        <v>11.5</v>
      </c>
      <c r="F9" s="6">
        <v>14.9</v>
      </c>
      <c r="G9" s="6">
        <v>-3.4000000000000004</v>
      </c>
      <c r="H9" s="1">
        <v>8</v>
      </c>
    </row>
    <row r="10" spans="2:12" ht="16" customHeight="1" x14ac:dyDescent="0.2">
      <c r="B10" s="1">
        <v>330</v>
      </c>
      <c r="C10" s="1">
        <v>333</v>
      </c>
      <c r="D10" s="1">
        <v>-3</v>
      </c>
      <c r="E10" s="15">
        <v>18.100000000000001</v>
      </c>
      <c r="F10" s="6">
        <v>18.399999999999999</v>
      </c>
      <c r="G10" s="6">
        <v>-0.29999999999999716</v>
      </c>
      <c r="H10" s="1">
        <v>9</v>
      </c>
    </row>
    <row r="11" spans="2:12" ht="16" customHeight="1" x14ac:dyDescent="0.2">
      <c r="B11" s="1">
        <v>240</v>
      </c>
      <c r="C11" s="1">
        <v>242</v>
      </c>
      <c r="D11" s="1">
        <v>-2</v>
      </c>
      <c r="E11" s="15">
        <v>11.3</v>
      </c>
      <c r="F11" s="6">
        <v>12.7</v>
      </c>
      <c r="G11" s="6">
        <v>-1.3999999999999986</v>
      </c>
      <c r="H11" s="1">
        <v>10</v>
      </c>
    </row>
    <row r="12" spans="2:12" ht="16" customHeight="1" x14ac:dyDescent="0.2">
      <c r="D12" s="1" t="s">
        <v>58</v>
      </c>
      <c r="E12" s="11"/>
      <c r="G12" s="1" t="s">
        <v>58</v>
      </c>
      <c r="H12" s="1" t="s">
        <v>58</v>
      </c>
    </row>
    <row r="13" spans="2:12" ht="16" customHeight="1" x14ac:dyDescent="0.2">
      <c r="D13" s="1" t="s">
        <v>58</v>
      </c>
      <c r="E13" s="11"/>
      <c r="G13" s="1" t="s">
        <v>58</v>
      </c>
      <c r="H13" s="1" t="s">
        <v>58</v>
      </c>
    </row>
    <row r="14" spans="2:12" ht="16" customHeight="1" x14ac:dyDescent="0.2">
      <c r="D14" s="1" t="s">
        <v>58</v>
      </c>
      <c r="E14" s="11"/>
      <c r="G14" s="1" t="s">
        <v>58</v>
      </c>
      <c r="H14" s="1" t="s">
        <v>58</v>
      </c>
    </row>
    <row r="15" spans="2:12" ht="16" customHeight="1" x14ac:dyDescent="0.2">
      <c r="D15" s="1" t="s">
        <v>58</v>
      </c>
      <c r="E15" s="11"/>
      <c r="G15" s="1" t="s">
        <v>58</v>
      </c>
      <c r="H15" s="1" t="s">
        <v>58</v>
      </c>
    </row>
    <row r="16" spans="2:12" ht="16" customHeight="1" x14ac:dyDescent="0.2">
      <c r="D16" s="1" t="s">
        <v>58</v>
      </c>
      <c r="E16" s="11"/>
      <c r="G16" s="1" t="s">
        <v>58</v>
      </c>
      <c r="H16" s="1" t="s">
        <v>58</v>
      </c>
    </row>
    <row r="17" spans="1:8" ht="16" customHeight="1" x14ac:dyDescent="0.2">
      <c r="D17" s="1" t="s">
        <v>58</v>
      </c>
      <c r="E17" s="11"/>
      <c r="G17" s="1" t="s">
        <v>58</v>
      </c>
      <c r="H17" s="1" t="s">
        <v>58</v>
      </c>
    </row>
    <row r="18" spans="1:8" ht="16" customHeight="1" x14ac:dyDescent="0.2">
      <c r="D18" s="1" t="s">
        <v>58</v>
      </c>
      <c r="E18" s="11"/>
      <c r="G18" s="1" t="s">
        <v>58</v>
      </c>
      <c r="H18" s="1" t="s">
        <v>58</v>
      </c>
    </row>
    <row r="19" spans="1:8" ht="16" customHeight="1" x14ac:dyDescent="0.2">
      <c r="D19" s="1" t="s">
        <v>58</v>
      </c>
      <c r="E19" s="11"/>
      <c r="G19" s="1" t="s">
        <v>58</v>
      </c>
      <c r="H19" s="1" t="s">
        <v>58</v>
      </c>
    </row>
    <row r="20" spans="1:8" ht="16" customHeight="1" x14ac:dyDescent="0.2">
      <c r="D20" s="1" t="s">
        <v>58</v>
      </c>
      <c r="E20" s="11"/>
      <c r="G20" s="1" t="s">
        <v>58</v>
      </c>
      <c r="H20" s="1" t="s">
        <v>58</v>
      </c>
    </row>
    <row r="21" spans="1:8" ht="16" customHeight="1" x14ac:dyDescent="0.2">
      <c r="B21" s="10"/>
      <c r="C21" s="10"/>
      <c r="D21" s="10" t="s">
        <v>58</v>
      </c>
      <c r="E21" s="14"/>
      <c r="F21" s="10"/>
      <c r="G21" s="10" t="s">
        <v>58</v>
      </c>
      <c r="H21" s="1" t="s">
        <v>58</v>
      </c>
    </row>
    <row r="22" spans="1:8" ht="16" customHeight="1" x14ac:dyDescent="0.2">
      <c r="A22" s="27" t="s">
        <v>77</v>
      </c>
      <c r="B22" s="30">
        <f xml:space="preserve"> AVERAGE(B2:B21)</f>
        <v>286.89999999999998</v>
      </c>
      <c r="C22" s="30">
        <f t="shared" ref="C22:G22" si="0" xml:space="preserve"> AVERAGE(C2:C21)</f>
        <v>287.2</v>
      </c>
      <c r="D22" s="30">
        <f t="shared" si="0"/>
        <v>-0.3</v>
      </c>
      <c r="E22" s="33">
        <f t="shared" si="0"/>
        <v>15.010000000000002</v>
      </c>
      <c r="F22" s="32">
        <f t="shared" si="0"/>
        <v>16.010000000000002</v>
      </c>
      <c r="G22" s="32">
        <f t="shared" si="0"/>
        <v>-0.99999999999999944</v>
      </c>
    </row>
    <row r="23" spans="1:8" ht="16" customHeight="1" x14ac:dyDescent="0.2">
      <c r="A23" s="27" t="s">
        <v>76</v>
      </c>
      <c r="B23" s="30">
        <f xml:space="preserve"> _xlfn.STDEV.S(B2:B21)</f>
        <v>55.271953908731064</v>
      </c>
      <c r="C23" s="30">
        <f t="shared" ref="C23:G23" si="1" xml:space="preserve"> _xlfn.STDEV.S(C2:C21)</f>
        <v>56.120505264217897</v>
      </c>
      <c r="D23" s="30">
        <f t="shared" si="1"/>
        <v>6.1110101001752932</v>
      </c>
      <c r="E23" s="31">
        <f t="shared" si="1"/>
        <v>4.728741904566153</v>
      </c>
      <c r="F23" s="32">
        <f t="shared" si="1"/>
        <v>3.8451845787223777</v>
      </c>
      <c r="G23" s="32">
        <f t="shared" si="1"/>
        <v>2.6110874703421523</v>
      </c>
    </row>
    <row r="25" spans="1:8" ht="16" customHeight="1" x14ac:dyDescent="0.2">
      <c r="B25" s="18" t="s">
        <v>6</v>
      </c>
      <c r="C25" s="1" t="s">
        <v>117</v>
      </c>
      <c r="D25" s="73">
        <f xml:space="preserve"> ROUND(_xlfn.NORM.S.DIST(B27/SQRT(2),TRUE),3)</f>
        <v>0.48599999999999999</v>
      </c>
      <c r="E25" s="29" t="s">
        <v>13</v>
      </c>
      <c r="F25" s="1" t="s">
        <v>117</v>
      </c>
      <c r="G25" s="74">
        <f xml:space="preserve"> ROUND(_xlfn.NORM.S.DIST(E27/SQRT(2),TRUE),3)</f>
        <v>0.39300000000000002</v>
      </c>
    </row>
    <row r="26" spans="1:8" ht="16" customHeight="1" x14ac:dyDescent="0.25">
      <c r="B26" s="10" t="s">
        <v>80</v>
      </c>
      <c r="C26" s="10" t="s">
        <v>3</v>
      </c>
      <c r="D26" s="10" t="s">
        <v>4</v>
      </c>
      <c r="E26" s="14" t="s">
        <v>80</v>
      </c>
      <c r="F26" s="10" t="s">
        <v>3</v>
      </c>
      <c r="G26" s="10" t="s">
        <v>4</v>
      </c>
    </row>
    <row r="27" spans="1:8" ht="16" customHeight="1" x14ac:dyDescent="0.2">
      <c r="B27" s="12">
        <f xml:space="preserve"> D22/D23</f>
        <v>-4.9091720531012469E-2</v>
      </c>
      <c r="C27" s="12">
        <f xml:space="preserve"> CORREL(B2:B21,C2:C21)</f>
        <v>0.9940964371279829</v>
      </c>
      <c r="D27" s="12">
        <f xml:space="preserve"> STEYX(C2:C21,B2:B21)</f>
        <v>6.4584456439968072</v>
      </c>
      <c r="E27" s="28">
        <f xml:space="preserve"> G22/G23</f>
        <v>-0.38298219089112367</v>
      </c>
      <c r="F27" s="13">
        <f xml:space="preserve"> CORREL(E2:E21,F2:F21)</f>
        <v>0.83398937844805843</v>
      </c>
      <c r="G27" s="13">
        <f xml:space="preserve"> STEYX(F2:F21,E2:E21)</f>
        <v>2.2504004135656643</v>
      </c>
    </row>
    <row r="28" spans="1:8" ht="16" customHeight="1" x14ac:dyDescent="0.2">
      <c r="E28" s="11"/>
    </row>
    <row r="29" spans="1:8" ht="16" customHeight="1" x14ac:dyDescent="0.25">
      <c r="B29" s="10" t="s">
        <v>78</v>
      </c>
      <c r="C29" s="10" t="s">
        <v>39</v>
      </c>
      <c r="D29" s="10" t="s">
        <v>79</v>
      </c>
      <c r="E29" s="14" t="s">
        <v>78</v>
      </c>
      <c r="F29" s="10" t="s">
        <v>39</v>
      </c>
      <c r="G29" s="10" t="s">
        <v>79</v>
      </c>
    </row>
    <row r="30" spans="1:8" ht="16" customHeight="1" x14ac:dyDescent="0.2">
      <c r="B30" s="12">
        <f>ROUND((1-(3/(4*COUNT(B2:B21)-9))),3)</f>
        <v>0.90300000000000002</v>
      </c>
      <c r="C30" s="12">
        <f xml:space="preserve"> ROUND(B27*B30,3)</f>
        <v>-4.3999999999999997E-2</v>
      </c>
      <c r="D30" s="12">
        <f>ROUND( ((1/COUNT(D2:D21))+((B27^2)/(2*(COUNT(D2:D21)))))*2*(1-C27)*(B30^2),3)</f>
        <v>1E-3</v>
      </c>
      <c r="E30" s="28">
        <f>ROUND((1-(3/(4*COUNT(E2:E21)-9))),3)</f>
        <v>0.90300000000000002</v>
      </c>
      <c r="F30" s="13">
        <f xml:space="preserve"> ROUND(E27*E30,3)</f>
        <v>-0.34599999999999997</v>
      </c>
      <c r="G30" s="13">
        <f>ROUND( ((1/COUNT(G2:G21))+((E27^2)/(2*(COUNT(G2:G21)))))*2*(1-F27)*(E30^2),3)</f>
        <v>2.9000000000000001E-2</v>
      </c>
    </row>
    <row r="31" spans="1:8" ht="16" customHeight="1" x14ac:dyDescent="0.2">
      <c r="E31" s="11"/>
    </row>
  </sheetData>
  <mergeCells count="1">
    <mergeCell ref="I2:K2"/>
  </mergeCells>
  <pageMargins left="0.7" right="0.7" top="0.78740157499999996" bottom="0.78740157499999996" header="0.3" footer="0.3"/>
  <pageSetup paperSize="9"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CC2A47-E141-B643-BC56-79D76DA31527}">
  <sheetPr>
    <tabColor rgb="FF00B050"/>
  </sheetPr>
  <dimension ref="A1:L31"/>
  <sheetViews>
    <sheetView topLeftCell="A7" zoomScale="160" zoomScaleNormal="160" workbookViewId="0">
      <selection activeCell="B22" sqref="B22:G23"/>
    </sheetView>
  </sheetViews>
  <sheetFormatPr baseColWidth="10" defaultColWidth="10.83203125" defaultRowHeight="16" customHeight="1" x14ac:dyDescent="0.2"/>
  <cols>
    <col min="1" max="16384" width="10.83203125" style="1"/>
  </cols>
  <sheetData>
    <row r="1" spans="2:12" ht="16" customHeight="1" x14ac:dyDescent="0.2">
      <c r="B1" s="7" t="s">
        <v>7</v>
      </c>
      <c r="C1" s="7" t="s">
        <v>6</v>
      </c>
      <c r="D1" s="7" t="s">
        <v>8</v>
      </c>
      <c r="E1" s="8" t="s">
        <v>9</v>
      </c>
      <c r="F1" s="9" t="s">
        <v>10</v>
      </c>
      <c r="G1" s="9" t="s">
        <v>11</v>
      </c>
      <c r="H1" s="10" t="s">
        <v>12</v>
      </c>
      <c r="I1" s="10"/>
      <c r="J1" s="21"/>
      <c r="K1" s="21"/>
      <c r="L1" s="21"/>
    </row>
    <row r="2" spans="2:12" ht="16" customHeight="1" x14ac:dyDescent="0.2">
      <c r="B2" s="1">
        <v>173</v>
      </c>
      <c r="C2" s="1">
        <v>176</v>
      </c>
      <c r="D2" s="1">
        <v>-3</v>
      </c>
      <c r="E2" s="20">
        <v>9.3000000000000007</v>
      </c>
      <c r="F2" s="6">
        <v>9.9</v>
      </c>
      <c r="G2" s="6">
        <v>-0.59999999999999964</v>
      </c>
      <c r="H2" s="1">
        <v>1</v>
      </c>
      <c r="I2" s="81" t="s">
        <v>15</v>
      </c>
      <c r="J2" s="81"/>
      <c r="K2" s="81"/>
      <c r="L2" s="17" t="str">
        <f xml:space="preserve"> "n = "&amp;MAX(H2:H21)</f>
        <v>n = 10</v>
      </c>
    </row>
    <row r="3" spans="2:12" ht="16" customHeight="1" x14ac:dyDescent="0.2">
      <c r="B3" s="1">
        <v>286</v>
      </c>
      <c r="C3" s="1">
        <v>296</v>
      </c>
      <c r="D3" s="1">
        <v>-10</v>
      </c>
      <c r="E3" s="15">
        <v>16</v>
      </c>
      <c r="F3" s="6">
        <v>16.7</v>
      </c>
      <c r="G3" s="6">
        <v>-0.69999999999999929</v>
      </c>
      <c r="H3" s="1">
        <v>2</v>
      </c>
    </row>
    <row r="4" spans="2:12" ht="16" customHeight="1" x14ac:dyDescent="0.2">
      <c r="B4" s="1">
        <v>325</v>
      </c>
      <c r="C4" s="1">
        <v>343</v>
      </c>
      <c r="D4" s="1">
        <v>-18</v>
      </c>
      <c r="E4" s="15">
        <v>25.3</v>
      </c>
      <c r="F4" s="6">
        <v>20.5</v>
      </c>
      <c r="G4" s="6">
        <v>4.8000000000000007</v>
      </c>
      <c r="H4" s="1">
        <v>3</v>
      </c>
    </row>
    <row r="5" spans="2:12" ht="16" customHeight="1" x14ac:dyDescent="0.2">
      <c r="B5" s="1">
        <v>351</v>
      </c>
      <c r="C5" s="1">
        <v>347</v>
      </c>
      <c r="D5" s="1">
        <v>4</v>
      </c>
      <c r="E5" s="15">
        <v>12.2</v>
      </c>
      <c r="F5" s="6">
        <v>11.3</v>
      </c>
      <c r="G5" s="6">
        <v>0.89999999999999858</v>
      </c>
      <c r="H5" s="1">
        <v>4</v>
      </c>
    </row>
    <row r="6" spans="2:12" ht="16" customHeight="1" x14ac:dyDescent="0.2">
      <c r="B6" s="1">
        <v>252</v>
      </c>
      <c r="C6" s="1">
        <v>245</v>
      </c>
      <c r="D6" s="1">
        <v>7</v>
      </c>
      <c r="E6" s="15">
        <v>18</v>
      </c>
      <c r="F6" s="6">
        <v>17.100000000000001</v>
      </c>
      <c r="G6" s="6">
        <v>0.89999999999999858</v>
      </c>
      <c r="H6" s="1">
        <v>5</v>
      </c>
    </row>
    <row r="7" spans="2:12" ht="16" customHeight="1" x14ac:dyDescent="0.2">
      <c r="B7" s="1">
        <v>262</v>
      </c>
      <c r="C7" s="1">
        <v>254</v>
      </c>
      <c r="D7" s="1">
        <v>8</v>
      </c>
      <c r="E7" s="15">
        <v>12.2</v>
      </c>
      <c r="F7" s="6">
        <v>16.899999999999999</v>
      </c>
      <c r="G7" s="6">
        <v>-4.6999999999999993</v>
      </c>
      <c r="H7" s="1">
        <v>6</v>
      </c>
    </row>
    <row r="8" spans="2:12" ht="16" customHeight="1" x14ac:dyDescent="0.2">
      <c r="B8" s="1">
        <v>316</v>
      </c>
      <c r="C8" s="1">
        <v>320</v>
      </c>
      <c r="D8" s="1">
        <v>-4</v>
      </c>
      <c r="E8" s="15">
        <v>16.2</v>
      </c>
      <c r="F8" s="6">
        <v>16.5</v>
      </c>
      <c r="G8" s="6">
        <v>-0.30000000000000071</v>
      </c>
      <c r="H8" s="1">
        <v>7</v>
      </c>
    </row>
    <row r="9" spans="2:12" ht="16" customHeight="1" x14ac:dyDescent="0.2">
      <c r="B9" s="1">
        <v>334</v>
      </c>
      <c r="C9" s="1">
        <v>332</v>
      </c>
      <c r="D9" s="1">
        <v>2</v>
      </c>
      <c r="E9" s="15">
        <v>11.5</v>
      </c>
      <c r="F9" s="6">
        <v>15.6</v>
      </c>
      <c r="G9" s="6">
        <v>-4.0999999999999996</v>
      </c>
      <c r="H9" s="1">
        <v>8</v>
      </c>
    </row>
    <row r="10" spans="2:12" ht="16" customHeight="1" x14ac:dyDescent="0.2">
      <c r="B10" s="1">
        <v>330</v>
      </c>
      <c r="C10" s="1">
        <v>334</v>
      </c>
      <c r="D10" s="1">
        <v>-4</v>
      </c>
      <c r="E10" s="15">
        <v>18.100000000000001</v>
      </c>
      <c r="F10" s="6">
        <v>18.2</v>
      </c>
      <c r="G10" s="6">
        <v>-9.9999999999997868E-2</v>
      </c>
      <c r="H10" s="1">
        <v>9</v>
      </c>
    </row>
    <row r="11" spans="2:12" ht="16" customHeight="1" x14ac:dyDescent="0.2">
      <c r="B11" s="1">
        <v>240</v>
      </c>
      <c r="C11" s="1">
        <v>247</v>
      </c>
      <c r="D11" s="1">
        <v>-7</v>
      </c>
      <c r="E11" s="15">
        <v>11.3</v>
      </c>
      <c r="F11" s="6">
        <v>11</v>
      </c>
      <c r="G11" s="6">
        <v>0.30000000000000071</v>
      </c>
      <c r="H11" s="1">
        <v>10</v>
      </c>
    </row>
    <row r="12" spans="2:12" ht="16" customHeight="1" x14ac:dyDescent="0.2">
      <c r="D12" s="1" t="s">
        <v>58</v>
      </c>
      <c r="E12" s="11"/>
      <c r="G12" s="1" t="s">
        <v>58</v>
      </c>
      <c r="H12" s="1" t="s">
        <v>58</v>
      </c>
    </row>
    <row r="13" spans="2:12" ht="16" customHeight="1" x14ac:dyDescent="0.2">
      <c r="D13" s="1" t="s">
        <v>58</v>
      </c>
      <c r="E13" s="11"/>
      <c r="G13" s="1" t="s">
        <v>58</v>
      </c>
      <c r="H13" s="1" t="s">
        <v>58</v>
      </c>
    </row>
    <row r="14" spans="2:12" ht="16" customHeight="1" x14ac:dyDescent="0.2">
      <c r="D14" s="1" t="s">
        <v>58</v>
      </c>
      <c r="E14" s="11"/>
      <c r="G14" s="1" t="s">
        <v>58</v>
      </c>
      <c r="H14" s="1" t="s">
        <v>58</v>
      </c>
    </row>
    <row r="15" spans="2:12" ht="16" customHeight="1" x14ac:dyDescent="0.2">
      <c r="D15" s="1" t="s">
        <v>58</v>
      </c>
      <c r="E15" s="11"/>
      <c r="G15" s="1" t="s">
        <v>58</v>
      </c>
      <c r="H15" s="1" t="s">
        <v>58</v>
      </c>
    </row>
    <row r="16" spans="2:12" ht="16" customHeight="1" x14ac:dyDescent="0.2">
      <c r="D16" s="1" t="s">
        <v>58</v>
      </c>
      <c r="E16" s="11"/>
      <c r="G16" s="1" t="s">
        <v>58</v>
      </c>
      <c r="H16" s="1" t="s">
        <v>58</v>
      </c>
    </row>
    <row r="17" spans="1:8" ht="16" customHeight="1" x14ac:dyDescent="0.2">
      <c r="D17" s="1" t="s">
        <v>58</v>
      </c>
      <c r="E17" s="11"/>
      <c r="G17" s="1" t="s">
        <v>58</v>
      </c>
      <c r="H17" s="1" t="s">
        <v>58</v>
      </c>
    </row>
    <row r="18" spans="1:8" ht="16" customHeight="1" x14ac:dyDescent="0.2">
      <c r="D18" s="1" t="s">
        <v>58</v>
      </c>
      <c r="E18" s="11"/>
      <c r="G18" s="1" t="s">
        <v>58</v>
      </c>
      <c r="H18" s="1" t="s">
        <v>58</v>
      </c>
    </row>
    <row r="19" spans="1:8" ht="16" customHeight="1" x14ac:dyDescent="0.2">
      <c r="D19" s="1" t="s">
        <v>58</v>
      </c>
      <c r="E19" s="11"/>
      <c r="G19" s="1" t="s">
        <v>58</v>
      </c>
      <c r="H19" s="1" t="s">
        <v>58</v>
      </c>
    </row>
    <row r="20" spans="1:8" ht="16" customHeight="1" x14ac:dyDescent="0.2">
      <c r="D20" s="1" t="s">
        <v>58</v>
      </c>
      <c r="E20" s="11"/>
      <c r="G20" s="1" t="s">
        <v>58</v>
      </c>
      <c r="H20" s="1" t="s">
        <v>58</v>
      </c>
    </row>
    <row r="21" spans="1:8" ht="16" customHeight="1" x14ac:dyDescent="0.2">
      <c r="B21" s="10"/>
      <c r="C21" s="10"/>
      <c r="D21" s="10" t="s">
        <v>58</v>
      </c>
      <c r="E21" s="14"/>
      <c r="F21" s="10"/>
      <c r="G21" s="10" t="s">
        <v>58</v>
      </c>
      <c r="H21" s="1" t="s">
        <v>58</v>
      </c>
    </row>
    <row r="22" spans="1:8" ht="16" customHeight="1" x14ac:dyDescent="0.2">
      <c r="A22" s="27" t="s">
        <v>77</v>
      </c>
      <c r="B22" s="30">
        <f xml:space="preserve"> AVERAGE(B2:B21)</f>
        <v>286.89999999999998</v>
      </c>
      <c r="C22" s="30">
        <f t="shared" ref="C22:G22" si="0" xml:space="preserve"> AVERAGE(C2:C21)</f>
        <v>289.39999999999998</v>
      </c>
      <c r="D22" s="30">
        <f t="shared" si="0"/>
        <v>-2.5</v>
      </c>
      <c r="E22" s="33">
        <f t="shared" si="0"/>
        <v>15.010000000000002</v>
      </c>
      <c r="F22" s="32">
        <f t="shared" si="0"/>
        <v>15.37</v>
      </c>
      <c r="G22" s="32">
        <f t="shared" si="0"/>
        <v>-0.35999999999999976</v>
      </c>
    </row>
    <row r="23" spans="1:8" ht="16" customHeight="1" x14ac:dyDescent="0.2">
      <c r="A23" s="27" t="s">
        <v>76</v>
      </c>
      <c r="B23" s="30">
        <f xml:space="preserve"> _xlfn.STDEV.S(B2:B21)</f>
        <v>55.271953908731064</v>
      </c>
      <c r="C23" s="30">
        <f t="shared" ref="C23:G23" si="1" xml:space="preserve"> _xlfn.STDEV.S(C2:C21)</f>
        <v>56.623905434601284</v>
      </c>
      <c r="D23" s="30">
        <f t="shared" si="1"/>
        <v>8.0588116024910548</v>
      </c>
      <c r="E23" s="31">
        <f t="shared" si="1"/>
        <v>4.728741904566153</v>
      </c>
      <c r="F23" s="32">
        <f t="shared" si="1"/>
        <v>3.4695660951895522</v>
      </c>
      <c r="G23" s="32">
        <f t="shared" si="1"/>
        <v>2.6521270289670853</v>
      </c>
    </row>
    <row r="25" spans="1:8" ht="16" customHeight="1" x14ac:dyDescent="0.2">
      <c r="B25" s="18" t="s">
        <v>6</v>
      </c>
      <c r="C25" s="1" t="s">
        <v>117</v>
      </c>
      <c r="D25" s="73">
        <f xml:space="preserve"> ROUND(_xlfn.NORM.S.DIST(B27/SQRT(2),TRUE),3)</f>
        <v>0.41299999999999998</v>
      </c>
      <c r="E25" s="29" t="s">
        <v>13</v>
      </c>
      <c r="F25" s="1" t="s">
        <v>117</v>
      </c>
      <c r="G25" s="74">
        <f xml:space="preserve"> ROUND(_xlfn.NORM.S.DIST(E27/SQRT(2),TRUE),3)</f>
        <v>0.46200000000000002</v>
      </c>
    </row>
    <row r="26" spans="1:8" ht="16" customHeight="1" x14ac:dyDescent="0.25">
      <c r="B26" s="10" t="s">
        <v>80</v>
      </c>
      <c r="C26" s="10" t="s">
        <v>3</v>
      </c>
      <c r="D26" s="10" t="s">
        <v>4</v>
      </c>
      <c r="E26" s="14" t="s">
        <v>80</v>
      </c>
      <c r="F26" s="10" t="s">
        <v>3</v>
      </c>
      <c r="G26" s="10" t="s">
        <v>4</v>
      </c>
    </row>
    <row r="27" spans="1:8" ht="16" customHeight="1" x14ac:dyDescent="0.2">
      <c r="B27" s="12">
        <f xml:space="preserve"> D22/D23</f>
        <v>-0.31021943722164025</v>
      </c>
      <c r="C27" s="12">
        <f xml:space="preserve"> CORREL(B2:B21,C2:C21)</f>
        <v>0.98991654290008446</v>
      </c>
      <c r="D27" s="12">
        <f xml:space="preserve"> STEYX(C2:C21,B2:B21)</f>
        <v>8.5074271705632025</v>
      </c>
      <c r="E27" s="28">
        <f xml:space="preserve"> G22/G23</f>
        <v>-0.13574010447765306</v>
      </c>
      <c r="F27" s="13">
        <f xml:space="preserve"> CORREL(E2:E21,F2:F21)</f>
        <v>0.83396234946835879</v>
      </c>
      <c r="G27" s="13">
        <f xml:space="preserve"> STEYX(F2:F21,E2:E21)</f>
        <v>2.0307194286435291</v>
      </c>
    </row>
    <row r="28" spans="1:8" ht="16" customHeight="1" x14ac:dyDescent="0.2">
      <c r="E28" s="11"/>
    </row>
    <row r="29" spans="1:8" ht="16" customHeight="1" x14ac:dyDescent="0.25">
      <c r="B29" s="10" t="s">
        <v>78</v>
      </c>
      <c r="C29" s="10" t="s">
        <v>39</v>
      </c>
      <c r="D29" s="10" t="s">
        <v>79</v>
      </c>
      <c r="E29" s="14" t="s">
        <v>78</v>
      </c>
      <c r="F29" s="10" t="s">
        <v>39</v>
      </c>
      <c r="G29" s="10" t="s">
        <v>79</v>
      </c>
    </row>
    <row r="30" spans="1:8" ht="16" customHeight="1" x14ac:dyDescent="0.2">
      <c r="B30" s="12">
        <f>ROUND((1-(3/(4*COUNT(B2:B21)-9))),3)</f>
        <v>0.90300000000000002</v>
      </c>
      <c r="C30" s="12">
        <f xml:space="preserve"> ROUND(B27*B30,3)</f>
        <v>-0.28000000000000003</v>
      </c>
      <c r="D30" s="12">
        <f>ROUND( ((1/COUNT(D2:D21))+((B27^2)/(2*(COUNT(D2:D21)))))*2*(1-C27)*(B30^2),3)</f>
        <v>2E-3</v>
      </c>
      <c r="E30" s="28">
        <f>ROUND((1-(3/(4*COUNT(E2:E21)-9))),3)</f>
        <v>0.90300000000000002</v>
      </c>
      <c r="F30" s="13">
        <f xml:space="preserve"> ROUND(E27*E30,3)</f>
        <v>-0.123</v>
      </c>
      <c r="G30" s="13">
        <f>ROUND( ((1/COUNT(G2:G21))+((E27^2)/(2*(COUNT(G2:G21)))))*2*(1-F27)*(E30^2),3)</f>
        <v>2.7E-2</v>
      </c>
    </row>
    <row r="31" spans="1:8" ht="16" customHeight="1" x14ac:dyDescent="0.2">
      <c r="E31" s="11"/>
    </row>
  </sheetData>
  <mergeCells count="1">
    <mergeCell ref="I2:K2"/>
  </mergeCells>
  <pageMargins left="0.7" right="0.7" top="0.78740157499999996" bottom="0.78740157499999996" header="0.3" footer="0.3"/>
  <pageSetup paperSize="9" orientation="portrait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F0FA57-9487-D24E-9AE2-3F55C4DB66AB}">
  <sheetPr>
    <tabColor rgb="FF00B050"/>
  </sheetPr>
  <dimension ref="A1:L31"/>
  <sheetViews>
    <sheetView topLeftCell="A6" zoomScale="160" zoomScaleNormal="160" workbookViewId="0">
      <selection activeCell="B22" sqref="B22:G23"/>
    </sheetView>
  </sheetViews>
  <sheetFormatPr baseColWidth="10" defaultColWidth="10.83203125" defaultRowHeight="16" customHeight="1" x14ac:dyDescent="0.2"/>
  <cols>
    <col min="1" max="16384" width="10.83203125" style="1"/>
  </cols>
  <sheetData>
    <row r="1" spans="2:12" ht="16" customHeight="1" x14ac:dyDescent="0.2">
      <c r="B1" s="7" t="s">
        <v>7</v>
      </c>
      <c r="C1" s="7" t="s">
        <v>6</v>
      </c>
      <c r="D1" s="7" t="s">
        <v>8</v>
      </c>
      <c r="E1" s="8" t="s">
        <v>9</v>
      </c>
      <c r="F1" s="9" t="s">
        <v>10</v>
      </c>
      <c r="G1" s="9" t="s">
        <v>11</v>
      </c>
      <c r="H1" s="10" t="s">
        <v>12</v>
      </c>
      <c r="I1" s="10"/>
      <c r="J1" s="21"/>
      <c r="K1" s="21"/>
      <c r="L1" s="21"/>
    </row>
    <row r="2" spans="2:12" ht="16" customHeight="1" x14ac:dyDescent="0.2">
      <c r="B2" s="1">
        <v>120</v>
      </c>
      <c r="C2" s="1">
        <v>180</v>
      </c>
      <c r="D2" s="1">
        <v>-60</v>
      </c>
      <c r="E2" s="16">
        <v>12.5</v>
      </c>
      <c r="F2" s="6">
        <v>8.5</v>
      </c>
      <c r="G2" s="6">
        <v>4</v>
      </c>
      <c r="H2" s="1">
        <v>1</v>
      </c>
      <c r="I2" s="81" t="s">
        <v>27</v>
      </c>
      <c r="J2" s="81"/>
      <c r="K2" s="81"/>
      <c r="L2" s="17" t="str">
        <f xml:space="preserve"> "n = "&amp;MAX(H2:H21)</f>
        <v>n = 8</v>
      </c>
    </row>
    <row r="3" spans="2:12" ht="16" customHeight="1" x14ac:dyDescent="0.2">
      <c r="B3" s="1">
        <v>146</v>
      </c>
      <c r="C3" s="1">
        <v>120</v>
      </c>
      <c r="D3" s="1">
        <v>26</v>
      </c>
      <c r="E3" s="11">
        <v>8.3000000000000007</v>
      </c>
      <c r="F3" s="6">
        <v>16.600000000000001</v>
      </c>
      <c r="G3" s="6">
        <v>-8.3000000000000007</v>
      </c>
      <c r="H3" s="1">
        <v>2</v>
      </c>
    </row>
    <row r="4" spans="2:12" ht="16" customHeight="1" x14ac:dyDescent="0.2">
      <c r="B4" s="1">
        <v>141</v>
      </c>
      <c r="C4" s="1">
        <v>152</v>
      </c>
      <c r="D4" s="1">
        <v>-11</v>
      </c>
      <c r="E4" s="11">
        <v>11.8</v>
      </c>
      <c r="F4" s="6">
        <v>14.9</v>
      </c>
      <c r="G4" s="6">
        <v>-3.0999999999999996</v>
      </c>
      <c r="H4" s="1">
        <v>3</v>
      </c>
    </row>
    <row r="5" spans="2:12" ht="16" customHeight="1" x14ac:dyDescent="0.2">
      <c r="B5" s="1">
        <v>115</v>
      </c>
      <c r="C5" s="1">
        <v>104</v>
      </c>
      <c r="D5" s="1">
        <v>11</v>
      </c>
      <c r="E5" s="11">
        <v>8.5</v>
      </c>
      <c r="F5" s="6">
        <v>10.1</v>
      </c>
      <c r="G5" s="6">
        <v>-1.5999999999999996</v>
      </c>
      <c r="H5" s="1">
        <v>4</v>
      </c>
    </row>
    <row r="6" spans="2:12" ht="16" customHeight="1" x14ac:dyDescent="0.2">
      <c r="B6" s="1">
        <v>112</v>
      </c>
      <c r="C6" s="1">
        <v>121</v>
      </c>
      <c r="D6" s="1">
        <v>-9</v>
      </c>
      <c r="E6" s="11">
        <v>10.9</v>
      </c>
      <c r="F6" s="6">
        <v>10.5</v>
      </c>
      <c r="G6" s="6">
        <v>0.40000000000000036</v>
      </c>
      <c r="H6" s="1">
        <v>5</v>
      </c>
    </row>
    <row r="7" spans="2:12" ht="16" customHeight="1" x14ac:dyDescent="0.2">
      <c r="B7" s="1">
        <v>181</v>
      </c>
      <c r="C7" s="1">
        <v>171</v>
      </c>
      <c r="D7" s="1">
        <v>10</v>
      </c>
      <c r="E7" s="11">
        <v>14.5</v>
      </c>
      <c r="F7" s="6">
        <v>14.2</v>
      </c>
      <c r="G7" s="6">
        <v>0.30000000000000071</v>
      </c>
      <c r="H7" s="1">
        <v>6</v>
      </c>
    </row>
    <row r="8" spans="2:12" ht="16" customHeight="1" x14ac:dyDescent="0.2">
      <c r="B8" s="1">
        <v>164</v>
      </c>
      <c r="C8" s="1">
        <v>160</v>
      </c>
      <c r="D8" s="1">
        <v>4</v>
      </c>
      <c r="E8" s="11">
        <v>9.6</v>
      </c>
      <c r="F8" s="6">
        <v>11.5</v>
      </c>
      <c r="G8" s="6">
        <v>-1.9000000000000004</v>
      </c>
      <c r="H8" s="1">
        <v>7</v>
      </c>
    </row>
    <row r="9" spans="2:12" ht="16" customHeight="1" x14ac:dyDescent="0.2">
      <c r="B9" s="1">
        <v>192</v>
      </c>
      <c r="C9" s="1">
        <v>160</v>
      </c>
      <c r="D9" s="1">
        <v>32</v>
      </c>
      <c r="E9" s="11">
        <v>9.1</v>
      </c>
      <c r="F9" s="6">
        <v>10.4</v>
      </c>
      <c r="G9" s="6">
        <v>-1.3000000000000007</v>
      </c>
      <c r="H9" s="1">
        <v>8</v>
      </c>
    </row>
    <row r="10" spans="2:12" ht="16" customHeight="1" x14ac:dyDescent="0.2">
      <c r="D10" s="1" t="s">
        <v>58</v>
      </c>
      <c r="E10" s="11"/>
      <c r="G10" s="1" t="s">
        <v>58</v>
      </c>
      <c r="H10" s="1" t="s">
        <v>58</v>
      </c>
    </row>
    <row r="11" spans="2:12" ht="16" customHeight="1" x14ac:dyDescent="0.2">
      <c r="D11" s="1" t="s">
        <v>58</v>
      </c>
      <c r="E11" s="11"/>
      <c r="G11" s="1" t="s">
        <v>58</v>
      </c>
      <c r="H11" s="1" t="s">
        <v>58</v>
      </c>
    </row>
    <row r="12" spans="2:12" ht="16" customHeight="1" x14ac:dyDescent="0.2">
      <c r="D12" s="1" t="s">
        <v>58</v>
      </c>
      <c r="E12" s="11"/>
      <c r="G12" s="1" t="s">
        <v>58</v>
      </c>
      <c r="H12" s="1" t="s">
        <v>58</v>
      </c>
    </row>
    <row r="13" spans="2:12" ht="16" customHeight="1" x14ac:dyDescent="0.2">
      <c r="D13" s="1" t="s">
        <v>58</v>
      </c>
      <c r="E13" s="11"/>
      <c r="G13" s="1" t="s">
        <v>58</v>
      </c>
      <c r="H13" s="1" t="s">
        <v>58</v>
      </c>
    </row>
    <row r="14" spans="2:12" ht="16" customHeight="1" x14ac:dyDescent="0.2">
      <c r="D14" s="1" t="s">
        <v>58</v>
      </c>
      <c r="E14" s="11"/>
      <c r="G14" s="1" t="s">
        <v>58</v>
      </c>
      <c r="H14" s="1" t="s">
        <v>58</v>
      </c>
    </row>
    <row r="15" spans="2:12" ht="16" customHeight="1" x14ac:dyDescent="0.2">
      <c r="D15" s="1" t="s">
        <v>58</v>
      </c>
      <c r="E15" s="11"/>
      <c r="G15" s="1" t="s">
        <v>58</v>
      </c>
      <c r="H15" s="1" t="s">
        <v>58</v>
      </c>
    </row>
    <row r="16" spans="2:12" ht="16" customHeight="1" x14ac:dyDescent="0.2">
      <c r="D16" s="1" t="s">
        <v>58</v>
      </c>
      <c r="E16" s="11"/>
      <c r="G16" s="1" t="s">
        <v>58</v>
      </c>
      <c r="H16" s="1" t="s">
        <v>58</v>
      </c>
    </row>
    <row r="17" spans="1:8" ht="16" customHeight="1" x14ac:dyDescent="0.2">
      <c r="D17" s="1" t="s">
        <v>58</v>
      </c>
      <c r="E17" s="11"/>
      <c r="G17" s="1" t="s">
        <v>58</v>
      </c>
      <c r="H17" s="1" t="s">
        <v>58</v>
      </c>
    </row>
    <row r="18" spans="1:8" ht="16" customHeight="1" x14ac:dyDescent="0.2">
      <c r="D18" s="1" t="s">
        <v>58</v>
      </c>
      <c r="E18" s="11"/>
      <c r="G18" s="1" t="s">
        <v>58</v>
      </c>
      <c r="H18" s="1" t="s">
        <v>58</v>
      </c>
    </row>
    <row r="19" spans="1:8" ht="16" customHeight="1" x14ac:dyDescent="0.2">
      <c r="D19" s="1" t="s">
        <v>58</v>
      </c>
      <c r="E19" s="11"/>
      <c r="G19" s="1" t="s">
        <v>58</v>
      </c>
      <c r="H19" s="1" t="s">
        <v>58</v>
      </c>
    </row>
    <row r="20" spans="1:8" ht="16" customHeight="1" x14ac:dyDescent="0.2">
      <c r="D20" s="1" t="s">
        <v>58</v>
      </c>
      <c r="E20" s="11"/>
      <c r="G20" s="1" t="s">
        <v>58</v>
      </c>
      <c r="H20" s="1" t="s">
        <v>58</v>
      </c>
    </row>
    <row r="21" spans="1:8" ht="16" customHeight="1" x14ac:dyDescent="0.2">
      <c r="B21" s="10"/>
      <c r="C21" s="10"/>
      <c r="D21" s="10" t="s">
        <v>58</v>
      </c>
      <c r="E21" s="14"/>
      <c r="F21" s="10"/>
      <c r="G21" s="10" t="s">
        <v>58</v>
      </c>
      <c r="H21" s="1" t="s">
        <v>58</v>
      </c>
    </row>
    <row r="22" spans="1:8" ht="16" customHeight="1" x14ac:dyDescent="0.2">
      <c r="A22" s="27" t="s">
        <v>77</v>
      </c>
      <c r="B22" s="30">
        <f xml:space="preserve"> AVERAGE(B2:B21)</f>
        <v>146.375</v>
      </c>
      <c r="C22" s="30">
        <f t="shared" ref="C22:G22" si="0" xml:space="preserve"> AVERAGE(C2:C21)</f>
        <v>146</v>
      </c>
      <c r="D22" s="30">
        <f t="shared" si="0"/>
        <v>0.375</v>
      </c>
      <c r="E22" s="33">
        <f t="shared" si="0"/>
        <v>10.649999999999999</v>
      </c>
      <c r="F22" s="32">
        <f t="shared" si="0"/>
        <v>12.0875</v>
      </c>
      <c r="G22" s="32">
        <f t="shared" si="0"/>
        <v>-1.4375</v>
      </c>
    </row>
    <row r="23" spans="1:8" ht="16" customHeight="1" x14ac:dyDescent="0.2">
      <c r="A23" s="27" t="s">
        <v>76</v>
      </c>
      <c r="B23" s="30">
        <f xml:space="preserve"> _xlfn.STDEV.S(B2:B21)</f>
        <v>30.42995469692886</v>
      </c>
      <c r="C23" s="30">
        <f t="shared" ref="C23:G23" si="1" xml:space="preserve"> _xlfn.STDEV.S(C2:C21)</f>
        <v>27.448653362752999</v>
      </c>
      <c r="D23" s="30">
        <f t="shared" si="1"/>
        <v>28.630341048814429</v>
      </c>
      <c r="E23" s="31">
        <f t="shared" si="1"/>
        <v>2.1804324603815965</v>
      </c>
      <c r="F23" s="32">
        <f t="shared" si="1"/>
        <v>2.8098995914953453</v>
      </c>
      <c r="G23" s="32">
        <f t="shared" si="1"/>
        <v>3.5067027655212364</v>
      </c>
    </row>
    <row r="25" spans="1:8" ht="16" customHeight="1" x14ac:dyDescent="0.2">
      <c r="B25" s="18" t="s">
        <v>6</v>
      </c>
      <c r="C25" s="1" t="s">
        <v>117</v>
      </c>
      <c r="D25" s="73">
        <f xml:space="preserve"> ROUND(_xlfn.NORM.S.DIST(B27/SQRT(2),TRUE),3)</f>
        <v>0.504</v>
      </c>
      <c r="E25" s="29" t="s">
        <v>13</v>
      </c>
      <c r="F25" s="1" t="s">
        <v>117</v>
      </c>
      <c r="G25" s="74">
        <f xml:space="preserve"> ROUND(_xlfn.NORM.S.DIST(E27/SQRT(2),TRUE),3)</f>
        <v>0.38600000000000001</v>
      </c>
    </row>
    <row r="26" spans="1:8" ht="16" customHeight="1" x14ac:dyDescent="0.25">
      <c r="B26" s="10" t="s">
        <v>80</v>
      </c>
      <c r="C26" s="10" t="s">
        <v>3</v>
      </c>
      <c r="D26" s="10" t="s">
        <v>4</v>
      </c>
      <c r="E26" s="14" t="s">
        <v>80</v>
      </c>
      <c r="F26" s="10" t="s">
        <v>3</v>
      </c>
      <c r="G26" s="10" t="s">
        <v>4</v>
      </c>
    </row>
    <row r="27" spans="1:8" ht="16" customHeight="1" x14ac:dyDescent="0.2">
      <c r="B27" s="12">
        <f xml:space="preserve"> D22/D23</f>
        <v>1.3097992767904125E-2</v>
      </c>
      <c r="C27" s="12">
        <f xml:space="preserve"> CORREL(B2:B21,C2:C21)</f>
        <v>0.51463793906691291</v>
      </c>
      <c r="D27" s="12">
        <f xml:space="preserve"> STEYX(C2:C21,B2:B21)</f>
        <v>25.420364058772492</v>
      </c>
      <c r="E27" s="28">
        <f xml:space="preserve"> G22/G23</f>
        <v>-0.40992924012090598</v>
      </c>
      <c r="F27" s="13">
        <f xml:space="preserve"> CORREL(E2:E21,F2:F21)</f>
        <v>2.8796219651184379E-2</v>
      </c>
      <c r="G27" s="13">
        <f xml:space="preserve"> STEYX(F2:F21,E2:E21)</f>
        <v>3.0337798184738403</v>
      </c>
    </row>
    <row r="28" spans="1:8" ht="16" customHeight="1" x14ac:dyDescent="0.2">
      <c r="E28" s="11"/>
    </row>
    <row r="29" spans="1:8" ht="16" customHeight="1" x14ac:dyDescent="0.25">
      <c r="B29" s="10" t="s">
        <v>78</v>
      </c>
      <c r="C29" s="10" t="s">
        <v>39</v>
      </c>
      <c r="D29" s="10" t="s">
        <v>79</v>
      </c>
      <c r="E29" s="14" t="s">
        <v>78</v>
      </c>
      <c r="F29" s="10" t="s">
        <v>39</v>
      </c>
      <c r="G29" s="10" t="s">
        <v>79</v>
      </c>
    </row>
    <row r="30" spans="1:8" ht="16" customHeight="1" x14ac:dyDescent="0.2">
      <c r="B30" s="12">
        <f>ROUND((1-(3/(4*COUNT(B2:B21)-9))),3)</f>
        <v>0.87</v>
      </c>
      <c r="C30" s="12">
        <f xml:space="preserve"> ROUND(B27*B30,3)</f>
        <v>1.0999999999999999E-2</v>
      </c>
      <c r="D30" s="12">
        <f>ROUND( ((1/COUNT(D2:D21))+((B27^2)/(2*(COUNT(D2:D21)))))*2*(1-C27)*(B30^2),3)</f>
        <v>9.1999999999999998E-2</v>
      </c>
      <c r="E30" s="28">
        <f>ROUND((1-(3/(4*COUNT(E2:E21)-9))),3)</f>
        <v>0.87</v>
      </c>
      <c r="F30" s="13">
        <f xml:space="preserve"> ROUND(E27*E30,3)</f>
        <v>-0.35699999999999998</v>
      </c>
      <c r="G30" s="13">
        <f>ROUND( ((1/COUNT(G2:G21))+((E27^2)/(2*(COUNT(G2:G21)))))*2*(1-F27)*(E30^2),3)</f>
        <v>0.19900000000000001</v>
      </c>
    </row>
    <row r="31" spans="1:8" ht="16" customHeight="1" x14ac:dyDescent="0.2">
      <c r="E31" s="11"/>
    </row>
  </sheetData>
  <mergeCells count="1">
    <mergeCell ref="I2:K2"/>
  </mergeCells>
  <pageMargins left="0.7" right="0.7" top="0.78740157499999996" bottom="0.78740157499999996" header="0.3" footer="0.3"/>
  <pageSetup paperSize="9" orientation="portrait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A7C740-8F97-3D45-BBBB-CAF489264669}">
  <sheetPr>
    <tabColor rgb="FFFF0000"/>
  </sheetPr>
  <dimension ref="A1:L31"/>
  <sheetViews>
    <sheetView zoomScale="160" zoomScaleNormal="160" workbookViewId="0">
      <selection activeCell="B22" sqref="B22:G23"/>
    </sheetView>
  </sheetViews>
  <sheetFormatPr baseColWidth="10" defaultColWidth="10.83203125" defaultRowHeight="16" customHeight="1" x14ac:dyDescent="0.2"/>
  <cols>
    <col min="1" max="16384" width="10.83203125" style="1"/>
  </cols>
  <sheetData>
    <row r="1" spans="2:12" ht="16" customHeight="1" x14ac:dyDescent="0.2">
      <c r="B1" s="7" t="s">
        <v>7</v>
      </c>
      <c r="C1" s="7" t="s">
        <v>6</v>
      </c>
      <c r="D1" s="7" t="s">
        <v>8</v>
      </c>
      <c r="E1" s="8" t="s">
        <v>9</v>
      </c>
      <c r="F1" s="9" t="s">
        <v>10</v>
      </c>
      <c r="G1" s="9" t="s">
        <v>11</v>
      </c>
      <c r="H1" s="10" t="s">
        <v>12</v>
      </c>
      <c r="I1" s="10"/>
      <c r="J1" s="21"/>
      <c r="K1" s="21"/>
      <c r="L1" s="21"/>
    </row>
    <row r="2" spans="2:12" ht="16" customHeight="1" x14ac:dyDescent="0.2">
      <c r="B2" s="1">
        <v>130</v>
      </c>
      <c r="C2" s="1">
        <v>180</v>
      </c>
      <c r="D2" s="1">
        <v>-50</v>
      </c>
      <c r="E2" s="20">
        <v>11.1</v>
      </c>
      <c r="F2" s="6">
        <v>8.5</v>
      </c>
      <c r="G2" s="6">
        <v>2.5999999999999996</v>
      </c>
      <c r="H2" s="1">
        <v>1</v>
      </c>
      <c r="I2" s="81" t="s">
        <v>28</v>
      </c>
      <c r="J2" s="81"/>
      <c r="K2" s="81"/>
      <c r="L2" s="17" t="str">
        <f xml:space="preserve"> "n = "&amp;MAX(H2:H21)</f>
        <v>n = 8</v>
      </c>
    </row>
    <row r="3" spans="2:12" ht="16" customHeight="1" x14ac:dyDescent="0.2">
      <c r="B3" s="1">
        <v>144</v>
      </c>
      <c r="C3" s="1">
        <v>120</v>
      </c>
      <c r="D3" s="1">
        <v>24</v>
      </c>
      <c r="E3" s="15">
        <v>8.1999999999999993</v>
      </c>
      <c r="F3" s="6">
        <v>16.600000000000001</v>
      </c>
      <c r="G3" s="6">
        <v>-8.4000000000000021</v>
      </c>
      <c r="H3" s="1">
        <v>2</v>
      </c>
    </row>
    <row r="4" spans="2:12" ht="16" customHeight="1" x14ac:dyDescent="0.2">
      <c r="B4" s="1">
        <v>152</v>
      </c>
      <c r="C4" s="1">
        <v>152</v>
      </c>
      <c r="D4" s="1">
        <v>0</v>
      </c>
      <c r="E4" s="15">
        <v>10.5</v>
      </c>
      <c r="F4" s="6">
        <v>14.9</v>
      </c>
      <c r="G4" s="6">
        <v>-4.4000000000000004</v>
      </c>
      <c r="H4" s="1">
        <v>3</v>
      </c>
    </row>
    <row r="5" spans="2:12" ht="16" customHeight="1" x14ac:dyDescent="0.2">
      <c r="B5" s="1">
        <v>131</v>
      </c>
      <c r="C5" s="1">
        <v>104</v>
      </c>
      <c r="D5" s="1">
        <v>27</v>
      </c>
      <c r="E5" s="15">
        <v>6.7</v>
      </c>
      <c r="F5" s="6">
        <v>10.1</v>
      </c>
      <c r="G5" s="6">
        <v>-3.3999999999999995</v>
      </c>
      <c r="H5" s="1">
        <v>4</v>
      </c>
    </row>
    <row r="6" spans="2:12" ht="16" customHeight="1" x14ac:dyDescent="0.2">
      <c r="B6" s="1">
        <v>103</v>
      </c>
      <c r="C6" s="1">
        <v>121</v>
      </c>
      <c r="D6" s="1">
        <v>-18</v>
      </c>
      <c r="E6" s="15">
        <v>11.6</v>
      </c>
      <c r="F6" s="6">
        <v>10.5</v>
      </c>
      <c r="G6" s="6">
        <v>1.0999999999999996</v>
      </c>
      <c r="H6" s="1">
        <v>5</v>
      </c>
    </row>
    <row r="7" spans="2:12" ht="16" customHeight="1" x14ac:dyDescent="0.2">
      <c r="B7" s="1">
        <v>196</v>
      </c>
      <c r="C7" s="1">
        <v>171</v>
      </c>
      <c r="D7" s="1">
        <v>25</v>
      </c>
      <c r="E7" s="15">
        <v>12.3</v>
      </c>
      <c r="F7" s="6">
        <v>14.2</v>
      </c>
      <c r="G7" s="6">
        <v>-1.8999999999999986</v>
      </c>
      <c r="H7" s="1">
        <v>6</v>
      </c>
    </row>
    <row r="8" spans="2:12" ht="16" customHeight="1" x14ac:dyDescent="0.2">
      <c r="B8" s="1">
        <v>150</v>
      </c>
      <c r="C8" s="1">
        <v>160</v>
      </c>
      <c r="D8" s="1">
        <v>-10</v>
      </c>
      <c r="E8" s="15">
        <v>10.3</v>
      </c>
      <c r="F8" s="6">
        <v>11.5</v>
      </c>
      <c r="G8" s="6">
        <v>-1.1999999999999993</v>
      </c>
      <c r="H8" s="1">
        <v>7</v>
      </c>
    </row>
    <row r="9" spans="2:12" ht="16" customHeight="1" x14ac:dyDescent="0.2">
      <c r="B9" s="1">
        <v>176</v>
      </c>
      <c r="C9" s="1">
        <v>160</v>
      </c>
      <c r="D9" s="1">
        <v>16</v>
      </c>
      <c r="E9" s="15">
        <v>10</v>
      </c>
      <c r="F9" s="6">
        <v>10.4</v>
      </c>
      <c r="G9" s="6">
        <v>-0.40000000000000036</v>
      </c>
      <c r="H9" s="1">
        <v>8</v>
      </c>
    </row>
    <row r="10" spans="2:12" ht="16" customHeight="1" x14ac:dyDescent="0.2">
      <c r="D10" s="1" t="s">
        <v>58</v>
      </c>
      <c r="E10" s="11"/>
      <c r="G10" s="1" t="s">
        <v>58</v>
      </c>
      <c r="H10" s="1" t="s">
        <v>58</v>
      </c>
    </row>
    <row r="11" spans="2:12" ht="16" customHeight="1" x14ac:dyDescent="0.2">
      <c r="D11" s="1" t="s">
        <v>58</v>
      </c>
      <c r="E11" s="11"/>
      <c r="G11" s="1" t="s">
        <v>58</v>
      </c>
      <c r="H11" s="1" t="s">
        <v>58</v>
      </c>
    </row>
    <row r="12" spans="2:12" ht="16" customHeight="1" x14ac:dyDescent="0.2">
      <c r="D12" s="1" t="s">
        <v>58</v>
      </c>
      <c r="E12" s="11"/>
      <c r="G12" s="1" t="s">
        <v>58</v>
      </c>
      <c r="H12" s="1" t="s">
        <v>58</v>
      </c>
    </row>
    <row r="13" spans="2:12" ht="16" customHeight="1" x14ac:dyDescent="0.2">
      <c r="D13" s="1" t="s">
        <v>58</v>
      </c>
      <c r="E13" s="11"/>
      <c r="G13" s="1" t="s">
        <v>58</v>
      </c>
      <c r="H13" s="1" t="s">
        <v>58</v>
      </c>
    </row>
    <row r="14" spans="2:12" ht="16" customHeight="1" x14ac:dyDescent="0.2">
      <c r="D14" s="1" t="s">
        <v>58</v>
      </c>
      <c r="E14" s="11"/>
      <c r="G14" s="1" t="s">
        <v>58</v>
      </c>
      <c r="H14" s="1" t="s">
        <v>58</v>
      </c>
    </row>
    <row r="15" spans="2:12" ht="16" customHeight="1" x14ac:dyDescent="0.2">
      <c r="D15" s="1" t="s">
        <v>58</v>
      </c>
      <c r="E15" s="11"/>
      <c r="G15" s="1" t="s">
        <v>58</v>
      </c>
      <c r="H15" s="1" t="s">
        <v>58</v>
      </c>
    </row>
    <row r="16" spans="2:12" ht="16" customHeight="1" x14ac:dyDescent="0.2">
      <c r="D16" s="1" t="s">
        <v>58</v>
      </c>
      <c r="E16" s="11"/>
      <c r="G16" s="1" t="s">
        <v>58</v>
      </c>
      <c r="H16" s="1" t="s">
        <v>58</v>
      </c>
    </row>
    <row r="17" spans="1:8" ht="16" customHeight="1" x14ac:dyDescent="0.2">
      <c r="D17" s="1" t="s">
        <v>58</v>
      </c>
      <c r="E17" s="11"/>
      <c r="G17" s="1" t="s">
        <v>58</v>
      </c>
      <c r="H17" s="1" t="s">
        <v>58</v>
      </c>
    </row>
    <row r="18" spans="1:8" ht="16" customHeight="1" x14ac:dyDescent="0.2">
      <c r="D18" s="1" t="s">
        <v>58</v>
      </c>
      <c r="E18" s="11"/>
      <c r="G18" s="1" t="s">
        <v>58</v>
      </c>
      <c r="H18" s="1" t="s">
        <v>58</v>
      </c>
    </row>
    <row r="19" spans="1:8" ht="16" customHeight="1" x14ac:dyDescent="0.2">
      <c r="D19" s="1" t="s">
        <v>58</v>
      </c>
      <c r="E19" s="11"/>
      <c r="G19" s="1" t="s">
        <v>58</v>
      </c>
      <c r="H19" s="1" t="s">
        <v>58</v>
      </c>
    </row>
    <row r="20" spans="1:8" ht="16" customHeight="1" x14ac:dyDescent="0.2">
      <c r="D20" s="1" t="s">
        <v>58</v>
      </c>
      <c r="E20" s="11"/>
      <c r="G20" s="1" t="s">
        <v>58</v>
      </c>
      <c r="H20" s="1" t="s">
        <v>58</v>
      </c>
    </row>
    <row r="21" spans="1:8" ht="16" customHeight="1" x14ac:dyDescent="0.2">
      <c r="B21" s="10"/>
      <c r="C21" s="10"/>
      <c r="D21" s="10" t="s">
        <v>58</v>
      </c>
      <c r="E21" s="14"/>
      <c r="F21" s="10"/>
      <c r="G21" s="10" t="s">
        <v>58</v>
      </c>
      <c r="H21" s="1" t="s">
        <v>58</v>
      </c>
    </row>
    <row r="22" spans="1:8" ht="16" customHeight="1" x14ac:dyDescent="0.2">
      <c r="A22" s="27" t="s">
        <v>77</v>
      </c>
      <c r="B22" s="30">
        <f xml:space="preserve"> AVERAGE(B2:B21)</f>
        <v>147.75</v>
      </c>
      <c r="C22" s="30">
        <f t="shared" ref="C22:G22" si="0" xml:space="preserve"> AVERAGE(C2:C21)</f>
        <v>146</v>
      </c>
      <c r="D22" s="30">
        <f t="shared" si="0"/>
        <v>1.75</v>
      </c>
      <c r="E22" s="33">
        <f t="shared" si="0"/>
        <v>10.0875</v>
      </c>
      <c r="F22" s="32">
        <f t="shared" si="0"/>
        <v>12.0875</v>
      </c>
      <c r="G22" s="32">
        <f t="shared" si="0"/>
        <v>-2</v>
      </c>
    </row>
    <row r="23" spans="1:8" ht="16" customHeight="1" x14ac:dyDescent="0.2">
      <c r="A23" s="27" t="s">
        <v>76</v>
      </c>
      <c r="B23" s="30">
        <f xml:space="preserve"> _xlfn.STDEV.S(B2:B21)</f>
        <v>28.689221470291393</v>
      </c>
      <c r="C23" s="30">
        <f t="shared" ref="C23:G23" si="1" xml:space="preserve"> _xlfn.STDEV.S(C2:C21)</f>
        <v>27.448653362752999</v>
      </c>
      <c r="D23" s="30">
        <f t="shared" si="1"/>
        <v>26.953663943887108</v>
      </c>
      <c r="E23" s="31">
        <f t="shared" si="1"/>
        <v>1.8310321055155128</v>
      </c>
      <c r="F23" s="32">
        <f t="shared" si="1"/>
        <v>2.8098995914953453</v>
      </c>
      <c r="G23" s="32">
        <f t="shared" si="1"/>
        <v>3.4363602006441973</v>
      </c>
    </row>
    <row r="25" spans="1:8" ht="16" customHeight="1" x14ac:dyDescent="0.2">
      <c r="B25" s="18" t="s">
        <v>6</v>
      </c>
      <c r="C25" s="1" t="s">
        <v>117</v>
      </c>
      <c r="D25" s="73">
        <f xml:space="preserve"> ROUND(_xlfn.NORM.S.DIST(B27/SQRT(2),TRUE),3)</f>
        <v>0.51800000000000002</v>
      </c>
      <c r="E25" s="29" t="s">
        <v>13</v>
      </c>
      <c r="F25" s="1" t="s">
        <v>117</v>
      </c>
      <c r="G25" s="74">
        <f xml:space="preserve"> ROUND(_xlfn.NORM.S.DIST(E27/SQRT(2),TRUE),3)</f>
        <v>0.34</v>
      </c>
    </row>
    <row r="26" spans="1:8" ht="16" customHeight="1" x14ac:dyDescent="0.25">
      <c r="B26" s="10" t="s">
        <v>80</v>
      </c>
      <c r="C26" s="10" t="s">
        <v>3</v>
      </c>
      <c r="D26" s="10" t="s">
        <v>4</v>
      </c>
      <c r="E26" s="14" t="s">
        <v>80</v>
      </c>
      <c r="F26" s="10" t="s">
        <v>3</v>
      </c>
      <c r="G26" s="10" t="s">
        <v>4</v>
      </c>
    </row>
    <row r="27" spans="1:8" ht="16" customHeight="1" x14ac:dyDescent="0.2">
      <c r="B27" s="12">
        <f xml:space="preserve"> D22/D23</f>
        <v>6.4926237992845762E-2</v>
      </c>
      <c r="C27" s="12">
        <f xml:space="preserve"> CORREL(B2:B21,C2:C21)</f>
        <v>0.53969590674378076</v>
      </c>
      <c r="D27" s="12">
        <f xml:space="preserve"> STEYX(C2:C21,B2:B21)</f>
        <v>24.959411061290755</v>
      </c>
      <c r="E27" s="28">
        <f xml:space="preserve"> G22/G23</f>
        <v>-0.5820111639126393</v>
      </c>
      <c r="F27" s="13">
        <f xml:space="preserve"> CORREL(E2:E21,F2:F21)</f>
        <v>-5.4456303252609174E-2</v>
      </c>
      <c r="G27" s="13">
        <f xml:space="preserve"> STEYX(F2:F21,E2:E21)</f>
        <v>3.0305349124047458</v>
      </c>
    </row>
    <row r="28" spans="1:8" ht="16" customHeight="1" x14ac:dyDescent="0.2">
      <c r="E28" s="11"/>
    </row>
    <row r="29" spans="1:8" ht="16" customHeight="1" x14ac:dyDescent="0.25">
      <c r="B29" s="10" t="s">
        <v>78</v>
      </c>
      <c r="C29" s="10" t="s">
        <v>39</v>
      </c>
      <c r="D29" s="10" t="s">
        <v>79</v>
      </c>
      <c r="E29" s="14" t="s">
        <v>78</v>
      </c>
      <c r="F29" s="10" t="s">
        <v>39</v>
      </c>
      <c r="G29" s="10" t="s">
        <v>79</v>
      </c>
    </row>
    <row r="30" spans="1:8" ht="16" customHeight="1" x14ac:dyDescent="0.2">
      <c r="B30" s="12">
        <f>ROUND((1-(3/(4*COUNT(B2:B21)-9))),3)</f>
        <v>0.87</v>
      </c>
      <c r="C30" s="12">
        <f xml:space="preserve"> ROUND(B27*B30,3)</f>
        <v>5.6000000000000001E-2</v>
      </c>
      <c r="D30" s="12">
        <f>ROUND( ((1/COUNT(D2:D21))+((B27^2)/(2*(COUNT(D2:D21)))))*2*(1-C27)*(B30^2),3)</f>
        <v>8.6999999999999994E-2</v>
      </c>
      <c r="E30" s="28">
        <f>ROUND((1-(3/(4*COUNT(E2:E21)-9))),3)</f>
        <v>0.87</v>
      </c>
      <c r="F30" s="13">
        <f xml:space="preserve"> ROUND(E27*E30,3)</f>
        <v>-0.50600000000000001</v>
      </c>
      <c r="G30" s="13">
        <f>ROUND( ((1/COUNT(G2:G21))+((E27^2)/(2*(COUNT(G2:G21)))))*2*(1-F27)*(E30^2),3)</f>
        <v>0.23300000000000001</v>
      </c>
    </row>
    <row r="31" spans="1:8" ht="16" customHeight="1" x14ac:dyDescent="0.2">
      <c r="E31" s="11"/>
    </row>
  </sheetData>
  <mergeCells count="1">
    <mergeCell ref="I2:K2"/>
  </mergeCells>
  <pageMargins left="0.7" right="0.7" top="0.78740157499999996" bottom="0.78740157499999996" header="0.3" footer="0.3"/>
  <pageSetup paperSize="9" orientation="portrait" horizontalDpi="0" verticalDpi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504AB9-1A12-E649-BF72-12BF70FD576C}">
  <sheetPr>
    <tabColor rgb="FFFFFF00"/>
  </sheetPr>
  <dimension ref="A1:L31"/>
  <sheetViews>
    <sheetView zoomScale="160" zoomScaleNormal="160" workbookViewId="0">
      <selection activeCell="B22" sqref="B22:G23"/>
    </sheetView>
  </sheetViews>
  <sheetFormatPr baseColWidth="10" defaultColWidth="10.83203125" defaultRowHeight="16" customHeight="1" x14ac:dyDescent="0.2"/>
  <cols>
    <col min="1" max="16384" width="10.83203125" style="1"/>
  </cols>
  <sheetData>
    <row r="1" spans="2:12" ht="16" customHeight="1" x14ac:dyDescent="0.2">
      <c r="B1" s="7" t="s">
        <v>7</v>
      </c>
      <c r="C1" s="7" t="s">
        <v>6</v>
      </c>
      <c r="D1" s="7" t="s">
        <v>8</v>
      </c>
      <c r="E1" s="8" t="s">
        <v>9</v>
      </c>
      <c r="F1" s="9" t="s">
        <v>10</v>
      </c>
      <c r="G1" s="9" t="s">
        <v>11</v>
      </c>
      <c r="H1" s="10" t="s">
        <v>12</v>
      </c>
      <c r="I1" s="10"/>
      <c r="J1" s="21"/>
      <c r="K1" s="21"/>
      <c r="L1" s="21"/>
    </row>
    <row r="2" spans="2:12" ht="16" customHeight="1" x14ac:dyDescent="0.2">
      <c r="B2" s="1">
        <f>'Fig-Tool'!F8</f>
        <v>224</v>
      </c>
      <c r="C2" s="19">
        <f>'Fig-Tool'!E8</f>
        <v>184</v>
      </c>
      <c r="D2" s="1">
        <v>40</v>
      </c>
      <c r="E2" s="20">
        <f>'Fig-Tool'!U8</f>
        <v>3</v>
      </c>
      <c r="F2" s="6">
        <f>'Fig-Tool'!T8</f>
        <v>8</v>
      </c>
      <c r="G2" s="6">
        <v>-5</v>
      </c>
      <c r="H2" s="1">
        <v>1</v>
      </c>
      <c r="I2" s="81" t="s">
        <v>41</v>
      </c>
      <c r="J2" s="81"/>
      <c r="K2" s="81"/>
      <c r="L2" s="17" t="str">
        <f xml:space="preserve"> "n = "&amp;MAX(H2:H21)</f>
        <v>n = 13</v>
      </c>
    </row>
    <row r="3" spans="2:12" ht="16" customHeight="1" x14ac:dyDescent="0.2">
      <c r="B3" s="1">
        <f>'Fig-Tool'!F9</f>
        <v>242</v>
      </c>
      <c r="C3" s="19">
        <f>'Fig-Tool'!E9</f>
        <v>205</v>
      </c>
      <c r="D3" s="1">
        <v>37</v>
      </c>
      <c r="E3" s="15">
        <f>'Fig-Tool'!U9</f>
        <v>10</v>
      </c>
      <c r="F3" s="6">
        <f>'Fig-Tool'!T9</f>
        <v>16</v>
      </c>
      <c r="G3" s="6">
        <v>-6</v>
      </c>
      <c r="H3" s="1">
        <v>2</v>
      </c>
    </row>
    <row r="4" spans="2:12" ht="16" customHeight="1" x14ac:dyDescent="0.2">
      <c r="B4" s="1">
        <f>'Fig-Tool'!F10</f>
        <v>275</v>
      </c>
      <c r="C4" s="19">
        <f>'Fig-Tool'!E10</f>
        <v>201</v>
      </c>
      <c r="D4" s="1">
        <v>74</v>
      </c>
      <c r="E4" s="15">
        <f>'Fig-Tool'!U10</f>
        <v>10.9</v>
      </c>
      <c r="F4" s="6">
        <f>'Fig-Tool'!T10</f>
        <v>17</v>
      </c>
      <c r="G4" s="6">
        <v>-6.1</v>
      </c>
      <c r="H4" s="1">
        <v>3</v>
      </c>
    </row>
    <row r="5" spans="2:12" ht="16" customHeight="1" x14ac:dyDescent="0.2">
      <c r="B5" s="1">
        <f>'Fig-Tool'!F11</f>
        <v>268</v>
      </c>
      <c r="C5" s="19">
        <f>'Fig-Tool'!E11</f>
        <v>224</v>
      </c>
      <c r="D5" s="1">
        <v>44</v>
      </c>
      <c r="E5" s="15">
        <f>'Fig-Tool'!U11</f>
        <v>12</v>
      </c>
      <c r="F5" s="6">
        <f>'Fig-Tool'!T11</f>
        <v>18</v>
      </c>
      <c r="G5" s="6">
        <v>-6</v>
      </c>
      <c r="H5" s="1">
        <v>4</v>
      </c>
    </row>
    <row r="6" spans="2:12" ht="16" customHeight="1" x14ac:dyDescent="0.2">
      <c r="B6" s="1">
        <f>'Fig-Tool'!F12</f>
        <v>262</v>
      </c>
      <c r="C6" s="19">
        <f>'Fig-Tool'!E12</f>
        <v>240</v>
      </c>
      <c r="D6" s="1">
        <v>22</v>
      </c>
      <c r="E6" s="15">
        <f>'Fig-Tool'!U12</f>
        <v>14</v>
      </c>
      <c r="F6" s="6">
        <f>'Fig-Tool'!T12</f>
        <v>17</v>
      </c>
      <c r="G6" s="6">
        <v>-3</v>
      </c>
      <c r="H6" s="1">
        <v>5</v>
      </c>
    </row>
    <row r="7" spans="2:12" ht="16" customHeight="1" x14ac:dyDescent="0.2">
      <c r="B7" s="1">
        <f>'Fig-Tool'!F13</f>
        <v>275</v>
      </c>
      <c r="C7" s="19">
        <f>'Fig-Tool'!E13</f>
        <v>251</v>
      </c>
      <c r="D7" s="1">
        <v>24</v>
      </c>
      <c r="E7" s="15">
        <f>'Fig-Tool'!U13</f>
        <v>14</v>
      </c>
      <c r="F7" s="6">
        <f>'Fig-Tool'!T13</f>
        <v>14</v>
      </c>
      <c r="G7" s="6">
        <v>0</v>
      </c>
      <c r="H7" s="1">
        <v>6</v>
      </c>
    </row>
    <row r="8" spans="2:12" ht="16" customHeight="1" x14ac:dyDescent="0.2">
      <c r="B8" s="1">
        <f>'Fig-Tool'!F14</f>
        <v>294</v>
      </c>
      <c r="C8" s="19">
        <f>'Fig-Tool'!E14</f>
        <v>261</v>
      </c>
      <c r="D8" s="1">
        <v>33</v>
      </c>
      <c r="E8" s="15">
        <f>'Fig-Tool'!U14</f>
        <v>11</v>
      </c>
      <c r="F8" s="6">
        <f>'Fig-Tool'!T14</f>
        <v>20</v>
      </c>
      <c r="G8" s="6">
        <v>-9</v>
      </c>
      <c r="H8" s="1">
        <v>7</v>
      </c>
    </row>
    <row r="9" spans="2:12" ht="16" customHeight="1" x14ac:dyDescent="0.2">
      <c r="B9" s="1">
        <f>'Fig-Tool'!F15</f>
        <v>294</v>
      </c>
      <c r="C9" s="19">
        <f>'Fig-Tool'!E15</f>
        <v>268</v>
      </c>
      <c r="D9" s="1">
        <v>26</v>
      </c>
      <c r="E9" s="15">
        <f>'Fig-Tool'!U15</f>
        <v>10.9</v>
      </c>
      <c r="F9" s="6">
        <f>'Fig-Tool'!T15</f>
        <v>22</v>
      </c>
      <c r="G9" s="6">
        <v>-11.1</v>
      </c>
      <c r="H9" s="1">
        <v>8</v>
      </c>
    </row>
    <row r="10" spans="2:12" ht="16" customHeight="1" x14ac:dyDescent="0.2">
      <c r="B10" s="1">
        <f>'Fig-Tool'!F16</f>
        <v>304</v>
      </c>
      <c r="C10" s="19">
        <f>'Fig-Tool'!E16</f>
        <v>269</v>
      </c>
      <c r="D10" s="1">
        <v>35</v>
      </c>
      <c r="E10" s="15">
        <f>'Fig-Tool'!U16</f>
        <v>10.9</v>
      </c>
      <c r="F10" s="6">
        <f>'Fig-Tool'!T16</f>
        <v>25</v>
      </c>
      <c r="G10" s="6">
        <v>-14.1</v>
      </c>
      <c r="H10" s="1">
        <v>9</v>
      </c>
    </row>
    <row r="11" spans="2:12" ht="16" customHeight="1" x14ac:dyDescent="0.2">
      <c r="B11" s="1">
        <f>'Fig-Tool'!F17</f>
        <v>297</v>
      </c>
      <c r="C11" s="19">
        <f>'Fig-Tool'!E17</f>
        <v>281</v>
      </c>
      <c r="D11" s="1">
        <v>16</v>
      </c>
      <c r="E11" s="15">
        <f>'Fig-Tool'!U17</f>
        <v>12</v>
      </c>
      <c r="F11" s="6">
        <f>'Fig-Tool'!T17</f>
        <v>24</v>
      </c>
      <c r="G11" s="6">
        <v>-12</v>
      </c>
      <c r="H11" s="1">
        <v>10</v>
      </c>
    </row>
    <row r="12" spans="2:12" ht="16" customHeight="1" x14ac:dyDescent="0.2">
      <c r="B12" s="1">
        <f>'Fig-Tool'!F18</f>
        <v>298</v>
      </c>
      <c r="C12" s="19">
        <f>'Fig-Tool'!E18</f>
        <v>295</v>
      </c>
      <c r="D12" s="1">
        <v>3</v>
      </c>
      <c r="E12" s="15">
        <f>'Fig-Tool'!U18</f>
        <v>16</v>
      </c>
      <c r="F12" s="6">
        <f>'Fig-Tool'!T18</f>
        <v>25</v>
      </c>
      <c r="G12" s="6">
        <v>-9</v>
      </c>
      <c r="H12" s="1">
        <v>11</v>
      </c>
    </row>
    <row r="13" spans="2:12" ht="16" customHeight="1" x14ac:dyDescent="0.2">
      <c r="B13" s="1">
        <f>'Fig-Tool'!F19</f>
        <v>359</v>
      </c>
      <c r="C13" s="19">
        <f>'Fig-Tool'!E19</f>
        <v>300</v>
      </c>
      <c r="D13" s="1">
        <v>59</v>
      </c>
      <c r="E13" s="15">
        <f>'Fig-Tool'!U19</f>
        <v>17</v>
      </c>
      <c r="F13" s="6">
        <f>'Fig-Tool'!T19</f>
        <v>18</v>
      </c>
      <c r="G13" s="6">
        <v>-1</v>
      </c>
      <c r="H13" s="1">
        <v>12</v>
      </c>
    </row>
    <row r="14" spans="2:12" ht="16" customHeight="1" x14ac:dyDescent="0.2">
      <c r="B14" s="1">
        <f>'Fig-Tool'!F20</f>
        <v>373</v>
      </c>
      <c r="C14" s="19">
        <f>'Fig-Tool'!E20</f>
        <v>313</v>
      </c>
      <c r="D14" s="1">
        <v>60</v>
      </c>
      <c r="E14" s="15">
        <f>'Fig-Tool'!U20</f>
        <v>21</v>
      </c>
      <c r="F14" s="6">
        <f>'Fig-Tool'!T20</f>
        <v>19</v>
      </c>
      <c r="G14" s="6">
        <v>2</v>
      </c>
      <c r="H14" s="1">
        <v>13</v>
      </c>
    </row>
    <row r="15" spans="2:12" ht="16" customHeight="1" x14ac:dyDescent="0.2">
      <c r="D15" s="1" t="s">
        <v>58</v>
      </c>
      <c r="E15" s="11"/>
      <c r="G15" s="1" t="s">
        <v>58</v>
      </c>
      <c r="H15" s="1" t="s">
        <v>58</v>
      </c>
    </row>
    <row r="16" spans="2:12" ht="16" customHeight="1" x14ac:dyDescent="0.2">
      <c r="D16" s="1" t="s">
        <v>58</v>
      </c>
      <c r="E16" s="11"/>
      <c r="G16" s="1" t="s">
        <v>58</v>
      </c>
      <c r="H16" s="1" t="s">
        <v>58</v>
      </c>
    </row>
    <row r="17" spans="1:8" ht="16" customHeight="1" x14ac:dyDescent="0.2">
      <c r="D17" s="1" t="s">
        <v>58</v>
      </c>
      <c r="E17" s="11"/>
      <c r="G17" s="1" t="s">
        <v>58</v>
      </c>
      <c r="H17" s="1" t="s">
        <v>58</v>
      </c>
    </row>
    <row r="18" spans="1:8" ht="16" customHeight="1" x14ac:dyDescent="0.2">
      <c r="D18" s="1" t="s">
        <v>58</v>
      </c>
      <c r="E18" s="11"/>
      <c r="G18" s="1" t="s">
        <v>58</v>
      </c>
      <c r="H18" s="1" t="s">
        <v>58</v>
      </c>
    </row>
    <row r="19" spans="1:8" ht="16" customHeight="1" x14ac:dyDescent="0.2">
      <c r="D19" s="1" t="s">
        <v>58</v>
      </c>
      <c r="E19" s="11"/>
      <c r="G19" s="1" t="s">
        <v>58</v>
      </c>
      <c r="H19" s="1" t="s">
        <v>58</v>
      </c>
    </row>
    <row r="20" spans="1:8" ht="16" customHeight="1" x14ac:dyDescent="0.2">
      <c r="D20" s="1" t="s">
        <v>58</v>
      </c>
      <c r="E20" s="11"/>
      <c r="G20" s="1" t="s">
        <v>58</v>
      </c>
      <c r="H20" s="1" t="s">
        <v>58</v>
      </c>
    </row>
    <row r="21" spans="1:8" ht="16" customHeight="1" x14ac:dyDescent="0.2">
      <c r="B21" s="10"/>
      <c r="C21" s="10"/>
      <c r="D21" s="10" t="s">
        <v>58</v>
      </c>
      <c r="E21" s="14"/>
      <c r="F21" s="10"/>
      <c r="G21" s="10" t="s">
        <v>58</v>
      </c>
      <c r="H21" s="1" t="s">
        <v>58</v>
      </c>
    </row>
    <row r="22" spans="1:8" ht="16" customHeight="1" x14ac:dyDescent="0.2">
      <c r="A22" s="27" t="s">
        <v>77</v>
      </c>
      <c r="B22" s="30">
        <f xml:space="preserve"> AVERAGE(B2:B21)</f>
        <v>289.61538461538464</v>
      </c>
      <c r="C22" s="30">
        <f t="shared" ref="C22:G22" si="0" xml:space="preserve"> AVERAGE(C2:C21)</f>
        <v>253.23076923076923</v>
      </c>
      <c r="D22" s="30">
        <f t="shared" si="0"/>
        <v>36.384615384615387</v>
      </c>
      <c r="E22" s="33">
        <f t="shared" si="0"/>
        <v>12.515384615384617</v>
      </c>
      <c r="F22" s="32">
        <f t="shared" si="0"/>
        <v>18.692307692307693</v>
      </c>
      <c r="G22" s="32">
        <f t="shared" si="0"/>
        <v>-6.1769230769230781</v>
      </c>
    </row>
    <row r="23" spans="1:8" ht="16" customHeight="1" x14ac:dyDescent="0.2">
      <c r="A23" s="27" t="s">
        <v>76</v>
      </c>
      <c r="B23" s="30">
        <f xml:space="preserve"> _xlfn.STDEV.S(B2:B21)</f>
        <v>41.197771908883816</v>
      </c>
      <c r="C23" s="30">
        <f t="shared" ref="C23:G23" si="1" xml:space="preserve"> _xlfn.STDEV.S(C2:C21)</f>
        <v>40.501345340111591</v>
      </c>
      <c r="D23" s="30">
        <f t="shared" si="1"/>
        <v>19.508709429117641</v>
      </c>
      <c r="E23" s="31">
        <f t="shared" si="1"/>
        <v>4.244377880177912</v>
      </c>
      <c r="F23" s="32">
        <f t="shared" si="1"/>
        <v>4.7501686879628329</v>
      </c>
      <c r="G23" s="32">
        <f t="shared" si="1"/>
        <v>4.8323827535619595</v>
      </c>
    </row>
    <row r="25" spans="1:8" ht="16" customHeight="1" x14ac:dyDescent="0.2">
      <c r="B25" s="18" t="s">
        <v>6</v>
      </c>
      <c r="C25" s="1" t="s">
        <v>117</v>
      </c>
      <c r="D25" s="73">
        <f xml:space="preserve"> ROUND(_xlfn.NORM.S.DIST(B27/SQRT(2),TRUE),3)</f>
        <v>0.90600000000000003</v>
      </c>
      <c r="E25" s="29" t="s">
        <v>13</v>
      </c>
      <c r="F25" s="1" t="s">
        <v>117</v>
      </c>
      <c r="G25" s="74">
        <f xml:space="preserve"> ROUND(_xlfn.NORM.S.DIST(E27/SQRT(2),TRUE),3)</f>
        <v>0.183</v>
      </c>
    </row>
    <row r="26" spans="1:8" ht="16" customHeight="1" x14ac:dyDescent="0.25">
      <c r="B26" s="10" t="s">
        <v>80</v>
      </c>
      <c r="C26" s="10" t="s">
        <v>3</v>
      </c>
      <c r="D26" s="10" t="s">
        <v>4</v>
      </c>
      <c r="E26" s="14" t="s">
        <v>80</v>
      </c>
      <c r="F26" s="10" t="s">
        <v>3</v>
      </c>
      <c r="G26" s="10" t="s">
        <v>4</v>
      </c>
    </row>
    <row r="27" spans="1:8" ht="16" customHeight="1" x14ac:dyDescent="0.2">
      <c r="B27" s="12">
        <f xml:space="preserve"> D22/D23</f>
        <v>1.8650447133273556</v>
      </c>
      <c r="C27" s="12">
        <f xml:space="preserve"> CORREL(B2:B21,C2:C21)</f>
        <v>0.88609832672061761</v>
      </c>
      <c r="D27" s="12">
        <f xml:space="preserve"> STEYX(C2:C21,B2:B21)</f>
        <v>19.606990883171846</v>
      </c>
      <c r="E27" s="28">
        <f xml:space="preserve"> G22/G23</f>
        <v>-1.2782354775954068</v>
      </c>
      <c r="F27" s="13">
        <f xml:space="preserve"> CORREL(E2:E21,F2:F21)</f>
        <v>0.42722301808088498</v>
      </c>
      <c r="G27" s="13">
        <f xml:space="preserve"> STEYX(F2:F21,E2:E21)</f>
        <v>4.4858217470586412</v>
      </c>
    </row>
    <row r="28" spans="1:8" ht="16" customHeight="1" x14ac:dyDescent="0.2">
      <c r="E28" s="11"/>
    </row>
    <row r="29" spans="1:8" ht="16" customHeight="1" x14ac:dyDescent="0.25">
      <c r="B29" s="10" t="s">
        <v>78</v>
      </c>
      <c r="C29" s="10" t="s">
        <v>39</v>
      </c>
      <c r="D29" s="10" t="s">
        <v>79</v>
      </c>
      <c r="E29" s="14" t="s">
        <v>78</v>
      </c>
      <c r="F29" s="10" t="s">
        <v>39</v>
      </c>
      <c r="G29" s="10" t="s">
        <v>79</v>
      </c>
    </row>
    <row r="30" spans="1:8" ht="16" customHeight="1" x14ac:dyDescent="0.2">
      <c r="B30" s="12">
        <f>ROUND((1-(3/(4*COUNT(B2:B21)-9))),3)</f>
        <v>0.93</v>
      </c>
      <c r="C30" s="12">
        <f xml:space="preserve"> ROUND(B27*B30,3)</f>
        <v>1.734</v>
      </c>
      <c r="D30" s="12">
        <f>ROUND( ((1/COUNT(D2:D21))+((B27^2)/(2*(COUNT(D2:D21)))))*2*(1-C27)*(B30^2),3)</f>
        <v>4.2000000000000003E-2</v>
      </c>
      <c r="E30" s="28">
        <f>ROUND((1-(3/(4*COUNT(E2:E21)-9))),3)</f>
        <v>0.93</v>
      </c>
      <c r="F30" s="13">
        <f xml:space="preserve"> ROUND(E27*E30,3)</f>
        <v>-1.1890000000000001</v>
      </c>
      <c r="G30" s="13">
        <f>ROUND( ((1/COUNT(G2:G21))+((E27^2)/(2*(COUNT(G2:G21)))))*2*(1-F27)*(E30^2),3)</f>
        <v>0.13800000000000001</v>
      </c>
    </row>
    <row r="31" spans="1:8" ht="16" customHeight="1" x14ac:dyDescent="0.2">
      <c r="E31" s="11"/>
    </row>
  </sheetData>
  <mergeCells count="1">
    <mergeCell ref="I2:K2"/>
  </mergeCells>
  <pageMargins left="0.7" right="0.7" top="0.78740157499999996" bottom="0.78740157499999996" header="0.3" footer="0.3"/>
  <pageSetup paperSize="9" orientation="portrait" horizontalDpi="0" verticalDpi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A5C05B-657B-0E4D-8E48-0FFDFAE35D12}">
  <sheetPr>
    <tabColor rgb="FFFFFF00"/>
  </sheetPr>
  <dimension ref="A1:L31"/>
  <sheetViews>
    <sheetView zoomScale="160" zoomScaleNormal="160" workbookViewId="0">
      <selection activeCell="B22" sqref="B22:G23"/>
    </sheetView>
  </sheetViews>
  <sheetFormatPr baseColWidth="10" defaultColWidth="10.83203125" defaultRowHeight="16" customHeight="1" x14ac:dyDescent="0.2"/>
  <cols>
    <col min="1" max="16384" width="10.83203125" style="1"/>
  </cols>
  <sheetData>
    <row r="1" spans="2:12" ht="16" customHeight="1" x14ac:dyDescent="0.2">
      <c r="B1" s="7" t="s">
        <v>7</v>
      </c>
      <c r="C1" s="7" t="s">
        <v>6</v>
      </c>
      <c r="D1" s="7" t="s">
        <v>8</v>
      </c>
      <c r="E1" s="8" t="s">
        <v>9</v>
      </c>
      <c r="F1" s="9" t="s">
        <v>10</v>
      </c>
      <c r="G1" s="9" t="s">
        <v>11</v>
      </c>
      <c r="H1" s="10" t="s">
        <v>12</v>
      </c>
      <c r="I1" s="10"/>
      <c r="J1" s="21"/>
      <c r="K1" s="21"/>
      <c r="L1" s="21"/>
    </row>
    <row r="2" spans="2:12" ht="16" customHeight="1" x14ac:dyDescent="0.2">
      <c r="B2" s="1">
        <f>'Fig-Tool'!K8</f>
        <v>223</v>
      </c>
      <c r="C2" s="19">
        <f>'Fig-Tool'!J8</f>
        <v>190</v>
      </c>
      <c r="D2" s="1">
        <v>33</v>
      </c>
      <c r="E2" s="20">
        <f>'Fig-Tool'!P8</f>
        <v>15.3</v>
      </c>
      <c r="F2" s="6">
        <f>'Fig-Tool'!O8</f>
        <v>24</v>
      </c>
      <c r="G2" s="6">
        <v>-8.6999999999999993</v>
      </c>
      <c r="H2" s="1">
        <v>1</v>
      </c>
      <c r="I2" s="81" t="s">
        <v>42</v>
      </c>
      <c r="J2" s="81"/>
      <c r="K2" s="81"/>
      <c r="L2" s="17" t="str">
        <f xml:space="preserve"> "n = "&amp;MAX(H2:H21)</f>
        <v>n = 13</v>
      </c>
    </row>
    <row r="3" spans="2:12" ht="16" customHeight="1" x14ac:dyDescent="0.2">
      <c r="B3" s="1">
        <f>'Fig-Tool'!K9</f>
        <v>241</v>
      </c>
      <c r="C3" s="19">
        <f>'Fig-Tool'!J9</f>
        <v>207</v>
      </c>
      <c r="D3" s="1">
        <v>34</v>
      </c>
      <c r="E3" s="15">
        <f>'Fig-Tool'!P9</f>
        <v>20.5</v>
      </c>
      <c r="F3" s="6">
        <f>'Fig-Tool'!O9</f>
        <v>18</v>
      </c>
      <c r="G3" s="6">
        <v>2.5</v>
      </c>
      <c r="H3" s="1">
        <v>2</v>
      </c>
    </row>
    <row r="4" spans="2:12" ht="16" customHeight="1" x14ac:dyDescent="0.2">
      <c r="B4" s="1">
        <f>'Fig-Tool'!K10</f>
        <v>274</v>
      </c>
      <c r="C4" s="19">
        <f>'Fig-Tool'!J10</f>
        <v>216</v>
      </c>
      <c r="D4" s="1">
        <v>58</v>
      </c>
      <c r="E4" s="15">
        <f>'Fig-Tool'!P10</f>
        <v>11.1</v>
      </c>
      <c r="F4" s="6">
        <f>'Fig-Tool'!O10</f>
        <v>23</v>
      </c>
      <c r="G4" s="6">
        <v>-11.9</v>
      </c>
      <c r="H4" s="1">
        <v>3</v>
      </c>
    </row>
    <row r="5" spans="2:12" ht="16" customHeight="1" x14ac:dyDescent="0.2">
      <c r="B5" s="1">
        <f>'Fig-Tool'!K11</f>
        <v>267</v>
      </c>
      <c r="C5" s="19">
        <f>'Fig-Tool'!J11</f>
        <v>240</v>
      </c>
      <c r="D5" s="1">
        <v>27</v>
      </c>
      <c r="E5" s="15">
        <f>'Fig-Tool'!P11</f>
        <v>10</v>
      </c>
      <c r="F5" s="6">
        <f>'Fig-Tool'!O11</f>
        <v>19</v>
      </c>
      <c r="G5" s="6">
        <v>-9</v>
      </c>
      <c r="H5" s="1">
        <v>4</v>
      </c>
    </row>
    <row r="6" spans="2:12" ht="16" customHeight="1" x14ac:dyDescent="0.2">
      <c r="B6" s="1">
        <f>'Fig-Tool'!K12</f>
        <v>261</v>
      </c>
      <c r="C6" s="19">
        <f>'Fig-Tool'!J12</f>
        <v>254</v>
      </c>
      <c r="D6" s="1">
        <v>7</v>
      </c>
      <c r="E6" s="15">
        <f>'Fig-Tool'!P12</f>
        <v>10</v>
      </c>
      <c r="F6" s="6">
        <f>'Fig-Tool'!O12</f>
        <v>18</v>
      </c>
      <c r="G6" s="6">
        <v>-8</v>
      </c>
      <c r="H6" s="1">
        <v>5</v>
      </c>
    </row>
    <row r="7" spans="2:12" ht="16" customHeight="1" x14ac:dyDescent="0.2">
      <c r="B7" s="1">
        <f>'Fig-Tool'!K13</f>
        <v>274</v>
      </c>
      <c r="C7" s="19">
        <f>'Fig-Tool'!J13</f>
        <v>257</v>
      </c>
      <c r="D7" s="1">
        <v>17</v>
      </c>
      <c r="E7" s="15">
        <f>'Fig-Tool'!P13</f>
        <v>10</v>
      </c>
      <c r="F7" s="6">
        <f>'Fig-Tool'!O13</f>
        <v>17</v>
      </c>
      <c r="G7" s="6">
        <v>-7</v>
      </c>
      <c r="H7" s="1">
        <v>6</v>
      </c>
    </row>
    <row r="8" spans="2:12" ht="16" customHeight="1" x14ac:dyDescent="0.2">
      <c r="B8" s="1">
        <f>'Fig-Tool'!K14</f>
        <v>293</v>
      </c>
      <c r="C8" s="19">
        <f>'Fig-Tool'!J14</f>
        <v>262</v>
      </c>
      <c r="D8" s="1">
        <v>31</v>
      </c>
      <c r="E8" s="15">
        <f>'Fig-Tool'!P14</f>
        <v>11.1</v>
      </c>
      <c r="F8" s="6">
        <f>'Fig-Tool'!O14</f>
        <v>18</v>
      </c>
      <c r="G8" s="6">
        <v>-6.9</v>
      </c>
      <c r="H8" s="1">
        <v>7</v>
      </c>
    </row>
    <row r="9" spans="2:12" ht="16" customHeight="1" x14ac:dyDescent="0.2">
      <c r="B9" s="1">
        <f>'Fig-Tool'!K15</f>
        <v>303</v>
      </c>
      <c r="C9" s="19">
        <f>'Fig-Tool'!J15</f>
        <v>270</v>
      </c>
      <c r="D9" s="1">
        <v>33</v>
      </c>
      <c r="E9" s="15">
        <f>'Fig-Tool'!P15</f>
        <v>9</v>
      </c>
      <c r="F9" s="6">
        <f>'Fig-Tool'!O15</f>
        <v>15</v>
      </c>
      <c r="G9" s="6">
        <v>-6</v>
      </c>
      <c r="H9" s="1">
        <v>8</v>
      </c>
    </row>
    <row r="10" spans="2:12" ht="16" customHeight="1" x14ac:dyDescent="0.2">
      <c r="B10" s="1">
        <f>'Fig-Tool'!K16</f>
        <v>293</v>
      </c>
      <c r="C10" s="19">
        <f>'Fig-Tool'!J16</f>
        <v>277</v>
      </c>
      <c r="D10" s="1">
        <v>16</v>
      </c>
      <c r="E10" s="15">
        <f>'Fig-Tool'!P16</f>
        <v>13.2</v>
      </c>
      <c r="F10" s="6">
        <f>'Fig-Tool'!O16</f>
        <v>15</v>
      </c>
      <c r="G10" s="6">
        <v>-1.8000000000000007</v>
      </c>
      <c r="H10" s="1">
        <v>9</v>
      </c>
    </row>
    <row r="11" spans="2:12" ht="16" customHeight="1" x14ac:dyDescent="0.2">
      <c r="B11" s="1">
        <f>'Fig-Tool'!K17</f>
        <v>296</v>
      </c>
      <c r="C11" s="19">
        <f>'Fig-Tool'!J17</f>
        <v>283</v>
      </c>
      <c r="D11" s="1">
        <v>13</v>
      </c>
      <c r="E11" s="15">
        <f>'Fig-Tool'!P17</f>
        <v>16.399999999999999</v>
      </c>
      <c r="F11" s="6">
        <f>'Fig-Tool'!O17</f>
        <v>16</v>
      </c>
      <c r="G11" s="6">
        <v>0.39999999999999858</v>
      </c>
      <c r="H11" s="1">
        <v>10</v>
      </c>
    </row>
    <row r="12" spans="2:12" ht="16" customHeight="1" x14ac:dyDescent="0.2">
      <c r="B12" s="1">
        <f>'Fig-Tool'!K18</f>
        <v>298</v>
      </c>
      <c r="C12" s="19">
        <f>'Fig-Tool'!J18</f>
        <v>293</v>
      </c>
      <c r="D12" s="1">
        <v>5</v>
      </c>
      <c r="E12" s="15">
        <f>'Fig-Tool'!P18</f>
        <v>13.2</v>
      </c>
      <c r="F12" s="6">
        <f>'Fig-Tool'!O18</f>
        <v>10</v>
      </c>
      <c r="G12" s="6">
        <v>3.1999999999999993</v>
      </c>
      <c r="H12" s="1">
        <v>11</v>
      </c>
    </row>
    <row r="13" spans="2:12" ht="16" customHeight="1" x14ac:dyDescent="0.2">
      <c r="B13" s="1">
        <f>'Fig-Tool'!K19</f>
        <v>359</v>
      </c>
      <c r="C13" s="19">
        <f>'Fig-Tool'!J19</f>
        <v>302</v>
      </c>
      <c r="D13" s="1">
        <v>57</v>
      </c>
      <c r="E13" s="15">
        <f>'Fig-Tool'!P19</f>
        <v>1.6</v>
      </c>
      <c r="F13" s="6">
        <f>'Fig-Tool'!O19</f>
        <v>6</v>
      </c>
      <c r="G13" s="6">
        <v>-4.4000000000000004</v>
      </c>
      <c r="H13" s="1">
        <v>12</v>
      </c>
    </row>
    <row r="14" spans="2:12" ht="16" customHeight="1" x14ac:dyDescent="0.2">
      <c r="B14" s="1">
        <f>'Fig-Tool'!K20</f>
        <v>372</v>
      </c>
      <c r="C14" s="19">
        <f>'Fig-Tool'!J20</f>
        <v>318</v>
      </c>
      <c r="D14" s="1">
        <v>54</v>
      </c>
      <c r="E14" s="15" t="str">
        <f>'Fig-Tool'!P20</f>
        <v/>
      </c>
      <c r="F14" s="6" t="str">
        <f>'Fig-Tool'!O20</f>
        <v/>
      </c>
      <c r="G14" s="1" t="s">
        <v>58</v>
      </c>
      <c r="H14" s="1">
        <v>13</v>
      </c>
    </row>
    <row r="15" spans="2:12" ht="16" customHeight="1" x14ac:dyDescent="0.2">
      <c r="D15" s="1" t="s">
        <v>58</v>
      </c>
      <c r="E15" s="11"/>
      <c r="G15" s="1" t="s">
        <v>58</v>
      </c>
      <c r="H15" s="1" t="s">
        <v>58</v>
      </c>
    </row>
    <row r="16" spans="2:12" ht="16" customHeight="1" x14ac:dyDescent="0.2">
      <c r="D16" s="1" t="s">
        <v>58</v>
      </c>
      <c r="E16" s="11"/>
      <c r="G16" s="1" t="s">
        <v>58</v>
      </c>
      <c r="H16" s="1" t="s">
        <v>58</v>
      </c>
    </row>
    <row r="17" spans="1:8" ht="16" customHeight="1" x14ac:dyDescent="0.2">
      <c r="D17" s="1" t="s">
        <v>58</v>
      </c>
      <c r="E17" s="11"/>
      <c r="G17" s="1" t="s">
        <v>58</v>
      </c>
      <c r="H17" s="1" t="s">
        <v>58</v>
      </c>
    </row>
    <row r="18" spans="1:8" ht="16" customHeight="1" x14ac:dyDescent="0.2">
      <c r="D18" s="1" t="s">
        <v>58</v>
      </c>
      <c r="E18" s="11"/>
      <c r="G18" s="1" t="s">
        <v>58</v>
      </c>
      <c r="H18" s="1" t="s">
        <v>58</v>
      </c>
    </row>
    <row r="19" spans="1:8" ht="16" customHeight="1" x14ac:dyDescent="0.2">
      <c r="D19" s="1" t="s">
        <v>58</v>
      </c>
      <c r="E19" s="11"/>
      <c r="G19" s="1" t="s">
        <v>58</v>
      </c>
      <c r="H19" s="1" t="s">
        <v>58</v>
      </c>
    </row>
    <row r="20" spans="1:8" ht="16" customHeight="1" x14ac:dyDescent="0.2">
      <c r="D20" s="1" t="s">
        <v>58</v>
      </c>
      <c r="E20" s="11"/>
      <c r="G20" s="1" t="s">
        <v>58</v>
      </c>
      <c r="H20" s="1" t="s">
        <v>58</v>
      </c>
    </row>
    <row r="21" spans="1:8" ht="16" customHeight="1" x14ac:dyDescent="0.2">
      <c r="B21" s="10"/>
      <c r="C21" s="10"/>
      <c r="D21" s="10" t="s">
        <v>58</v>
      </c>
      <c r="E21" s="14"/>
      <c r="F21" s="10"/>
      <c r="G21" s="10" t="s">
        <v>58</v>
      </c>
      <c r="H21" s="1" t="s">
        <v>58</v>
      </c>
    </row>
    <row r="22" spans="1:8" ht="16" customHeight="1" x14ac:dyDescent="0.2">
      <c r="A22" s="27" t="s">
        <v>77</v>
      </c>
      <c r="B22" s="30">
        <f xml:space="preserve"> AVERAGE(B2:B21)</f>
        <v>288.76923076923077</v>
      </c>
      <c r="C22" s="30">
        <f t="shared" ref="C22:G22" si="0" xml:space="preserve"> AVERAGE(C2:C21)</f>
        <v>259.15384615384613</v>
      </c>
      <c r="D22" s="30">
        <f t="shared" si="0"/>
        <v>29.615384615384617</v>
      </c>
      <c r="E22" s="33">
        <f t="shared" si="0"/>
        <v>11.783333333333331</v>
      </c>
      <c r="F22" s="32">
        <f t="shared" si="0"/>
        <v>16.583333333333332</v>
      </c>
      <c r="G22" s="32">
        <f t="shared" si="0"/>
        <v>-4.8</v>
      </c>
    </row>
    <row r="23" spans="1:8" ht="16" customHeight="1" x14ac:dyDescent="0.2">
      <c r="A23" s="27" t="s">
        <v>76</v>
      </c>
      <c r="B23" s="30">
        <f xml:space="preserve"> _xlfn.STDEV.S(B2:B21)</f>
        <v>41.356486484697648</v>
      </c>
      <c r="C23" s="30">
        <f t="shared" ref="C23:G23" si="1" xml:space="preserve"> _xlfn.STDEV.S(C2:C21)</f>
        <v>37.881055409985009</v>
      </c>
      <c r="D23" s="30">
        <f t="shared" si="1"/>
        <v>18.11784783732357</v>
      </c>
      <c r="E23" s="31">
        <f t="shared" si="1"/>
        <v>4.6279454175561385</v>
      </c>
      <c r="F23" s="32">
        <f t="shared" si="1"/>
        <v>4.9443876968710381</v>
      </c>
      <c r="G23" s="32">
        <f t="shared" si="1"/>
        <v>4.8399849736806573</v>
      </c>
    </row>
    <row r="25" spans="1:8" ht="16" customHeight="1" x14ac:dyDescent="0.2">
      <c r="B25" s="18" t="s">
        <v>6</v>
      </c>
      <c r="C25" s="1" t="s">
        <v>117</v>
      </c>
      <c r="D25" s="73">
        <f xml:space="preserve"> ROUND(_xlfn.NORM.S.DIST(B27/SQRT(2),TRUE),3)</f>
        <v>0.876</v>
      </c>
      <c r="E25" s="29" t="s">
        <v>13</v>
      </c>
      <c r="F25" s="1" t="s">
        <v>117</v>
      </c>
      <c r="G25" s="74">
        <f xml:space="preserve"> ROUND(_xlfn.NORM.S.DIST(E27/SQRT(2),TRUE),3)</f>
        <v>0.24199999999999999</v>
      </c>
    </row>
    <row r="26" spans="1:8" ht="16" customHeight="1" x14ac:dyDescent="0.25">
      <c r="B26" s="10" t="s">
        <v>80</v>
      </c>
      <c r="C26" s="10" t="s">
        <v>3</v>
      </c>
      <c r="D26" s="10" t="s">
        <v>4</v>
      </c>
      <c r="E26" s="14" t="s">
        <v>80</v>
      </c>
      <c r="F26" s="10" t="s">
        <v>3</v>
      </c>
      <c r="G26" s="10" t="s">
        <v>4</v>
      </c>
    </row>
    <row r="27" spans="1:8" ht="16" customHeight="1" x14ac:dyDescent="0.2">
      <c r="B27" s="12">
        <f xml:space="preserve"> D22/D23</f>
        <v>1.6345972701225369</v>
      </c>
      <c r="C27" s="12">
        <f xml:space="preserve"> CORREL(B2:B21,C2:C21)</f>
        <v>0.89908966293981107</v>
      </c>
      <c r="D27" s="12">
        <f xml:space="preserve"> STEYX(C2:C21,B2:B21)</f>
        <v>17.320359988910326</v>
      </c>
      <c r="E27" s="28">
        <f xml:space="preserve"> G22/G23</f>
        <v>-0.9917386161531303</v>
      </c>
      <c r="F27" s="13">
        <f xml:space="preserve"> CORREL(E2:E21,F2:F21)</f>
        <v>0.49032087348171555</v>
      </c>
      <c r="G27" s="13">
        <f xml:space="preserve"> STEYX(F2:F21,E2:E21)</f>
        <v>4.5195706084739289</v>
      </c>
    </row>
    <row r="28" spans="1:8" ht="16" customHeight="1" x14ac:dyDescent="0.2">
      <c r="E28" s="11"/>
    </row>
    <row r="29" spans="1:8" ht="16" customHeight="1" x14ac:dyDescent="0.25">
      <c r="B29" s="10" t="s">
        <v>78</v>
      </c>
      <c r="C29" s="10" t="s">
        <v>39</v>
      </c>
      <c r="D29" s="10" t="s">
        <v>79</v>
      </c>
      <c r="E29" s="14" t="s">
        <v>78</v>
      </c>
      <c r="F29" s="10" t="s">
        <v>39</v>
      </c>
      <c r="G29" s="10" t="s">
        <v>79</v>
      </c>
    </row>
    <row r="30" spans="1:8" ht="16" customHeight="1" x14ac:dyDescent="0.2">
      <c r="B30" s="12">
        <f>ROUND((1-(3/(4*COUNT(B2:B21)-9))),3)</f>
        <v>0.93</v>
      </c>
      <c r="C30" s="12">
        <f xml:space="preserve"> ROUND(B27*B30,3)</f>
        <v>1.52</v>
      </c>
      <c r="D30" s="12">
        <f>ROUND( ((1/COUNT(D2:D21))+((B27^2)/(2*(COUNT(D2:D21)))))*2*(1-C27)*(B30^2),3)</f>
        <v>3.1E-2</v>
      </c>
      <c r="E30" s="28">
        <f>ROUND((1-(3/(4*COUNT(E2:E21)-9))),3)</f>
        <v>0.92300000000000004</v>
      </c>
      <c r="F30" s="13">
        <f xml:space="preserve"> ROUND(E27*E30,3)</f>
        <v>-0.91500000000000004</v>
      </c>
      <c r="G30" s="13">
        <f>ROUND( ((1/COUNT(G2:G21))+((E27^2)/(2*(COUNT(G2:G21)))))*2*(1-F27)*(E30^2),3)</f>
        <v>0.108</v>
      </c>
    </row>
    <row r="31" spans="1:8" ht="16" customHeight="1" x14ac:dyDescent="0.2">
      <c r="E31" s="11"/>
    </row>
  </sheetData>
  <mergeCells count="1">
    <mergeCell ref="I2:K2"/>
  </mergeCells>
  <pageMargins left="0.7" right="0.7" top="0.78740157499999996" bottom="0.78740157499999996" header="0.3" footer="0.3"/>
  <pageSetup paperSize="9" orientation="portrait" horizontalDpi="0" verticalDpi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E31B95-D3FE-7848-96F0-EA9BE0A96172}">
  <sheetPr>
    <tabColor rgb="FF00B050"/>
  </sheetPr>
  <dimension ref="A1:L31"/>
  <sheetViews>
    <sheetView topLeftCell="A6" zoomScale="160" zoomScaleNormal="160" workbookViewId="0">
      <selection activeCell="B25" sqref="B25:G25"/>
    </sheetView>
  </sheetViews>
  <sheetFormatPr baseColWidth="10" defaultColWidth="10.83203125" defaultRowHeight="16" customHeight="1" x14ac:dyDescent="0.2"/>
  <cols>
    <col min="1" max="16384" width="10.83203125" style="1"/>
  </cols>
  <sheetData>
    <row r="1" spans="2:12" ht="16" customHeight="1" x14ac:dyDescent="0.2">
      <c r="B1" s="7" t="s">
        <v>7</v>
      </c>
      <c r="C1" s="7" t="s">
        <v>6</v>
      </c>
      <c r="D1" s="7" t="s">
        <v>8</v>
      </c>
      <c r="E1" s="8" t="s">
        <v>9</v>
      </c>
      <c r="F1" s="9" t="s">
        <v>10</v>
      </c>
      <c r="G1" s="9" t="s">
        <v>11</v>
      </c>
      <c r="H1" s="10" t="s">
        <v>12</v>
      </c>
      <c r="I1" s="10"/>
      <c r="J1" s="21"/>
      <c r="K1" s="21"/>
      <c r="L1" s="21"/>
    </row>
    <row r="2" spans="2:12" ht="16" customHeight="1" x14ac:dyDescent="0.2">
      <c r="B2" s="1">
        <v>307</v>
      </c>
      <c r="C2" s="1">
        <v>289</v>
      </c>
      <c r="D2" s="1">
        <v>18</v>
      </c>
      <c r="E2" s="16">
        <v>15.7</v>
      </c>
      <c r="F2" s="1">
        <v>22.4</v>
      </c>
      <c r="G2" s="1">
        <v>-6.6999999999999993</v>
      </c>
      <c r="H2" s="1">
        <v>1</v>
      </c>
      <c r="I2" s="81" t="s">
        <v>29</v>
      </c>
      <c r="J2" s="81"/>
      <c r="K2" s="81"/>
      <c r="L2" s="17" t="str">
        <f xml:space="preserve"> "n = "&amp;MAX(H2:H21)</f>
        <v>n = 9</v>
      </c>
    </row>
    <row r="3" spans="2:12" ht="16" customHeight="1" x14ac:dyDescent="0.2">
      <c r="B3" s="1">
        <v>182</v>
      </c>
      <c r="C3" s="1">
        <v>201</v>
      </c>
      <c r="D3" s="1">
        <v>-19</v>
      </c>
      <c r="E3" s="11">
        <v>19.399999999999999</v>
      </c>
      <c r="F3" s="1">
        <v>11</v>
      </c>
      <c r="G3" s="1">
        <v>8.3999999999999986</v>
      </c>
      <c r="H3" s="1">
        <v>2</v>
      </c>
    </row>
    <row r="4" spans="2:12" ht="16" customHeight="1" x14ac:dyDescent="0.2">
      <c r="B4" s="1">
        <v>249</v>
      </c>
      <c r="C4" s="1">
        <v>222</v>
      </c>
      <c r="D4" s="1">
        <v>27</v>
      </c>
      <c r="E4" s="11">
        <v>17.600000000000001</v>
      </c>
      <c r="F4" s="1">
        <v>20.5</v>
      </c>
      <c r="G4" s="1">
        <v>-2.8999999999999986</v>
      </c>
      <c r="H4" s="1">
        <v>3</v>
      </c>
    </row>
    <row r="5" spans="2:12" ht="16" customHeight="1" x14ac:dyDescent="0.2">
      <c r="B5" s="1">
        <v>155</v>
      </c>
      <c r="C5" s="1">
        <v>158</v>
      </c>
      <c r="D5" s="1">
        <v>-3</v>
      </c>
      <c r="E5" s="11">
        <v>17.899999999999999</v>
      </c>
      <c r="F5" s="1">
        <v>11.6</v>
      </c>
      <c r="G5" s="1">
        <v>6.2999999999999989</v>
      </c>
      <c r="H5" s="1">
        <v>4</v>
      </c>
    </row>
    <row r="6" spans="2:12" ht="16" customHeight="1" x14ac:dyDescent="0.2">
      <c r="B6" s="1">
        <v>155</v>
      </c>
      <c r="C6" s="1">
        <v>155</v>
      </c>
      <c r="D6" s="1">
        <v>0</v>
      </c>
      <c r="E6" s="11">
        <v>18.100000000000001</v>
      </c>
      <c r="F6" s="1">
        <v>29.8</v>
      </c>
      <c r="G6" s="1">
        <v>-11.7</v>
      </c>
      <c r="H6" s="1">
        <v>5</v>
      </c>
    </row>
    <row r="7" spans="2:12" ht="16" customHeight="1" x14ac:dyDescent="0.2">
      <c r="B7" s="1">
        <v>182</v>
      </c>
      <c r="C7" s="1">
        <v>228</v>
      </c>
      <c r="D7" s="1">
        <v>-46</v>
      </c>
      <c r="E7" s="11">
        <v>14.4</v>
      </c>
      <c r="F7" s="1">
        <v>22.4</v>
      </c>
      <c r="G7" s="1">
        <v>-7.9999999999999982</v>
      </c>
      <c r="H7" s="1">
        <v>6</v>
      </c>
    </row>
    <row r="8" spans="2:12" ht="16" customHeight="1" x14ac:dyDescent="0.2">
      <c r="B8" s="1">
        <v>272</v>
      </c>
      <c r="C8" s="1">
        <v>206</v>
      </c>
      <c r="D8" s="1">
        <v>66</v>
      </c>
      <c r="E8" s="11">
        <v>12.3</v>
      </c>
      <c r="F8" s="1">
        <v>26.1</v>
      </c>
      <c r="G8" s="1">
        <v>-13.8</v>
      </c>
      <c r="H8" s="1">
        <v>7</v>
      </c>
    </row>
    <row r="9" spans="2:12" ht="16" customHeight="1" x14ac:dyDescent="0.2">
      <c r="B9" s="1">
        <v>246</v>
      </c>
      <c r="C9" s="1">
        <v>258</v>
      </c>
      <c r="D9" s="1">
        <v>-12</v>
      </c>
      <c r="E9" s="11">
        <v>23.3</v>
      </c>
      <c r="F9" s="1">
        <v>25</v>
      </c>
      <c r="G9" s="1">
        <v>-1.6999999999999993</v>
      </c>
      <c r="H9" s="1">
        <v>8</v>
      </c>
    </row>
    <row r="10" spans="2:12" ht="16" customHeight="1" x14ac:dyDescent="0.2">
      <c r="B10" s="1">
        <v>296</v>
      </c>
      <c r="C10" s="1">
        <v>187</v>
      </c>
      <c r="D10" s="1">
        <v>109</v>
      </c>
      <c r="E10" s="11">
        <v>17</v>
      </c>
      <c r="F10" s="1">
        <v>16.600000000000001</v>
      </c>
      <c r="G10" s="1">
        <v>0.39999999999999858</v>
      </c>
      <c r="H10" s="1">
        <v>9</v>
      </c>
    </row>
    <row r="11" spans="2:12" ht="16" customHeight="1" x14ac:dyDescent="0.2">
      <c r="D11" s="1" t="s">
        <v>58</v>
      </c>
      <c r="E11" s="11"/>
      <c r="G11" s="1" t="s">
        <v>58</v>
      </c>
      <c r="H11" s="1" t="s">
        <v>58</v>
      </c>
    </row>
    <row r="12" spans="2:12" ht="16" customHeight="1" x14ac:dyDescent="0.2">
      <c r="D12" s="1" t="s">
        <v>58</v>
      </c>
      <c r="E12" s="11"/>
      <c r="G12" s="1" t="s">
        <v>58</v>
      </c>
      <c r="H12" s="1" t="s">
        <v>58</v>
      </c>
    </row>
    <row r="13" spans="2:12" ht="16" customHeight="1" x14ac:dyDescent="0.2">
      <c r="D13" s="1" t="s">
        <v>58</v>
      </c>
      <c r="E13" s="11"/>
      <c r="G13" s="1" t="s">
        <v>58</v>
      </c>
      <c r="H13" s="1" t="s">
        <v>58</v>
      </c>
    </row>
    <row r="14" spans="2:12" ht="16" customHeight="1" x14ac:dyDescent="0.2">
      <c r="D14" s="1" t="s">
        <v>58</v>
      </c>
      <c r="E14" s="11"/>
      <c r="G14" s="1" t="s">
        <v>58</v>
      </c>
      <c r="H14" s="1" t="s">
        <v>58</v>
      </c>
    </row>
    <row r="15" spans="2:12" ht="16" customHeight="1" x14ac:dyDescent="0.2">
      <c r="D15" s="1" t="s">
        <v>58</v>
      </c>
      <c r="E15" s="11"/>
      <c r="G15" s="1" t="s">
        <v>58</v>
      </c>
      <c r="H15" s="1" t="s">
        <v>58</v>
      </c>
    </row>
    <row r="16" spans="2:12" ht="16" customHeight="1" x14ac:dyDescent="0.2">
      <c r="D16" s="1" t="s">
        <v>58</v>
      </c>
      <c r="E16" s="11"/>
      <c r="G16" s="1" t="s">
        <v>58</v>
      </c>
      <c r="H16" s="1" t="s">
        <v>58</v>
      </c>
    </row>
    <row r="17" spans="1:8" ht="16" customHeight="1" x14ac:dyDescent="0.2">
      <c r="D17" s="1" t="s">
        <v>58</v>
      </c>
      <c r="E17" s="11"/>
      <c r="G17" s="1" t="s">
        <v>58</v>
      </c>
      <c r="H17" s="1" t="s">
        <v>58</v>
      </c>
    </row>
    <row r="18" spans="1:8" ht="16" customHeight="1" x14ac:dyDescent="0.2">
      <c r="D18" s="1" t="s">
        <v>58</v>
      </c>
      <c r="E18" s="11"/>
      <c r="G18" s="1" t="s">
        <v>58</v>
      </c>
      <c r="H18" s="1" t="s">
        <v>58</v>
      </c>
    </row>
    <row r="19" spans="1:8" ht="16" customHeight="1" x14ac:dyDescent="0.2">
      <c r="D19" s="1" t="s">
        <v>58</v>
      </c>
      <c r="E19" s="11"/>
      <c r="G19" s="1" t="s">
        <v>58</v>
      </c>
      <c r="H19" s="1" t="s">
        <v>58</v>
      </c>
    </row>
    <row r="20" spans="1:8" ht="16" customHeight="1" x14ac:dyDescent="0.2">
      <c r="D20" s="1" t="s">
        <v>58</v>
      </c>
      <c r="E20" s="11"/>
      <c r="G20" s="1" t="s">
        <v>58</v>
      </c>
      <c r="H20" s="1" t="s">
        <v>58</v>
      </c>
    </row>
    <row r="21" spans="1:8" ht="16" customHeight="1" x14ac:dyDescent="0.2">
      <c r="B21" s="10"/>
      <c r="C21" s="10"/>
      <c r="D21" s="10" t="s">
        <v>58</v>
      </c>
      <c r="E21" s="14"/>
      <c r="F21" s="10"/>
      <c r="G21" s="10" t="s">
        <v>58</v>
      </c>
      <c r="H21" s="1" t="s">
        <v>58</v>
      </c>
    </row>
    <row r="22" spans="1:8" ht="16" customHeight="1" x14ac:dyDescent="0.2">
      <c r="A22" s="27" t="s">
        <v>77</v>
      </c>
      <c r="B22" s="30">
        <f xml:space="preserve"> AVERAGE(B2:B21)</f>
        <v>227.11111111111111</v>
      </c>
      <c r="C22" s="30">
        <f t="shared" ref="C22:G22" si="0" xml:space="preserve"> AVERAGE(C2:C21)</f>
        <v>211.55555555555554</v>
      </c>
      <c r="D22" s="30">
        <f t="shared" si="0"/>
        <v>15.555555555555555</v>
      </c>
      <c r="E22" s="33">
        <f t="shared" si="0"/>
        <v>17.299999999999997</v>
      </c>
      <c r="F22" s="32">
        <f t="shared" si="0"/>
        <v>20.599999999999998</v>
      </c>
      <c r="G22" s="32">
        <f t="shared" si="0"/>
        <v>-3.3</v>
      </c>
    </row>
    <row r="23" spans="1:8" ht="16" customHeight="1" x14ac:dyDescent="0.2">
      <c r="A23" s="27" t="s">
        <v>76</v>
      </c>
      <c r="B23" s="30">
        <f xml:space="preserve"> _xlfn.STDEV.S(B2:B21)</f>
        <v>59.63313769299004</v>
      </c>
      <c r="C23" s="30">
        <f t="shared" ref="C23:G23" si="1" xml:space="preserve"> _xlfn.STDEV.S(C2:C21)</f>
        <v>43.798148108998639</v>
      </c>
      <c r="D23" s="30">
        <f t="shared" si="1"/>
        <v>47.093288033198299</v>
      </c>
      <c r="E23" s="31">
        <f t="shared" si="1"/>
        <v>3.1136794953880611</v>
      </c>
      <c r="F23" s="32">
        <f t="shared" si="1"/>
        <v>6.4216430919197141</v>
      </c>
      <c r="G23" s="32">
        <f t="shared" si="1"/>
        <v>7.5822160349069447</v>
      </c>
    </row>
    <row r="25" spans="1:8" ht="16" customHeight="1" x14ac:dyDescent="0.2">
      <c r="B25" s="18" t="s">
        <v>6</v>
      </c>
      <c r="C25" s="1" t="s">
        <v>117</v>
      </c>
      <c r="D25" s="73">
        <f xml:space="preserve"> ROUND(_xlfn.NORM.S.DIST(B27/SQRT(2),TRUE),3)</f>
        <v>0.59199999999999997</v>
      </c>
      <c r="E25" s="29" t="s">
        <v>13</v>
      </c>
      <c r="F25" s="1" t="s">
        <v>117</v>
      </c>
      <c r="G25" s="74">
        <f xml:space="preserve"> ROUND(_xlfn.NORM.S.DIST(E27/SQRT(2),TRUE),3)</f>
        <v>0.379</v>
      </c>
    </row>
    <row r="26" spans="1:8" ht="16" customHeight="1" x14ac:dyDescent="0.25">
      <c r="B26" s="10" t="s">
        <v>80</v>
      </c>
      <c r="C26" s="10" t="s">
        <v>3</v>
      </c>
      <c r="D26" s="10" t="s">
        <v>4</v>
      </c>
      <c r="E26" s="14" t="s">
        <v>80</v>
      </c>
      <c r="F26" s="10" t="s">
        <v>3</v>
      </c>
      <c r="G26" s="10" t="s">
        <v>4</v>
      </c>
    </row>
    <row r="27" spans="1:8" ht="16" customHeight="1" x14ac:dyDescent="0.2">
      <c r="B27" s="12">
        <f xml:space="preserve"> D22/D23</f>
        <v>0.33031364351942688</v>
      </c>
      <c r="C27" s="12">
        <f xml:space="preserve"> CORREL(B2:B21,C2:C21)</f>
        <v>0.623436888477236</v>
      </c>
      <c r="D27" s="12">
        <f xml:space="preserve"> STEYX(C2:C21,B2:B21)</f>
        <v>36.60903770529579</v>
      </c>
      <c r="E27" s="28">
        <f xml:space="preserve"> G22/G23</f>
        <v>-0.43522896008336964</v>
      </c>
      <c r="F27" s="13">
        <f xml:space="preserve"> CORREL(E2:E21,F2:F21)</f>
        <v>-0.16397899962476006</v>
      </c>
      <c r="G27" s="13">
        <f xml:space="preserve"> STEYX(F2:F21,E2:E21)</f>
        <v>6.7720990821195652</v>
      </c>
    </row>
    <row r="28" spans="1:8" ht="16" customHeight="1" x14ac:dyDescent="0.2">
      <c r="E28" s="11"/>
    </row>
    <row r="29" spans="1:8" ht="16" customHeight="1" x14ac:dyDescent="0.25">
      <c r="B29" s="10" t="s">
        <v>78</v>
      </c>
      <c r="C29" s="10" t="s">
        <v>39</v>
      </c>
      <c r="D29" s="10" t="s">
        <v>79</v>
      </c>
      <c r="E29" s="14" t="s">
        <v>78</v>
      </c>
      <c r="F29" s="10" t="s">
        <v>39</v>
      </c>
      <c r="G29" s="10" t="s">
        <v>79</v>
      </c>
    </row>
    <row r="30" spans="1:8" ht="16" customHeight="1" x14ac:dyDescent="0.2">
      <c r="B30" s="12">
        <f>ROUND((1-(3/(4*COUNT(B2:B21)-9))),3)</f>
        <v>0.88900000000000001</v>
      </c>
      <c r="C30" s="12">
        <f xml:space="preserve"> ROUND(B27*B30,3)</f>
        <v>0.29399999999999998</v>
      </c>
      <c r="D30" s="12">
        <f>ROUND( ((1/COUNT(D2:D21))+((B27^2)/(2*(COUNT(D2:D21)))))*2*(1-C27)*(B30^2),3)</f>
        <v>7.0000000000000007E-2</v>
      </c>
      <c r="E30" s="28">
        <f>ROUND((1-(3/(4*COUNT(E2:E21)-9))),3)</f>
        <v>0.88900000000000001</v>
      </c>
      <c r="F30" s="13">
        <f xml:space="preserve"> ROUND(E27*E30,3)</f>
        <v>-0.38700000000000001</v>
      </c>
      <c r="G30" s="13">
        <f>ROUND( ((1/COUNT(G2:G21))+((E27^2)/(2*(COUNT(G2:G21)))))*2*(1-F27)*(E30^2),3)</f>
        <v>0.224</v>
      </c>
    </row>
    <row r="31" spans="1:8" ht="16" customHeight="1" x14ac:dyDescent="0.2">
      <c r="E31" s="11"/>
    </row>
  </sheetData>
  <mergeCells count="1">
    <mergeCell ref="I2:K2"/>
  </mergeCells>
  <pageMargins left="0.7" right="0.7" top="0.78740157499999996" bottom="0.78740157499999996" header="0.3" footer="0.3"/>
  <pageSetup paperSize="9" orientation="portrait" horizontalDpi="0" verticalDpi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FA415B-2C96-0E4D-9700-43DA2BAD6589}">
  <sheetPr>
    <tabColor rgb="FF00B050"/>
  </sheetPr>
  <dimension ref="A1:L31"/>
  <sheetViews>
    <sheetView zoomScale="160" zoomScaleNormal="160" workbookViewId="0">
      <selection activeCell="B22" sqref="B22:G23"/>
    </sheetView>
  </sheetViews>
  <sheetFormatPr baseColWidth="10" defaultColWidth="10.83203125" defaultRowHeight="16" customHeight="1" x14ac:dyDescent="0.2"/>
  <cols>
    <col min="1" max="16384" width="10.83203125" style="1"/>
  </cols>
  <sheetData>
    <row r="1" spans="2:12" ht="16" customHeight="1" x14ac:dyDescent="0.2">
      <c r="B1" s="7" t="s">
        <v>7</v>
      </c>
      <c r="C1" s="7" t="s">
        <v>6</v>
      </c>
      <c r="D1" s="7" t="s">
        <v>8</v>
      </c>
      <c r="E1" s="8" t="s">
        <v>9</v>
      </c>
      <c r="F1" s="9" t="s">
        <v>10</v>
      </c>
      <c r="G1" s="9" t="s">
        <v>11</v>
      </c>
      <c r="H1" s="10" t="s">
        <v>12</v>
      </c>
      <c r="I1" s="10"/>
      <c r="J1" s="21"/>
      <c r="K1" s="21"/>
      <c r="L1" s="21"/>
    </row>
    <row r="2" spans="2:12" ht="16" customHeight="1" x14ac:dyDescent="0.2">
      <c r="B2" s="1">
        <v>304</v>
      </c>
      <c r="C2" s="1">
        <v>308</v>
      </c>
      <c r="D2" s="1">
        <v>-4</v>
      </c>
      <c r="E2" s="16">
        <v>16</v>
      </c>
      <c r="F2" s="1">
        <v>13.3</v>
      </c>
      <c r="G2" s="1">
        <v>2.6999999999999993</v>
      </c>
      <c r="H2" s="1">
        <v>1</v>
      </c>
      <c r="I2" s="81" t="s">
        <v>30</v>
      </c>
      <c r="J2" s="81"/>
      <c r="K2" s="81"/>
      <c r="L2" s="17" t="str">
        <f xml:space="preserve"> "n = "&amp;MAX(H2:H21)</f>
        <v>n = 9</v>
      </c>
    </row>
    <row r="3" spans="2:12" ht="16" customHeight="1" x14ac:dyDescent="0.2">
      <c r="B3" s="1">
        <v>215</v>
      </c>
      <c r="C3" s="1">
        <v>198</v>
      </c>
      <c r="D3" s="1">
        <v>17</v>
      </c>
      <c r="E3" s="11">
        <v>17.899999999999999</v>
      </c>
      <c r="F3" s="1">
        <v>13.3</v>
      </c>
      <c r="G3" s="1">
        <v>4.5999999999999979</v>
      </c>
      <c r="H3" s="1">
        <v>2</v>
      </c>
    </row>
    <row r="4" spans="2:12" ht="16" customHeight="1" x14ac:dyDescent="0.2">
      <c r="B4" s="1">
        <v>264</v>
      </c>
      <c r="C4" s="1">
        <v>260</v>
      </c>
      <c r="D4" s="1">
        <v>4</v>
      </c>
      <c r="E4" s="11">
        <v>19.399999999999999</v>
      </c>
      <c r="F4" s="1">
        <v>13.9</v>
      </c>
      <c r="G4" s="1">
        <v>5.4999999999999982</v>
      </c>
      <c r="H4" s="1">
        <v>3</v>
      </c>
    </row>
    <row r="5" spans="2:12" ht="16" customHeight="1" x14ac:dyDescent="0.2">
      <c r="B5" s="1">
        <v>188</v>
      </c>
      <c r="C5" s="1">
        <v>212</v>
      </c>
      <c r="D5" s="1">
        <v>-24</v>
      </c>
      <c r="E5" s="11">
        <v>14.4</v>
      </c>
      <c r="F5" s="1">
        <v>18.399999999999999</v>
      </c>
      <c r="G5" s="1">
        <v>-3.9999999999999982</v>
      </c>
      <c r="H5" s="1">
        <v>4</v>
      </c>
    </row>
    <row r="6" spans="2:12" ht="16" customHeight="1" x14ac:dyDescent="0.2">
      <c r="B6" s="1">
        <v>240</v>
      </c>
      <c r="C6" s="1">
        <v>225</v>
      </c>
      <c r="D6" s="1">
        <v>15</v>
      </c>
      <c r="E6" s="11">
        <v>16.100000000000001</v>
      </c>
      <c r="F6" s="1">
        <v>13.3</v>
      </c>
      <c r="G6" s="1">
        <v>2.8000000000000007</v>
      </c>
      <c r="H6" s="1">
        <v>5</v>
      </c>
    </row>
    <row r="7" spans="2:12" ht="16" customHeight="1" x14ac:dyDescent="0.2">
      <c r="B7" s="1">
        <v>311</v>
      </c>
      <c r="C7" s="1">
        <v>284</v>
      </c>
      <c r="D7" s="1">
        <v>27</v>
      </c>
      <c r="E7" s="11">
        <v>13</v>
      </c>
      <c r="F7" s="1">
        <v>15.9</v>
      </c>
      <c r="G7" s="1">
        <v>-2.9000000000000004</v>
      </c>
      <c r="H7" s="1">
        <v>6</v>
      </c>
    </row>
    <row r="8" spans="2:12" ht="16" customHeight="1" x14ac:dyDescent="0.2">
      <c r="B8" s="1">
        <v>273</v>
      </c>
      <c r="C8" s="1">
        <v>241</v>
      </c>
      <c r="D8" s="1">
        <v>32</v>
      </c>
      <c r="E8" s="11">
        <v>11</v>
      </c>
      <c r="F8" s="1">
        <v>24</v>
      </c>
      <c r="G8" s="1">
        <v>-13</v>
      </c>
      <c r="H8" s="1">
        <v>7</v>
      </c>
    </row>
    <row r="9" spans="2:12" ht="16" customHeight="1" x14ac:dyDescent="0.2">
      <c r="B9" s="1">
        <v>283</v>
      </c>
      <c r="C9" s="1">
        <v>269</v>
      </c>
      <c r="D9" s="1">
        <v>14</v>
      </c>
      <c r="E9" s="11">
        <v>14.3</v>
      </c>
      <c r="F9" s="1">
        <v>16.7</v>
      </c>
      <c r="G9" s="1">
        <v>-2.3999999999999986</v>
      </c>
      <c r="H9" s="1">
        <v>8</v>
      </c>
    </row>
    <row r="10" spans="2:12" ht="16" customHeight="1" x14ac:dyDescent="0.2">
      <c r="B10" s="1">
        <v>252</v>
      </c>
      <c r="C10" s="1">
        <v>203</v>
      </c>
      <c r="D10" s="1">
        <v>49</v>
      </c>
      <c r="E10" s="11">
        <v>10.199999999999999</v>
      </c>
      <c r="F10" s="1">
        <v>16.8</v>
      </c>
      <c r="G10" s="1">
        <v>-6.6000000000000014</v>
      </c>
      <c r="H10" s="1">
        <v>9</v>
      </c>
    </row>
    <row r="11" spans="2:12" ht="16" customHeight="1" x14ac:dyDescent="0.2">
      <c r="D11" s="1" t="s">
        <v>58</v>
      </c>
      <c r="E11" s="11"/>
      <c r="G11" s="1" t="s">
        <v>58</v>
      </c>
      <c r="H11" s="1" t="s">
        <v>58</v>
      </c>
    </row>
    <row r="12" spans="2:12" ht="16" customHeight="1" x14ac:dyDescent="0.2">
      <c r="D12" s="1" t="s">
        <v>58</v>
      </c>
      <c r="E12" s="11"/>
      <c r="G12" s="1" t="s">
        <v>58</v>
      </c>
      <c r="H12" s="1" t="s">
        <v>58</v>
      </c>
    </row>
    <row r="13" spans="2:12" ht="16" customHeight="1" x14ac:dyDescent="0.2">
      <c r="D13" s="1" t="s">
        <v>58</v>
      </c>
      <c r="E13" s="11"/>
      <c r="G13" s="1" t="s">
        <v>58</v>
      </c>
      <c r="H13" s="1" t="s">
        <v>58</v>
      </c>
    </row>
    <row r="14" spans="2:12" ht="16" customHeight="1" x14ac:dyDescent="0.2">
      <c r="D14" s="1" t="s">
        <v>58</v>
      </c>
      <c r="E14" s="11"/>
      <c r="G14" s="1" t="s">
        <v>58</v>
      </c>
      <c r="H14" s="1" t="s">
        <v>58</v>
      </c>
    </row>
    <row r="15" spans="2:12" ht="16" customHeight="1" x14ac:dyDescent="0.2">
      <c r="D15" s="1" t="s">
        <v>58</v>
      </c>
      <c r="E15" s="11"/>
      <c r="G15" s="1" t="s">
        <v>58</v>
      </c>
      <c r="H15" s="1" t="s">
        <v>58</v>
      </c>
    </row>
    <row r="16" spans="2:12" ht="16" customHeight="1" x14ac:dyDescent="0.2">
      <c r="D16" s="1" t="s">
        <v>58</v>
      </c>
      <c r="E16" s="11"/>
      <c r="G16" s="1" t="s">
        <v>58</v>
      </c>
      <c r="H16" s="1" t="s">
        <v>58</v>
      </c>
    </row>
    <row r="17" spans="1:8" ht="16" customHeight="1" x14ac:dyDescent="0.2">
      <c r="D17" s="1" t="s">
        <v>58</v>
      </c>
      <c r="E17" s="11"/>
      <c r="G17" s="1" t="s">
        <v>58</v>
      </c>
      <c r="H17" s="1" t="s">
        <v>58</v>
      </c>
    </row>
    <row r="18" spans="1:8" ht="16" customHeight="1" x14ac:dyDescent="0.2">
      <c r="D18" s="1" t="s">
        <v>58</v>
      </c>
      <c r="E18" s="11"/>
      <c r="G18" s="1" t="s">
        <v>58</v>
      </c>
      <c r="H18" s="1" t="s">
        <v>58</v>
      </c>
    </row>
    <row r="19" spans="1:8" ht="16" customHeight="1" x14ac:dyDescent="0.2">
      <c r="D19" s="1" t="s">
        <v>58</v>
      </c>
      <c r="E19" s="11"/>
      <c r="G19" s="1" t="s">
        <v>58</v>
      </c>
      <c r="H19" s="1" t="s">
        <v>58</v>
      </c>
    </row>
    <row r="20" spans="1:8" ht="16" customHeight="1" x14ac:dyDescent="0.2">
      <c r="D20" s="1" t="s">
        <v>58</v>
      </c>
      <c r="E20" s="11"/>
      <c r="G20" s="1" t="s">
        <v>58</v>
      </c>
      <c r="H20" s="1" t="s">
        <v>58</v>
      </c>
    </row>
    <row r="21" spans="1:8" ht="16" customHeight="1" x14ac:dyDescent="0.2">
      <c r="B21" s="10"/>
      <c r="C21" s="10"/>
      <c r="D21" s="10" t="s">
        <v>58</v>
      </c>
      <c r="E21" s="14"/>
      <c r="F21" s="10"/>
      <c r="G21" s="10" t="s">
        <v>58</v>
      </c>
      <c r="H21" s="1" t="s">
        <v>58</v>
      </c>
    </row>
    <row r="22" spans="1:8" ht="16" customHeight="1" x14ac:dyDescent="0.2">
      <c r="A22" s="27" t="s">
        <v>77</v>
      </c>
      <c r="B22" s="30">
        <f xml:space="preserve"> AVERAGE(B2:B21)</f>
        <v>258.88888888888891</v>
      </c>
      <c r="C22" s="30">
        <f t="shared" ref="C22:G22" si="0" xml:space="preserve"> AVERAGE(C2:C21)</f>
        <v>244.44444444444446</v>
      </c>
      <c r="D22" s="30">
        <f t="shared" si="0"/>
        <v>14.444444444444445</v>
      </c>
      <c r="E22" s="33">
        <f t="shared" si="0"/>
        <v>14.700000000000001</v>
      </c>
      <c r="F22" s="32">
        <f t="shared" si="0"/>
        <v>16.177777777777781</v>
      </c>
      <c r="G22" s="32">
        <f t="shared" si="0"/>
        <v>-1.4777777777777781</v>
      </c>
    </row>
    <row r="23" spans="1:8" ht="16" customHeight="1" x14ac:dyDescent="0.2">
      <c r="A23" s="27" t="s">
        <v>76</v>
      </c>
      <c r="B23" s="30">
        <f xml:space="preserve"> _xlfn.STDEV.S(B2:B21)</f>
        <v>40.176001681490277</v>
      </c>
      <c r="C23" s="30">
        <f t="shared" ref="C23:G23" si="1" xml:space="preserve"> _xlfn.STDEV.S(C2:C21)</f>
        <v>38.350720694372626</v>
      </c>
      <c r="D23" s="30">
        <f t="shared" si="1"/>
        <v>21.196173658888949</v>
      </c>
      <c r="E23" s="31">
        <f t="shared" si="1"/>
        <v>3.0220026472523092</v>
      </c>
      <c r="F23" s="32">
        <f t="shared" si="1"/>
        <v>3.4802218958630156</v>
      </c>
      <c r="G23" s="32">
        <f t="shared" si="1"/>
        <v>6.0168051692276387</v>
      </c>
    </row>
    <row r="25" spans="1:8" ht="16" customHeight="1" x14ac:dyDescent="0.2">
      <c r="B25" s="18" t="s">
        <v>6</v>
      </c>
      <c r="C25" s="1" t="s">
        <v>117</v>
      </c>
      <c r="D25" s="73">
        <f xml:space="preserve"> ROUND(_xlfn.NORM.S.DIST(B27/SQRT(2),TRUE),3)</f>
        <v>0.68500000000000005</v>
      </c>
      <c r="E25" s="29" t="s">
        <v>13</v>
      </c>
      <c r="F25" s="1" t="s">
        <v>117</v>
      </c>
      <c r="G25" s="74">
        <f xml:space="preserve"> ROUND(_xlfn.NORM.S.DIST(E27/SQRT(2),TRUE),3)</f>
        <v>0.43099999999999999</v>
      </c>
    </row>
    <row r="26" spans="1:8" ht="16" customHeight="1" x14ac:dyDescent="0.25">
      <c r="B26" s="10" t="s">
        <v>80</v>
      </c>
      <c r="C26" s="10" t="s">
        <v>3</v>
      </c>
      <c r="D26" s="10" t="s">
        <v>4</v>
      </c>
      <c r="E26" s="14" t="s">
        <v>80</v>
      </c>
      <c r="F26" s="10" t="s">
        <v>3</v>
      </c>
      <c r="G26" s="10" t="s">
        <v>4</v>
      </c>
    </row>
    <row r="27" spans="1:8" ht="16" customHeight="1" x14ac:dyDescent="0.2">
      <c r="B27" s="12">
        <f xml:space="preserve"> D22/D23</f>
        <v>0.68146471513677842</v>
      </c>
      <c r="C27" s="12">
        <f xml:space="preserve"> CORREL(B2:B21,C2:C21)</f>
        <v>0.85528546360692514</v>
      </c>
      <c r="D27" s="12">
        <f xml:space="preserve"> STEYX(C2:C21,B2:B21)</f>
        <v>21.243738798984651</v>
      </c>
      <c r="E27" s="28">
        <f xml:space="preserve"> G22/G23</f>
        <v>-0.24560838122791942</v>
      </c>
      <c r="F27" s="13">
        <f xml:space="preserve"> CORREL(E2:E21,F2:F21)</f>
        <v>-0.71109437027095579</v>
      </c>
      <c r="G27" s="13">
        <f xml:space="preserve"> STEYX(F2:F21,E2:E21)</f>
        <v>2.6158804499645392</v>
      </c>
    </row>
    <row r="28" spans="1:8" ht="16" customHeight="1" x14ac:dyDescent="0.2">
      <c r="E28" s="11"/>
    </row>
    <row r="29" spans="1:8" ht="16" customHeight="1" x14ac:dyDescent="0.25">
      <c r="B29" s="10" t="s">
        <v>78</v>
      </c>
      <c r="C29" s="10" t="s">
        <v>39</v>
      </c>
      <c r="D29" s="10" t="s">
        <v>79</v>
      </c>
      <c r="E29" s="14" t="s">
        <v>78</v>
      </c>
      <c r="F29" s="10" t="s">
        <v>39</v>
      </c>
      <c r="G29" s="10" t="s">
        <v>79</v>
      </c>
    </row>
    <row r="30" spans="1:8" ht="16" customHeight="1" x14ac:dyDescent="0.2">
      <c r="B30" s="12">
        <f>ROUND((1-(3/(4*COUNT(B2:B21)-9))),3)</f>
        <v>0.88900000000000001</v>
      </c>
      <c r="C30" s="12">
        <f xml:space="preserve"> ROUND(B27*B30,3)</f>
        <v>0.60599999999999998</v>
      </c>
      <c r="D30" s="12">
        <f>ROUND( ((1/COUNT(D2:D21))+((B27^2)/(2*(COUNT(D2:D21)))))*2*(1-C27)*(B30^2),3)</f>
        <v>3.1E-2</v>
      </c>
      <c r="E30" s="28">
        <f>ROUND((1-(3/(4*COUNT(E2:E21)-9))),3)</f>
        <v>0.88900000000000001</v>
      </c>
      <c r="F30" s="13">
        <f xml:space="preserve"> ROUND(E27*E30,3)</f>
        <v>-0.218</v>
      </c>
      <c r="G30" s="13">
        <f>ROUND( ((1/COUNT(G2:G21))+((E27^2)/(2*(COUNT(G2:G21)))))*2*(1-F27)*(E30^2),3)</f>
        <v>0.31</v>
      </c>
    </row>
    <row r="31" spans="1:8" ht="16" customHeight="1" x14ac:dyDescent="0.2">
      <c r="E31" s="11"/>
    </row>
  </sheetData>
  <mergeCells count="1">
    <mergeCell ref="I2:K2"/>
  </mergeCells>
  <pageMargins left="0.7" right="0.7" top="0.78740157499999996" bottom="0.78740157499999996" header="0.3" footer="0.3"/>
  <pageSetup paperSize="9" orientation="portrait" horizontalDpi="0" verticalDpi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647BEE-F042-BE4A-945B-6D062252A865}">
  <sheetPr>
    <tabColor rgb="FF00B050"/>
  </sheetPr>
  <dimension ref="A1:L31"/>
  <sheetViews>
    <sheetView zoomScale="160" zoomScaleNormal="160" workbookViewId="0">
      <selection activeCell="B22" sqref="B22:G23"/>
    </sheetView>
  </sheetViews>
  <sheetFormatPr baseColWidth="10" defaultColWidth="10.83203125" defaultRowHeight="16" customHeight="1" x14ac:dyDescent="0.2"/>
  <cols>
    <col min="1" max="16384" width="10.83203125" style="1"/>
  </cols>
  <sheetData>
    <row r="1" spans="2:12" ht="16" customHeight="1" x14ac:dyDescent="0.2">
      <c r="B1" s="7" t="s">
        <v>7</v>
      </c>
      <c r="C1" s="7" t="s">
        <v>6</v>
      </c>
      <c r="D1" s="7" t="s">
        <v>8</v>
      </c>
      <c r="E1" s="8" t="s">
        <v>9</v>
      </c>
      <c r="F1" s="9" t="s">
        <v>10</v>
      </c>
      <c r="G1" s="9" t="s">
        <v>11</v>
      </c>
      <c r="H1" s="10" t="s">
        <v>12</v>
      </c>
      <c r="I1" s="10"/>
      <c r="J1" s="21"/>
      <c r="K1" s="21"/>
      <c r="L1" s="21"/>
    </row>
    <row r="2" spans="2:12" ht="16" customHeight="1" x14ac:dyDescent="0.2">
      <c r="B2" s="1">
        <v>220</v>
      </c>
      <c r="C2" s="1">
        <v>225</v>
      </c>
      <c r="D2" s="1">
        <v>-5</v>
      </c>
      <c r="E2" s="16">
        <v>15.26</v>
      </c>
      <c r="F2" s="1">
        <v>14.55</v>
      </c>
      <c r="G2" s="1">
        <v>0.70999999999999908</v>
      </c>
      <c r="H2" s="1">
        <v>1</v>
      </c>
      <c r="I2" s="81" t="s">
        <v>17</v>
      </c>
      <c r="J2" s="81"/>
      <c r="K2" s="81"/>
      <c r="L2" s="17" t="str">
        <f xml:space="preserve"> "n = "&amp;MAX(H2:H21)</f>
        <v>n = 10</v>
      </c>
    </row>
    <row r="3" spans="2:12" ht="16" customHeight="1" x14ac:dyDescent="0.2">
      <c r="B3" s="1">
        <v>195</v>
      </c>
      <c r="C3" s="1">
        <v>201</v>
      </c>
      <c r="D3" s="1">
        <v>-6</v>
      </c>
      <c r="E3" s="11">
        <v>14.04</v>
      </c>
      <c r="F3" s="1">
        <v>15.54</v>
      </c>
      <c r="G3" s="1">
        <v>-1.5</v>
      </c>
      <c r="H3" s="1">
        <v>2</v>
      </c>
    </row>
    <row r="4" spans="2:12" ht="16" customHeight="1" x14ac:dyDescent="0.2">
      <c r="B4" s="1">
        <v>297</v>
      </c>
      <c r="C4" s="1">
        <v>286</v>
      </c>
      <c r="D4" s="1">
        <v>11</v>
      </c>
      <c r="E4" s="11">
        <v>16.95</v>
      </c>
      <c r="F4" s="1">
        <v>23.21</v>
      </c>
      <c r="G4" s="1">
        <v>-6.2600000000000016</v>
      </c>
      <c r="H4" s="1">
        <v>3</v>
      </c>
    </row>
    <row r="5" spans="2:12" ht="16" customHeight="1" x14ac:dyDescent="0.2">
      <c r="B5" s="1">
        <v>240</v>
      </c>
      <c r="C5" s="1">
        <v>217</v>
      </c>
      <c r="D5" s="1">
        <v>23</v>
      </c>
      <c r="E5" s="11">
        <v>12.3</v>
      </c>
      <c r="F5" s="1">
        <v>20.25</v>
      </c>
      <c r="G5" s="1">
        <v>-7.9499999999999993</v>
      </c>
      <c r="H5" s="1">
        <v>4</v>
      </c>
    </row>
    <row r="6" spans="2:12" ht="16" customHeight="1" x14ac:dyDescent="0.2">
      <c r="B6" s="1">
        <v>193</v>
      </c>
      <c r="C6" s="1">
        <v>195</v>
      </c>
      <c r="D6" s="1">
        <v>-2</v>
      </c>
      <c r="E6" s="11">
        <v>8.11</v>
      </c>
      <c r="F6" s="1">
        <v>4.1100000000000003</v>
      </c>
      <c r="G6" s="1">
        <v>3.9999999999999991</v>
      </c>
      <c r="H6" s="1">
        <v>5</v>
      </c>
    </row>
    <row r="7" spans="2:12" ht="16" customHeight="1" x14ac:dyDescent="0.2">
      <c r="B7" s="1">
        <v>179</v>
      </c>
      <c r="C7" s="1">
        <v>178</v>
      </c>
      <c r="D7" s="1">
        <v>1</v>
      </c>
      <c r="E7" s="11">
        <v>5.13</v>
      </c>
      <c r="F7" s="1">
        <v>5.61</v>
      </c>
      <c r="G7" s="1">
        <v>-0.48000000000000043</v>
      </c>
      <c r="H7" s="1">
        <v>6</v>
      </c>
    </row>
    <row r="8" spans="2:12" ht="16" customHeight="1" x14ac:dyDescent="0.2">
      <c r="B8" s="1">
        <v>164</v>
      </c>
      <c r="C8" s="1">
        <v>168</v>
      </c>
      <c r="D8" s="1">
        <v>-4</v>
      </c>
      <c r="E8" s="11">
        <v>8.1199999999999992</v>
      </c>
      <c r="F8" s="1">
        <v>7.1</v>
      </c>
      <c r="G8" s="1">
        <v>1.0199999999999996</v>
      </c>
      <c r="H8" s="1">
        <v>7</v>
      </c>
    </row>
    <row r="9" spans="2:12" ht="16" customHeight="1" x14ac:dyDescent="0.2">
      <c r="B9" s="1">
        <v>188</v>
      </c>
      <c r="C9" s="1">
        <v>189</v>
      </c>
      <c r="D9" s="1">
        <v>-1</v>
      </c>
      <c r="E9" s="11">
        <v>8.52</v>
      </c>
      <c r="F9" s="1">
        <v>8.0399999999999991</v>
      </c>
      <c r="G9" s="1">
        <v>0.48000000000000043</v>
      </c>
      <c r="H9" s="1">
        <v>8</v>
      </c>
    </row>
    <row r="10" spans="2:12" ht="16" customHeight="1" x14ac:dyDescent="0.2">
      <c r="B10" s="1">
        <v>209</v>
      </c>
      <c r="C10" s="1">
        <v>209</v>
      </c>
      <c r="D10" s="1">
        <v>0</v>
      </c>
      <c r="E10" s="11">
        <v>8.07</v>
      </c>
      <c r="F10" s="1">
        <v>8.15</v>
      </c>
      <c r="G10" s="1">
        <v>-8.0000000000000071E-2</v>
      </c>
      <c r="H10" s="1">
        <v>9</v>
      </c>
    </row>
    <row r="11" spans="2:12" ht="16" customHeight="1" x14ac:dyDescent="0.2">
      <c r="B11" s="1">
        <v>260</v>
      </c>
      <c r="C11" s="1">
        <v>254</v>
      </c>
      <c r="D11" s="1">
        <v>6</v>
      </c>
      <c r="E11" s="11">
        <v>15.08</v>
      </c>
      <c r="F11" s="1">
        <v>14.03</v>
      </c>
      <c r="G11" s="1">
        <v>1.0500000000000007</v>
      </c>
      <c r="H11" s="1">
        <v>10</v>
      </c>
    </row>
    <row r="12" spans="2:12" ht="16" customHeight="1" x14ac:dyDescent="0.2">
      <c r="D12" s="1" t="s">
        <v>58</v>
      </c>
      <c r="E12" s="11"/>
      <c r="G12" s="1" t="s">
        <v>58</v>
      </c>
      <c r="H12" s="1" t="s">
        <v>58</v>
      </c>
    </row>
    <row r="13" spans="2:12" ht="16" customHeight="1" x14ac:dyDescent="0.2">
      <c r="D13" s="1" t="s">
        <v>58</v>
      </c>
      <c r="E13" s="11"/>
      <c r="G13" s="1" t="s">
        <v>58</v>
      </c>
      <c r="H13" s="1" t="s">
        <v>58</v>
      </c>
    </row>
    <row r="14" spans="2:12" ht="16" customHeight="1" x14ac:dyDescent="0.2">
      <c r="D14" s="1" t="s">
        <v>58</v>
      </c>
      <c r="E14" s="11"/>
      <c r="G14" s="1" t="s">
        <v>58</v>
      </c>
      <c r="H14" s="1" t="s">
        <v>58</v>
      </c>
    </row>
    <row r="15" spans="2:12" ht="16" customHeight="1" x14ac:dyDescent="0.2">
      <c r="D15" s="1" t="s">
        <v>58</v>
      </c>
      <c r="E15" s="11"/>
      <c r="G15" s="1" t="s">
        <v>58</v>
      </c>
      <c r="H15" s="1" t="s">
        <v>58</v>
      </c>
    </row>
    <row r="16" spans="2:12" ht="16" customHeight="1" x14ac:dyDescent="0.2">
      <c r="D16" s="1" t="s">
        <v>58</v>
      </c>
      <c r="E16" s="11"/>
      <c r="G16" s="1" t="s">
        <v>58</v>
      </c>
      <c r="H16" s="1" t="s">
        <v>58</v>
      </c>
    </row>
    <row r="17" spans="1:8" ht="16" customHeight="1" x14ac:dyDescent="0.2">
      <c r="D17" s="1" t="s">
        <v>58</v>
      </c>
      <c r="E17" s="11"/>
      <c r="G17" s="1" t="s">
        <v>58</v>
      </c>
      <c r="H17" s="1" t="s">
        <v>58</v>
      </c>
    </row>
    <row r="18" spans="1:8" ht="16" customHeight="1" x14ac:dyDescent="0.2">
      <c r="D18" s="1" t="s">
        <v>58</v>
      </c>
      <c r="E18" s="11"/>
      <c r="G18" s="1" t="s">
        <v>58</v>
      </c>
      <c r="H18" s="1" t="s">
        <v>58</v>
      </c>
    </row>
    <row r="19" spans="1:8" ht="16" customHeight="1" x14ac:dyDescent="0.2">
      <c r="D19" s="1" t="s">
        <v>58</v>
      </c>
      <c r="E19" s="11"/>
      <c r="G19" s="1" t="s">
        <v>58</v>
      </c>
      <c r="H19" s="1" t="s">
        <v>58</v>
      </c>
    </row>
    <row r="20" spans="1:8" ht="16" customHeight="1" x14ac:dyDescent="0.2">
      <c r="D20" s="1" t="s">
        <v>58</v>
      </c>
      <c r="E20" s="11"/>
      <c r="G20" s="1" t="s">
        <v>58</v>
      </c>
      <c r="H20" s="1" t="s">
        <v>58</v>
      </c>
    </row>
    <row r="21" spans="1:8" ht="16" customHeight="1" x14ac:dyDescent="0.2">
      <c r="B21" s="10"/>
      <c r="C21" s="10"/>
      <c r="D21" s="10" t="s">
        <v>58</v>
      </c>
      <c r="E21" s="14"/>
      <c r="F21" s="10"/>
      <c r="G21" s="10" t="s">
        <v>58</v>
      </c>
      <c r="H21" s="1" t="s">
        <v>58</v>
      </c>
    </row>
    <row r="22" spans="1:8" ht="16" customHeight="1" x14ac:dyDescent="0.2">
      <c r="A22" s="27" t="s">
        <v>77</v>
      </c>
      <c r="B22" s="30">
        <f xml:space="preserve"> AVERAGE(B2:B21)</f>
        <v>214.5</v>
      </c>
      <c r="C22" s="30">
        <f t="shared" ref="C22:G22" si="0" xml:space="preserve"> AVERAGE(C2:C21)</f>
        <v>212.2</v>
      </c>
      <c r="D22" s="30">
        <f t="shared" si="0"/>
        <v>2.2999999999999998</v>
      </c>
      <c r="E22" s="33">
        <f t="shared" si="0"/>
        <v>11.157999999999999</v>
      </c>
      <c r="F22" s="32">
        <f t="shared" si="0"/>
        <v>12.059000000000001</v>
      </c>
      <c r="G22" s="32">
        <f t="shared" si="0"/>
        <v>-0.90100000000000036</v>
      </c>
    </row>
    <row r="23" spans="1:8" ht="16" customHeight="1" x14ac:dyDescent="0.2">
      <c r="A23" s="27" t="s">
        <v>76</v>
      </c>
      <c r="B23" s="30">
        <f xml:space="preserve"> _xlfn.STDEV.S(B2:B21)</f>
        <v>40.746506326037057</v>
      </c>
      <c r="C23" s="30">
        <f t="shared" ref="C23:G23" si="1" xml:space="preserve"> _xlfn.STDEV.S(C2:C21)</f>
        <v>35.704963862808235</v>
      </c>
      <c r="D23" s="30">
        <f t="shared" si="1"/>
        <v>8.9200149476705839</v>
      </c>
      <c r="E23" s="31">
        <f t="shared" si="1"/>
        <v>4.037561970628647</v>
      </c>
      <c r="F23" s="32">
        <f t="shared" si="1"/>
        <v>6.4501945707086978</v>
      </c>
      <c r="G23" s="32">
        <f t="shared" si="1"/>
        <v>3.5844771817751426</v>
      </c>
    </row>
    <row r="25" spans="1:8" ht="16" customHeight="1" x14ac:dyDescent="0.2">
      <c r="B25" s="18" t="s">
        <v>6</v>
      </c>
      <c r="C25" s="1" t="s">
        <v>117</v>
      </c>
      <c r="D25" s="73">
        <f xml:space="preserve"> ROUND(_xlfn.NORM.S.DIST(B27/SQRT(2),TRUE),3)</f>
        <v>0.57199999999999995</v>
      </c>
      <c r="E25" s="29" t="s">
        <v>13</v>
      </c>
      <c r="F25" s="1" t="s">
        <v>117</v>
      </c>
      <c r="G25" s="74">
        <f xml:space="preserve"> ROUND(_xlfn.NORM.S.DIST(E27/SQRT(2),TRUE),3)</f>
        <v>0.42899999999999999</v>
      </c>
    </row>
    <row r="26" spans="1:8" ht="16" customHeight="1" x14ac:dyDescent="0.25">
      <c r="B26" s="10" t="s">
        <v>80</v>
      </c>
      <c r="C26" s="10" t="s">
        <v>3</v>
      </c>
      <c r="D26" s="10" t="s">
        <v>4</v>
      </c>
      <c r="E26" s="14" t="s">
        <v>80</v>
      </c>
      <c r="F26" s="10" t="s">
        <v>3</v>
      </c>
      <c r="G26" s="10" t="s">
        <v>4</v>
      </c>
    </row>
    <row r="27" spans="1:8" ht="16" customHeight="1" x14ac:dyDescent="0.2">
      <c r="B27" s="12">
        <f xml:space="preserve"> D22/D23</f>
        <v>0.25784710154556784</v>
      </c>
      <c r="C27" s="12">
        <f xml:space="preserve"> CORREL(B2:B21,C2:C21)</f>
        <v>0.98139003269345948</v>
      </c>
      <c r="D27" s="12">
        <f xml:space="preserve"> STEYX(C2:C21,B2:B21)</f>
        <v>7.2721470329928231</v>
      </c>
      <c r="E27" s="28">
        <f xml:space="preserve"> G22/G23</f>
        <v>-0.25136162243716603</v>
      </c>
      <c r="F27" s="13">
        <f xml:space="preserve"> CORREL(E2:E21,F2:F21)</f>
        <v>0.86507575295982553</v>
      </c>
      <c r="G27" s="13">
        <f xml:space="preserve"> STEYX(F2:F21,E2:E21)</f>
        <v>3.4319607802194425</v>
      </c>
    </row>
    <row r="28" spans="1:8" ht="16" customHeight="1" x14ac:dyDescent="0.2">
      <c r="E28" s="11"/>
    </row>
    <row r="29" spans="1:8" ht="16" customHeight="1" x14ac:dyDescent="0.25">
      <c r="B29" s="10" t="s">
        <v>78</v>
      </c>
      <c r="C29" s="10" t="s">
        <v>39</v>
      </c>
      <c r="D29" s="10" t="s">
        <v>79</v>
      </c>
      <c r="E29" s="14" t="s">
        <v>78</v>
      </c>
      <c r="F29" s="10" t="s">
        <v>39</v>
      </c>
      <c r="G29" s="10" t="s">
        <v>79</v>
      </c>
    </row>
    <row r="30" spans="1:8" ht="16" customHeight="1" x14ac:dyDescent="0.2">
      <c r="B30" s="12">
        <f>ROUND((1-(3/(4*COUNT(B2:B21)-9))),3)</f>
        <v>0.90300000000000002</v>
      </c>
      <c r="C30" s="12">
        <f xml:space="preserve"> ROUND(B27*B30,3)</f>
        <v>0.23300000000000001</v>
      </c>
      <c r="D30" s="12">
        <f>ROUND( ((1/COUNT(D2:D21))+((B27^2)/(2*(COUNT(D2:D21)))))*2*(1-C27)*(B30^2),3)</f>
        <v>3.0000000000000001E-3</v>
      </c>
      <c r="E30" s="28">
        <f>ROUND((1-(3/(4*COUNT(E2:E21)-9))),3)</f>
        <v>0.90300000000000002</v>
      </c>
      <c r="F30" s="13">
        <f xml:space="preserve"> ROUND(E27*E30,3)</f>
        <v>-0.22700000000000001</v>
      </c>
      <c r="G30" s="13">
        <f>ROUND( ((1/COUNT(G2:G21))+((E27^2)/(2*(COUNT(G2:G21)))))*2*(1-F27)*(E30^2),3)</f>
        <v>2.3E-2</v>
      </c>
    </row>
    <row r="31" spans="1:8" ht="16" customHeight="1" x14ac:dyDescent="0.2">
      <c r="E31" s="11"/>
    </row>
  </sheetData>
  <mergeCells count="1">
    <mergeCell ref="I2:K2"/>
  </mergeCells>
  <pageMargins left="0.7" right="0.7" top="0.78740157499999996" bottom="0.78740157499999996" header="0.3" footer="0.3"/>
  <pageSetup paperSize="9" orientation="portrait" horizontalDpi="0" verticalDpi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BA00F2-413D-2846-8855-FE7A4C81D56A}">
  <sheetPr>
    <tabColor rgb="FF00B050"/>
  </sheetPr>
  <dimension ref="A1:L31"/>
  <sheetViews>
    <sheetView zoomScale="160" zoomScaleNormal="160" workbookViewId="0">
      <selection activeCell="B22" sqref="B22:G23"/>
    </sheetView>
  </sheetViews>
  <sheetFormatPr baseColWidth="10" defaultColWidth="10.83203125" defaultRowHeight="16" customHeight="1" x14ac:dyDescent="0.2"/>
  <cols>
    <col min="1" max="16384" width="10.83203125" style="1"/>
  </cols>
  <sheetData>
    <row r="1" spans="2:12" ht="16" customHeight="1" x14ac:dyDescent="0.2">
      <c r="B1" s="7" t="s">
        <v>7</v>
      </c>
      <c r="C1" s="7" t="s">
        <v>6</v>
      </c>
      <c r="D1" s="7" t="s">
        <v>8</v>
      </c>
      <c r="E1" s="8" t="s">
        <v>9</v>
      </c>
      <c r="F1" s="9" t="s">
        <v>10</v>
      </c>
      <c r="G1" s="9" t="s">
        <v>11</v>
      </c>
      <c r="H1" s="10" t="s">
        <v>12</v>
      </c>
      <c r="I1" s="10"/>
      <c r="J1" s="21"/>
      <c r="K1" s="21"/>
      <c r="L1" s="21"/>
    </row>
    <row r="2" spans="2:12" ht="16" customHeight="1" x14ac:dyDescent="0.2">
      <c r="B2" s="1">
        <v>220</v>
      </c>
      <c r="C2" s="1">
        <v>228</v>
      </c>
      <c r="D2" s="1">
        <v>-8</v>
      </c>
      <c r="E2" s="16">
        <v>15.26</v>
      </c>
      <c r="F2" s="1">
        <v>13.54</v>
      </c>
      <c r="G2" s="1">
        <v>1.7200000000000006</v>
      </c>
      <c r="H2" s="1">
        <v>1</v>
      </c>
      <c r="I2" s="81" t="s">
        <v>16</v>
      </c>
      <c r="J2" s="81"/>
      <c r="K2" s="81"/>
      <c r="L2" s="17" t="str">
        <f xml:space="preserve"> "n = "&amp;MAX(H2:H21)</f>
        <v>n = 10</v>
      </c>
    </row>
    <row r="3" spans="2:12" ht="16" customHeight="1" x14ac:dyDescent="0.2">
      <c r="B3" s="1">
        <v>195</v>
      </c>
      <c r="C3" s="1">
        <v>204</v>
      </c>
      <c r="D3" s="1">
        <v>-9</v>
      </c>
      <c r="E3" s="11">
        <v>14.04</v>
      </c>
      <c r="F3" s="1">
        <v>14.38</v>
      </c>
      <c r="G3" s="1">
        <v>-0.34000000000000163</v>
      </c>
      <c r="H3" s="1">
        <v>2</v>
      </c>
    </row>
    <row r="4" spans="2:12" ht="16" customHeight="1" x14ac:dyDescent="0.2">
      <c r="B4" s="1">
        <v>297</v>
      </c>
      <c r="C4" s="1">
        <v>287</v>
      </c>
      <c r="D4" s="1">
        <v>10</v>
      </c>
      <c r="E4" s="11">
        <v>16.95</v>
      </c>
      <c r="F4" s="1">
        <v>22.72</v>
      </c>
      <c r="G4" s="1">
        <v>-5.77</v>
      </c>
      <c r="H4" s="1">
        <v>3</v>
      </c>
    </row>
    <row r="5" spans="2:12" ht="16" customHeight="1" x14ac:dyDescent="0.2">
      <c r="B5" s="1">
        <v>240</v>
      </c>
      <c r="C5" s="1">
        <v>217</v>
      </c>
      <c r="D5" s="1">
        <v>23</v>
      </c>
      <c r="E5" s="11">
        <v>12.3</v>
      </c>
      <c r="F5" s="1">
        <v>20.239999999999998</v>
      </c>
      <c r="G5" s="1">
        <v>-7.9399999999999977</v>
      </c>
      <c r="H5" s="1">
        <v>4</v>
      </c>
    </row>
    <row r="6" spans="2:12" ht="16" customHeight="1" x14ac:dyDescent="0.2">
      <c r="B6" s="1">
        <v>193</v>
      </c>
      <c r="C6" s="1">
        <v>196</v>
      </c>
      <c r="D6" s="1">
        <v>-3</v>
      </c>
      <c r="E6" s="11">
        <v>8.11</v>
      </c>
      <c r="F6" s="1">
        <v>3.85</v>
      </c>
      <c r="G6" s="1">
        <v>4.26</v>
      </c>
      <c r="H6" s="1">
        <v>5</v>
      </c>
    </row>
    <row r="7" spans="2:12" ht="16" customHeight="1" x14ac:dyDescent="0.2">
      <c r="B7" s="1">
        <v>179</v>
      </c>
      <c r="C7" s="1">
        <v>178</v>
      </c>
      <c r="D7" s="1">
        <v>1</v>
      </c>
      <c r="E7" s="11">
        <v>5.13</v>
      </c>
      <c r="F7" s="1">
        <v>5.54</v>
      </c>
      <c r="G7" s="1">
        <v>-0.41000000000000014</v>
      </c>
      <c r="H7" s="1">
        <v>6</v>
      </c>
    </row>
    <row r="8" spans="2:12" ht="16" customHeight="1" x14ac:dyDescent="0.2">
      <c r="B8" s="1">
        <v>164</v>
      </c>
      <c r="C8" s="1">
        <v>170</v>
      </c>
      <c r="D8" s="1">
        <v>-6</v>
      </c>
      <c r="E8" s="11">
        <v>8.1199999999999992</v>
      </c>
      <c r="F8" s="1">
        <v>6.46</v>
      </c>
      <c r="G8" s="1">
        <v>1.6599999999999993</v>
      </c>
      <c r="H8" s="1">
        <v>7</v>
      </c>
    </row>
    <row r="9" spans="2:12" ht="16" customHeight="1" x14ac:dyDescent="0.2">
      <c r="B9" s="1">
        <v>188</v>
      </c>
      <c r="C9" s="1">
        <v>189</v>
      </c>
      <c r="D9" s="1">
        <v>-1</v>
      </c>
      <c r="E9" s="11">
        <v>8.52</v>
      </c>
      <c r="F9" s="1">
        <v>8.0299999999999994</v>
      </c>
      <c r="G9" s="1">
        <v>0.49000000000000021</v>
      </c>
      <c r="H9" s="1">
        <v>8</v>
      </c>
    </row>
    <row r="10" spans="2:12" ht="16" customHeight="1" x14ac:dyDescent="0.2">
      <c r="B10" s="1">
        <v>209</v>
      </c>
      <c r="C10" s="1">
        <v>207</v>
      </c>
      <c r="D10" s="1">
        <v>2</v>
      </c>
      <c r="E10" s="11">
        <v>8.07</v>
      </c>
      <c r="F10" s="1">
        <v>8.83</v>
      </c>
      <c r="G10" s="1">
        <v>-0.75999999999999979</v>
      </c>
      <c r="H10" s="1">
        <v>9</v>
      </c>
    </row>
    <row r="11" spans="2:12" ht="16" customHeight="1" x14ac:dyDescent="0.2">
      <c r="B11" s="1">
        <v>260</v>
      </c>
      <c r="C11" s="1">
        <v>256</v>
      </c>
      <c r="D11" s="1">
        <v>4</v>
      </c>
      <c r="E11" s="11">
        <v>15.08</v>
      </c>
      <c r="F11" s="1">
        <v>13.37</v>
      </c>
      <c r="G11" s="1">
        <v>1.7100000000000009</v>
      </c>
      <c r="H11" s="1">
        <v>10</v>
      </c>
    </row>
    <row r="12" spans="2:12" ht="16" customHeight="1" x14ac:dyDescent="0.2">
      <c r="D12" s="1" t="s">
        <v>58</v>
      </c>
      <c r="E12" s="11"/>
      <c r="G12" s="1" t="s">
        <v>58</v>
      </c>
      <c r="H12" s="1" t="s">
        <v>58</v>
      </c>
    </row>
    <row r="13" spans="2:12" ht="16" customHeight="1" x14ac:dyDescent="0.2">
      <c r="D13" s="1" t="s">
        <v>58</v>
      </c>
      <c r="E13" s="11"/>
      <c r="G13" s="1" t="s">
        <v>58</v>
      </c>
      <c r="H13" s="1" t="s">
        <v>58</v>
      </c>
    </row>
    <row r="14" spans="2:12" ht="16" customHeight="1" x14ac:dyDescent="0.2">
      <c r="D14" s="1" t="s">
        <v>58</v>
      </c>
      <c r="E14" s="11"/>
      <c r="G14" s="1" t="s">
        <v>58</v>
      </c>
      <c r="H14" s="1" t="s">
        <v>58</v>
      </c>
    </row>
    <row r="15" spans="2:12" ht="16" customHeight="1" x14ac:dyDescent="0.2">
      <c r="D15" s="1" t="s">
        <v>58</v>
      </c>
      <c r="E15" s="11"/>
      <c r="G15" s="1" t="s">
        <v>58</v>
      </c>
      <c r="H15" s="1" t="s">
        <v>58</v>
      </c>
    </row>
    <row r="16" spans="2:12" ht="16" customHeight="1" x14ac:dyDescent="0.2">
      <c r="D16" s="1" t="s">
        <v>58</v>
      </c>
      <c r="E16" s="11"/>
      <c r="G16" s="1" t="s">
        <v>58</v>
      </c>
      <c r="H16" s="1" t="s">
        <v>58</v>
      </c>
    </row>
    <row r="17" spans="1:8" ht="16" customHeight="1" x14ac:dyDescent="0.2">
      <c r="D17" s="1" t="s">
        <v>58</v>
      </c>
      <c r="E17" s="11"/>
      <c r="G17" s="1" t="s">
        <v>58</v>
      </c>
      <c r="H17" s="1" t="s">
        <v>58</v>
      </c>
    </row>
    <row r="18" spans="1:8" ht="16" customHeight="1" x14ac:dyDescent="0.2">
      <c r="D18" s="1" t="s">
        <v>58</v>
      </c>
      <c r="E18" s="11"/>
      <c r="G18" s="1" t="s">
        <v>58</v>
      </c>
      <c r="H18" s="1" t="s">
        <v>58</v>
      </c>
    </row>
    <row r="19" spans="1:8" ht="16" customHeight="1" x14ac:dyDescent="0.2">
      <c r="D19" s="1" t="s">
        <v>58</v>
      </c>
      <c r="E19" s="11"/>
      <c r="G19" s="1" t="s">
        <v>58</v>
      </c>
      <c r="H19" s="1" t="s">
        <v>58</v>
      </c>
    </row>
    <row r="20" spans="1:8" ht="16" customHeight="1" x14ac:dyDescent="0.2">
      <c r="D20" s="1" t="s">
        <v>58</v>
      </c>
      <c r="E20" s="11"/>
      <c r="G20" s="1" t="s">
        <v>58</v>
      </c>
      <c r="H20" s="1" t="s">
        <v>58</v>
      </c>
    </row>
    <row r="21" spans="1:8" ht="16" customHeight="1" x14ac:dyDescent="0.2">
      <c r="B21" s="10"/>
      <c r="C21" s="10"/>
      <c r="D21" s="10" t="s">
        <v>58</v>
      </c>
      <c r="E21" s="14"/>
      <c r="F21" s="10"/>
      <c r="G21" s="10" t="s">
        <v>58</v>
      </c>
      <c r="H21" s="1" t="s">
        <v>58</v>
      </c>
    </row>
    <row r="22" spans="1:8" ht="16" customHeight="1" x14ac:dyDescent="0.2">
      <c r="A22" s="27" t="s">
        <v>77</v>
      </c>
      <c r="B22" s="30">
        <f xml:space="preserve"> AVERAGE(B2:B21)</f>
        <v>214.5</v>
      </c>
      <c r="C22" s="30">
        <f t="shared" ref="C22:G22" si="0" xml:space="preserve"> AVERAGE(C2:C21)</f>
        <v>213.2</v>
      </c>
      <c r="D22" s="30">
        <f t="shared" si="0"/>
        <v>1.3</v>
      </c>
      <c r="E22" s="33">
        <f t="shared" si="0"/>
        <v>11.157999999999999</v>
      </c>
      <c r="F22" s="32">
        <f t="shared" si="0"/>
        <v>11.696</v>
      </c>
      <c r="G22" s="32">
        <f t="shared" si="0"/>
        <v>-0.53799999999999981</v>
      </c>
    </row>
    <row r="23" spans="1:8" ht="16" customHeight="1" x14ac:dyDescent="0.2">
      <c r="A23" s="27" t="s">
        <v>76</v>
      </c>
      <c r="B23" s="30">
        <f xml:space="preserve"> _xlfn.STDEV.S(B2:B21)</f>
        <v>40.746506326037057</v>
      </c>
      <c r="C23" s="30">
        <f t="shared" ref="C23:G23" si="1" xml:space="preserve"> _xlfn.STDEV.S(C2:C21)</f>
        <v>35.934508329583224</v>
      </c>
      <c r="D23" s="30">
        <f t="shared" si="1"/>
        <v>9.5690473228355746</v>
      </c>
      <c r="E23" s="31">
        <f t="shared" si="1"/>
        <v>4.037561970628647</v>
      </c>
      <c r="F23" s="32">
        <f t="shared" si="1"/>
        <v>6.2933848867944961</v>
      </c>
      <c r="G23" s="32">
        <f t="shared" si="1"/>
        <v>3.671650552241835</v>
      </c>
    </row>
    <row r="25" spans="1:8" ht="16" customHeight="1" x14ac:dyDescent="0.2">
      <c r="B25" s="18" t="s">
        <v>6</v>
      </c>
      <c r="C25" s="1" t="s">
        <v>117</v>
      </c>
      <c r="D25" s="73">
        <f xml:space="preserve"> ROUND(_xlfn.NORM.S.DIST(B27/SQRT(2),TRUE),3)</f>
        <v>0.53800000000000003</v>
      </c>
      <c r="E25" s="29" t="s">
        <v>13</v>
      </c>
      <c r="F25" s="1" t="s">
        <v>117</v>
      </c>
      <c r="G25" s="74">
        <f xml:space="preserve"> ROUND(_xlfn.NORM.S.DIST(E27/SQRT(2),TRUE),3)</f>
        <v>0.45900000000000002</v>
      </c>
    </row>
    <row r="26" spans="1:8" ht="16" customHeight="1" x14ac:dyDescent="0.25">
      <c r="B26" s="10" t="s">
        <v>80</v>
      </c>
      <c r="C26" s="10" t="s">
        <v>3</v>
      </c>
      <c r="D26" s="10" t="s">
        <v>4</v>
      </c>
      <c r="E26" s="14" t="s">
        <v>80</v>
      </c>
      <c r="F26" s="10" t="s">
        <v>3</v>
      </c>
      <c r="G26" s="10" t="s">
        <v>4</v>
      </c>
    </row>
    <row r="27" spans="1:8" ht="16" customHeight="1" x14ac:dyDescent="0.2">
      <c r="B27" s="12">
        <f xml:space="preserve"> D22/D23</f>
        <v>0.13585469442686107</v>
      </c>
      <c r="C27" s="12">
        <f xml:space="preserve"> CORREL(B2:B21,C2:C21)</f>
        <v>0.97663875256566057</v>
      </c>
      <c r="D27" s="12">
        <f xml:space="preserve"> STEYX(C2:C21,B2:B21)</f>
        <v>8.1902967191671916</v>
      </c>
      <c r="E27" s="28">
        <f xml:space="preserve"> G22/G23</f>
        <v>-0.14652810564216356</v>
      </c>
      <c r="F27" s="13">
        <f xml:space="preserve"> CORREL(E2:E21,F2:F21)</f>
        <v>0.83486219249579396</v>
      </c>
      <c r="G27" s="13">
        <f xml:space="preserve"> STEYX(F2:F21,E2:E21)</f>
        <v>3.6743924265253516</v>
      </c>
    </row>
    <row r="28" spans="1:8" ht="16" customHeight="1" x14ac:dyDescent="0.2">
      <c r="E28" s="11"/>
    </row>
    <row r="29" spans="1:8" ht="16" customHeight="1" x14ac:dyDescent="0.25">
      <c r="B29" s="10" t="s">
        <v>78</v>
      </c>
      <c r="C29" s="10" t="s">
        <v>39</v>
      </c>
      <c r="D29" s="10" t="s">
        <v>79</v>
      </c>
      <c r="E29" s="14" t="s">
        <v>78</v>
      </c>
      <c r="F29" s="10" t="s">
        <v>39</v>
      </c>
      <c r="G29" s="10" t="s">
        <v>79</v>
      </c>
    </row>
    <row r="30" spans="1:8" ht="16" customHeight="1" x14ac:dyDescent="0.2">
      <c r="B30" s="12">
        <f>ROUND((1-(3/(4*COUNT(B2:B21)-9))),3)</f>
        <v>0.90300000000000002</v>
      </c>
      <c r="C30" s="12">
        <f xml:space="preserve"> ROUND(B27*B30,3)</f>
        <v>0.123</v>
      </c>
      <c r="D30" s="12">
        <f>ROUND( ((1/COUNT(D2:D21))+((B27^2)/(2*(COUNT(D2:D21)))))*2*(1-C27)*(B30^2),3)</f>
        <v>4.0000000000000001E-3</v>
      </c>
      <c r="E30" s="28">
        <f>ROUND((1-(3/(4*COUNT(E2:E21)-9))),3)</f>
        <v>0.90300000000000002</v>
      </c>
      <c r="F30" s="13">
        <f xml:space="preserve"> ROUND(E27*E30,3)</f>
        <v>-0.13200000000000001</v>
      </c>
      <c r="G30" s="13">
        <f>ROUND( ((1/COUNT(G2:G21))+((E27^2)/(2*(COUNT(G2:G21)))))*2*(1-F27)*(E30^2),3)</f>
        <v>2.7E-2</v>
      </c>
    </row>
    <row r="31" spans="1:8" ht="16" customHeight="1" x14ac:dyDescent="0.2">
      <c r="E31" s="11"/>
    </row>
  </sheetData>
  <mergeCells count="1">
    <mergeCell ref="I2:K2"/>
  </mergeCells>
  <pageMargins left="0.7" right="0.7" top="0.78740157499999996" bottom="0.78740157499999996" header="0.3" footer="0.3"/>
  <pageSetup paperSize="9" orientation="portrait" horizontalDpi="0" verticalDpi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45D3F9-D9CC-A04B-A3A0-AD33982FC81A}">
  <sheetPr>
    <tabColor rgb="FF00B050"/>
  </sheetPr>
  <dimension ref="A1:L31"/>
  <sheetViews>
    <sheetView zoomScale="160" zoomScaleNormal="160" workbookViewId="0">
      <selection activeCell="B22" sqref="B22:G23"/>
    </sheetView>
  </sheetViews>
  <sheetFormatPr baseColWidth="10" defaultColWidth="10.83203125" defaultRowHeight="16" customHeight="1" x14ac:dyDescent="0.2"/>
  <cols>
    <col min="1" max="16384" width="10.83203125" style="1"/>
  </cols>
  <sheetData>
    <row r="1" spans="2:12" ht="16" customHeight="1" x14ac:dyDescent="0.2">
      <c r="B1" s="7" t="s">
        <v>7</v>
      </c>
      <c r="C1" s="7" t="s">
        <v>6</v>
      </c>
      <c r="D1" s="7" t="s">
        <v>8</v>
      </c>
      <c r="E1" s="8" t="s">
        <v>9</v>
      </c>
      <c r="F1" s="9" t="s">
        <v>10</v>
      </c>
      <c r="G1" s="9" t="s">
        <v>11</v>
      </c>
      <c r="H1" s="10" t="s">
        <v>12</v>
      </c>
      <c r="I1" s="10"/>
      <c r="J1" s="21"/>
      <c r="K1" s="21"/>
      <c r="L1" s="21"/>
    </row>
    <row r="2" spans="2:12" ht="16" customHeight="1" x14ac:dyDescent="0.2">
      <c r="B2" s="1">
        <v>375</v>
      </c>
      <c r="C2" s="1">
        <v>324</v>
      </c>
      <c r="D2" s="1">
        <v>51</v>
      </c>
      <c r="E2" s="20">
        <v>12.4</v>
      </c>
      <c r="F2" s="6">
        <v>25.8</v>
      </c>
      <c r="G2" s="6">
        <v>-13.4</v>
      </c>
      <c r="H2" s="1">
        <v>1</v>
      </c>
      <c r="I2" s="81" t="s">
        <v>31</v>
      </c>
      <c r="J2" s="81"/>
      <c r="K2" s="81"/>
      <c r="L2" s="17" t="str">
        <f xml:space="preserve"> "n = "&amp;MAX(H2:H21)</f>
        <v>n = 6</v>
      </c>
    </row>
    <row r="3" spans="2:12" ht="16" customHeight="1" x14ac:dyDescent="0.2">
      <c r="B3" s="1">
        <v>380</v>
      </c>
      <c r="C3" s="1">
        <v>371</v>
      </c>
      <c r="D3" s="1">
        <v>9</v>
      </c>
      <c r="E3" s="15">
        <v>12.9</v>
      </c>
      <c r="F3" s="6">
        <v>21.8</v>
      </c>
      <c r="G3" s="6">
        <v>-8.9</v>
      </c>
      <c r="H3" s="1">
        <v>2</v>
      </c>
    </row>
    <row r="4" spans="2:12" ht="16" customHeight="1" x14ac:dyDescent="0.2">
      <c r="B4" s="1">
        <v>418</v>
      </c>
      <c r="C4" s="1">
        <v>357</v>
      </c>
      <c r="D4" s="1">
        <v>61</v>
      </c>
      <c r="E4" s="15">
        <v>15</v>
      </c>
      <c r="F4" s="6">
        <v>25.9</v>
      </c>
      <c r="G4" s="6">
        <v>-10.899999999999999</v>
      </c>
      <c r="H4" s="1">
        <v>3</v>
      </c>
    </row>
    <row r="5" spans="2:12" ht="16" customHeight="1" x14ac:dyDescent="0.2">
      <c r="B5" s="1">
        <v>411</v>
      </c>
      <c r="C5" s="1">
        <v>343</v>
      </c>
      <c r="D5" s="1">
        <v>68</v>
      </c>
      <c r="E5" s="15">
        <v>15.4</v>
      </c>
      <c r="F5" s="6">
        <v>20.9</v>
      </c>
      <c r="G5" s="6">
        <v>-5.4999999999999982</v>
      </c>
      <c r="H5" s="1">
        <v>4</v>
      </c>
    </row>
    <row r="6" spans="2:12" ht="16" customHeight="1" x14ac:dyDescent="0.2">
      <c r="B6" s="1">
        <v>365</v>
      </c>
      <c r="C6" s="1">
        <v>313</v>
      </c>
      <c r="D6" s="1">
        <v>52</v>
      </c>
      <c r="E6" s="15">
        <v>15.4</v>
      </c>
      <c r="F6" s="6">
        <v>31.6</v>
      </c>
      <c r="G6" s="6">
        <v>-16.200000000000003</v>
      </c>
      <c r="H6" s="1">
        <v>5</v>
      </c>
    </row>
    <row r="7" spans="2:12" ht="16" customHeight="1" x14ac:dyDescent="0.2">
      <c r="B7" s="1">
        <v>464</v>
      </c>
      <c r="C7" s="1">
        <v>395</v>
      </c>
      <c r="D7" s="1">
        <v>69</v>
      </c>
      <c r="E7" s="15">
        <v>21.7</v>
      </c>
      <c r="F7" s="6">
        <v>19.7</v>
      </c>
      <c r="G7" s="6">
        <v>2</v>
      </c>
      <c r="H7" s="1">
        <v>6</v>
      </c>
    </row>
    <row r="8" spans="2:12" ht="16" customHeight="1" x14ac:dyDescent="0.2">
      <c r="D8" s="1" t="s">
        <v>58</v>
      </c>
      <c r="E8" s="11"/>
      <c r="G8" s="1" t="s">
        <v>58</v>
      </c>
      <c r="H8" s="1" t="s">
        <v>58</v>
      </c>
    </row>
    <row r="9" spans="2:12" ht="16" customHeight="1" x14ac:dyDescent="0.2">
      <c r="D9" s="1" t="s">
        <v>58</v>
      </c>
      <c r="E9" s="11"/>
      <c r="G9" s="1" t="s">
        <v>58</v>
      </c>
      <c r="H9" s="1" t="s">
        <v>58</v>
      </c>
    </row>
    <row r="10" spans="2:12" ht="16" customHeight="1" x14ac:dyDescent="0.2">
      <c r="D10" s="1" t="s">
        <v>58</v>
      </c>
      <c r="E10" s="11"/>
      <c r="G10" s="1" t="s">
        <v>58</v>
      </c>
      <c r="H10" s="1" t="s">
        <v>58</v>
      </c>
    </row>
    <row r="11" spans="2:12" ht="16" customHeight="1" x14ac:dyDescent="0.2">
      <c r="D11" s="1" t="s">
        <v>58</v>
      </c>
      <c r="E11" s="11"/>
      <c r="G11" s="1" t="s">
        <v>58</v>
      </c>
      <c r="H11" s="1" t="s">
        <v>58</v>
      </c>
    </row>
    <row r="12" spans="2:12" ht="16" customHeight="1" x14ac:dyDescent="0.2">
      <c r="D12" s="1" t="s">
        <v>58</v>
      </c>
      <c r="E12" s="11"/>
      <c r="G12" s="1" t="s">
        <v>58</v>
      </c>
      <c r="H12" s="1" t="s">
        <v>58</v>
      </c>
    </row>
    <row r="13" spans="2:12" ht="16" customHeight="1" x14ac:dyDescent="0.2">
      <c r="D13" s="1" t="s">
        <v>58</v>
      </c>
      <c r="E13" s="11"/>
      <c r="G13" s="1" t="s">
        <v>58</v>
      </c>
      <c r="H13" s="1" t="s">
        <v>58</v>
      </c>
    </row>
    <row r="14" spans="2:12" ht="16" customHeight="1" x14ac:dyDescent="0.2">
      <c r="D14" s="1" t="s">
        <v>58</v>
      </c>
      <c r="E14" s="11"/>
      <c r="G14" s="1" t="s">
        <v>58</v>
      </c>
      <c r="H14" s="1" t="s">
        <v>58</v>
      </c>
    </row>
    <row r="15" spans="2:12" ht="16" customHeight="1" x14ac:dyDescent="0.2">
      <c r="D15" s="1" t="s">
        <v>58</v>
      </c>
      <c r="E15" s="11"/>
      <c r="G15" s="1" t="s">
        <v>58</v>
      </c>
      <c r="H15" s="1" t="s">
        <v>58</v>
      </c>
    </row>
    <row r="16" spans="2:12" ht="16" customHeight="1" x14ac:dyDescent="0.2">
      <c r="D16" s="1" t="s">
        <v>58</v>
      </c>
      <c r="E16" s="11"/>
      <c r="G16" s="1" t="s">
        <v>58</v>
      </c>
      <c r="H16" s="1" t="s">
        <v>58</v>
      </c>
    </row>
    <row r="17" spans="1:8" ht="16" customHeight="1" x14ac:dyDescent="0.2">
      <c r="D17" s="1" t="s">
        <v>58</v>
      </c>
      <c r="E17" s="11"/>
      <c r="G17" s="1" t="s">
        <v>58</v>
      </c>
      <c r="H17" s="1" t="s">
        <v>58</v>
      </c>
    </row>
    <row r="18" spans="1:8" ht="16" customHeight="1" x14ac:dyDescent="0.2">
      <c r="D18" s="1" t="s">
        <v>58</v>
      </c>
      <c r="E18" s="11"/>
      <c r="G18" s="1" t="s">
        <v>58</v>
      </c>
      <c r="H18" s="1" t="s">
        <v>58</v>
      </c>
    </row>
    <row r="19" spans="1:8" ht="16" customHeight="1" x14ac:dyDescent="0.2">
      <c r="D19" s="1" t="s">
        <v>58</v>
      </c>
      <c r="E19" s="11"/>
      <c r="G19" s="1" t="s">
        <v>58</v>
      </c>
      <c r="H19" s="1" t="s">
        <v>58</v>
      </c>
    </row>
    <row r="20" spans="1:8" ht="16" customHeight="1" x14ac:dyDescent="0.2">
      <c r="D20" s="1" t="s">
        <v>58</v>
      </c>
      <c r="E20" s="11"/>
      <c r="G20" s="1" t="s">
        <v>58</v>
      </c>
      <c r="H20" s="1" t="s">
        <v>58</v>
      </c>
    </row>
    <row r="21" spans="1:8" ht="16" customHeight="1" x14ac:dyDescent="0.2">
      <c r="B21" s="10"/>
      <c r="C21" s="10"/>
      <c r="D21" s="10" t="s">
        <v>58</v>
      </c>
      <c r="E21" s="14"/>
      <c r="F21" s="10"/>
      <c r="G21" s="10" t="s">
        <v>58</v>
      </c>
      <c r="H21" s="1" t="s">
        <v>58</v>
      </c>
    </row>
    <row r="22" spans="1:8" ht="16" customHeight="1" x14ac:dyDescent="0.2">
      <c r="A22" s="27" t="s">
        <v>77</v>
      </c>
      <c r="B22" s="30">
        <f xml:space="preserve"> AVERAGE(B2:B21)</f>
        <v>402.16666666666669</v>
      </c>
      <c r="C22" s="30">
        <f t="shared" ref="C22:G22" si="0" xml:space="preserve"> AVERAGE(C2:C21)</f>
        <v>350.5</v>
      </c>
      <c r="D22" s="30">
        <f t="shared" si="0"/>
        <v>51.666666666666664</v>
      </c>
      <c r="E22" s="33">
        <f t="shared" si="0"/>
        <v>15.466666666666667</v>
      </c>
      <c r="F22" s="32">
        <f t="shared" si="0"/>
        <v>24.283333333333331</v>
      </c>
      <c r="G22" s="32">
        <f t="shared" si="0"/>
        <v>-8.8166666666666682</v>
      </c>
    </row>
    <row r="23" spans="1:8" ht="16" customHeight="1" x14ac:dyDescent="0.2">
      <c r="A23" s="27" t="s">
        <v>76</v>
      </c>
      <c r="B23" s="30">
        <f xml:space="preserve"> _xlfn.STDEV.S(B2:B21)</f>
        <v>36.777257465268761</v>
      </c>
      <c r="C23" s="30">
        <f t="shared" ref="C23:G23" si="1" xml:space="preserve"> _xlfn.STDEV.S(C2:C21)</f>
        <v>30.356218473321078</v>
      </c>
      <c r="D23" s="30">
        <f t="shared" si="1"/>
        <v>22.250093632761789</v>
      </c>
      <c r="E23" s="31">
        <f t="shared" si="1"/>
        <v>3.3188351370121865</v>
      </c>
      <c r="F23" s="32">
        <f t="shared" si="1"/>
        <v>4.4060942643873062</v>
      </c>
      <c r="G23" s="32">
        <f t="shared" si="1"/>
        <v>6.4477644704708803</v>
      </c>
    </row>
    <row r="25" spans="1:8" ht="16" customHeight="1" x14ac:dyDescent="0.2">
      <c r="B25" s="18" t="s">
        <v>6</v>
      </c>
      <c r="C25" s="1" t="s">
        <v>117</v>
      </c>
      <c r="D25" s="73">
        <f xml:space="preserve"> ROUND(_xlfn.NORM.S.DIST(B27/SQRT(2),TRUE),3)</f>
        <v>0.95</v>
      </c>
      <c r="E25" s="29" t="s">
        <v>13</v>
      </c>
      <c r="F25" s="1" t="s">
        <v>117</v>
      </c>
      <c r="G25" s="74">
        <f xml:space="preserve"> ROUND(_xlfn.NORM.S.DIST(E27/SQRT(2),TRUE),3)</f>
        <v>0.16700000000000001</v>
      </c>
    </row>
    <row r="26" spans="1:8" ht="16" customHeight="1" x14ac:dyDescent="0.25">
      <c r="B26" s="10" t="s">
        <v>80</v>
      </c>
      <c r="C26" s="10" t="s">
        <v>3</v>
      </c>
      <c r="D26" s="10" t="s">
        <v>4</v>
      </c>
      <c r="E26" s="14" t="s">
        <v>80</v>
      </c>
      <c r="F26" s="10" t="s">
        <v>3</v>
      </c>
      <c r="G26" s="10" t="s">
        <v>4</v>
      </c>
    </row>
    <row r="27" spans="1:8" ht="16" customHeight="1" x14ac:dyDescent="0.2">
      <c r="B27" s="12">
        <f xml:space="preserve"> D22/D23</f>
        <v>2.3220876064355487</v>
      </c>
      <c r="C27" s="12">
        <f xml:space="preserve"> CORREL(B2:B21,C2:C21)</f>
        <v>0.79674425845287844</v>
      </c>
      <c r="D27" s="12">
        <f xml:space="preserve"> STEYX(C2:C21,B2:B21)</f>
        <v>20.510073670409998</v>
      </c>
      <c r="E27" s="28">
        <f xml:space="preserve"> G22/G23</f>
        <v>-1.367398996511854</v>
      </c>
      <c r="F27" s="13">
        <f xml:space="preserve"> CORREL(E2:E21,F2:F21)</f>
        <v>-0.38108653368596573</v>
      </c>
      <c r="G27" s="13">
        <f xml:space="preserve"> STEYX(F2:F21,E2:E21)</f>
        <v>4.5544317898834681</v>
      </c>
    </row>
    <row r="28" spans="1:8" ht="16" customHeight="1" x14ac:dyDescent="0.2">
      <c r="E28" s="11"/>
    </row>
    <row r="29" spans="1:8" ht="16" customHeight="1" x14ac:dyDescent="0.25">
      <c r="B29" s="10" t="s">
        <v>78</v>
      </c>
      <c r="C29" s="10" t="s">
        <v>39</v>
      </c>
      <c r="D29" s="10" t="s">
        <v>79</v>
      </c>
      <c r="E29" s="14" t="s">
        <v>78</v>
      </c>
      <c r="F29" s="10" t="s">
        <v>39</v>
      </c>
      <c r="G29" s="10" t="s">
        <v>79</v>
      </c>
    </row>
    <row r="30" spans="1:8" ht="16" customHeight="1" x14ac:dyDescent="0.2">
      <c r="B30" s="12">
        <f>ROUND((1-(3/(4*COUNT(B2:B21)-9))),3)</f>
        <v>0.8</v>
      </c>
      <c r="C30" s="12">
        <f xml:space="preserve"> ROUND(B27*B30,3)</f>
        <v>1.8580000000000001</v>
      </c>
      <c r="D30" s="12">
        <f>ROUND( ((1/COUNT(D2:D21))+((B27^2)/(2*(COUNT(D2:D21)))))*2*(1-C27)*(B30^2),3)</f>
        <v>0.16</v>
      </c>
      <c r="E30" s="28">
        <f>ROUND((1-(3/(4*COUNT(E2:E21)-9))),3)</f>
        <v>0.8</v>
      </c>
      <c r="F30" s="13">
        <f xml:space="preserve"> ROUND(E27*E30,3)</f>
        <v>-1.0940000000000001</v>
      </c>
      <c r="G30" s="13">
        <f>ROUND( ((1/COUNT(G2:G21))+((E27^2)/(2*(COUNT(G2:G21)))))*2*(1-F27)*(E30^2),3)</f>
        <v>0.56999999999999995</v>
      </c>
    </row>
    <row r="31" spans="1:8" ht="16" customHeight="1" x14ac:dyDescent="0.2">
      <c r="E31" s="11"/>
    </row>
  </sheetData>
  <mergeCells count="1">
    <mergeCell ref="I2:K2"/>
  </mergeCells>
  <pageMargins left="0.7" right="0.7" top="0.78740157499999996" bottom="0.78740157499999996" header="0.3" footer="0.3"/>
  <pageSetup paperSize="9" orientation="portrait" horizontalDpi="0" verticalDpi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1D1317-8633-9A48-B9F9-9E16EB183E87}">
  <sheetPr>
    <tabColor rgb="FFFFC000"/>
  </sheetPr>
  <dimension ref="A1:L31"/>
  <sheetViews>
    <sheetView zoomScale="160" zoomScaleNormal="160" workbookViewId="0">
      <selection activeCell="B22" sqref="B22:G23"/>
    </sheetView>
  </sheetViews>
  <sheetFormatPr baseColWidth="10" defaultColWidth="10.83203125" defaultRowHeight="16" customHeight="1" x14ac:dyDescent="0.2"/>
  <cols>
    <col min="1" max="16384" width="10.83203125" style="1"/>
  </cols>
  <sheetData>
    <row r="1" spans="2:12" ht="16" customHeight="1" x14ac:dyDescent="0.2">
      <c r="B1" s="7" t="s">
        <v>7</v>
      </c>
      <c r="C1" s="7" t="s">
        <v>6</v>
      </c>
      <c r="D1" s="7" t="s">
        <v>8</v>
      </c>
      <c r="E1" s="8" t="s">
        <v>9</v>
      </c>
      <c r="F1" s="9" t="s">
        <v>10</v>
      </c>
      <c r="G1" s="9" t="s">
        <v>11</v>
      </c>
      <c r="H1" s="10" t="s">
        <v>12</v>
      </c>
      <c r="I1" s="10"/>
      <c r="J1" s="21"/>
      <c r="K1" s="21"/>
      <c r="L1" s="21"/>
    </row>
    <row r="2" spans="2:12" ht="16" customHeight="1" x14ac:dyDescent="0.2">
      <c r="B2" s="19">
        <f>'Fig-Tool'!AA8</f>
        <v>215.39999999999998</v>
      </c>
      <c r="C2" s="19">
        <f>'Fig-Tool'!AB8</f>
        <v>194.99999999999997</v>
      </c>
      <c r="D2" s="6">
        <v>20.400000000000006</v>
      </c>
      <c r="E2" s="20">
        <f>'Fig-Tool'!AO8</f>
        <v>29.5</v>
      </c>
      <c r="F2" s="6">
        <f>'Fig-Tool'!AP8</f>
        <v>33.700000000000003</v>
      </c>
      <c r="G2" s="1">
        <v>-4.2000000000000028</v>
      </c>
      <c r="H2" s="1">
        <v>1</v>
      </c>
      <c r="I2" s="81" t="s">
        <v>32</v>
      </c>
      <c r="J2" s="81"/>
      <c r="K2" s="81"/>
      <c r="L2" s="17" t="str">
        <f xml:space="preserve"> "n = "&amp;MAX(H2:H21)</f>
        <v>n = 12</v>
      </c>
    </row>
    <row r="3" spans="2:12" ht="16" customHeight="1" x14ac:dyDescent="0.2">
      <c r="B3" s="19">
        <f>'Fig-Tool'!AA9</f>
        <v>236.54999999999998</v>
      </c>
      <c r="C3" s="19">
        <f>'Fig-Tool'!AB9</f>
        <v>224.64999999999998</v>
      </c>
      <c r="D3" s="6">
        <v>11.900000000000006</v>
      </c>
      <c r="E3" s="15">
        <f>'Fig-Tool'!AO9</f>
        <v>19.200000000000003</v>
      </c>
      <c r="F3" s="6">
        <f>'Fig-Tool'!AP9</f>
        <v>30.400000000000002</v>
      </c>
      <c r="G3" s="1">
        <v>-11.2</v>
      </c>
      <c r="H3" s="1">
        <v>2</v>
      </c>
    </row>
    <row r="4" spans="2:12" ht="16" customHeight="1" x14ac:dyDescent="0.2">
      <c r="B4" s="19">
        <f>'Fig-Tool'!AA10</f>
        <v>226.54999999999998</v>
      </c>
      <c r="C4" s="19">
        <f>'Fig-Tool'!AB10</f>
        <v>222.85</v>
      </c>
      <c r="D4" s="6">
        <v>3.6999999999999886</v>
      </c>
      <c r="E4" s="15">
        <f>'Fig-Tool'!AO10</f>
        <v>19.899999999999999</v>
      </c>
      <c r="F4" s="6">
        <f>'Fig-Tool'!AP10</f>
        <v>22.5</v>
      </c>
      <c r="G4" s="1">
        <v>-2.6000000000000014</v>
      </c>
      <c r="H4" s="1">
        <v>3</v>
      </c>
    </row>
    <row r="5" spans="2:12" ht="16" customHeight="1" x14ac:dyDescent="0.2">
      <c r="B5" s="19">
        <f>'Fig-Tool'!AA11</f>
        <v>214.04999999999998</v>
      </c>
      <c r="C5" s="19">
        <f>'Fig-Tool'!AB11</f>
        <v>224.14999999999998</v>
      </c>
      <c r="D5" s="6">
        <v>-10.099999999999994</v>
      </c>
      <c r="E5" s="15">
        <f>'Fig-Tool'!AO11</f>
        <v>17.350000000000001</v>
      </c>
      <c r="F5" s="6">
        <f>'Fig-Tool'!AP11</f>
        <v>24.650000000000002</v>
      </c>
      <c r="G5" s="1">
        <v>-7.3000000000000007</v>
      </c>
      <c r="H5" s="1">
        <v>4</v>
      </c>
    </row>
    <row r="6" spans="2:12" ht="16" customHeight="1" x14ac:dyDescent="0.2">
      <c r="B6" s="19">
        <f>'Fig-Tool'!AA12</f>
        <v>223</v>
      </c>
      <c r="C6" s="19">
        <f>'Fig-Tool'!AB12</f>
        <v>240</v>
      </c>
      <c r="D6" s="6">
        <v>-17</v>
      </c>
      <c r="E6" s="15">
        <f>'Fig-Tool'!AO12</f>
        <v>14.5</v>
      </c>
      <c r="F6" s="6">
        <f>'Fig-Tool'!AP12</f>
        <v>23.9</v>
      </c>
      <c r="G6" s="1">
        <v>-9.3999999999999986</v>
      </c>
      <c r="H6" s="1">
        <v>5</v>
      </c>
    </row>
    <row r="7" spans="2:12" ht="16" customHeight="1" x14ac:dyDescent="0.2">
      <c r="B7" s="19">
        <f>'Fig-Tool'!AA13</f>
        <v>214.45</v>
      </c>
      <c r="C7" s="19">
        <f>'Fig-Tool'!AB13</f>
        <v>244.54999999999998</v>
      </c>
      <c r="D7" s="6">
        <v>-30.099999999999994</v>
      </c>
      <c r="E7" s="15">
        <f>'Fig-Tool'!AO13</f>
        <v>9.9</v>
      </c>
      <c r="F7" s="6">
        <f>'Fig-Tool'!AP13</f>
        <v>24.700000000000003</v>
      </c>
      <c r="G7" s="1">
        <v>-14.800000000000002</v>
      </c>
      <c r="H7" s="1">
        <v>6</v>
      </c>
    </row>
    <row r="8" spans="2:12" ht="16" customHeight="1" x14ac:dyDescent="0.2">
      <c r="B8" s="19">
        <f>'Fig-Tool'!AA14</f>
        <v>233.1</v>
      </c>
      <c r="C8" s="19">
        <f>'Fig-Tool'!AB14</f>
        <v>243.1</v>
      </c>
      <c r="D8" s="6">
        <v>-10</v>
      </c>
      <c r="E8" s="15">
        <f>'Fig-Tool'!AO14</f>
        <v>8.1</v>
      </c>
      <c r="F8" s="6">
        <f>'Fig-Tool'!AP14</f>
        <v>23.9</v>
      </c>
      <c r="G8" s="1">
        <v>-15.799999999999999</v>
      </c>
      <c r="H8" s="1">
        <v>7</v>
      </c>
    </row>
    <row r="9" spans="2:12" ht="16" customHeight="1" x14ac:dyDescent="0.2">
      <c r="B9" s="19">
        <f>'Fig-Tool'!AA15</f>
        <v>267.5</v>
      </c>
      <c r="C9" s="19">
        <f>'Fig-Tool'!AB15</f>
        <v>288.7</v>
      </c>
      <c r="D9" s="6">
        <v>-21.199999999999989</v>
      </c>
      <c r="E9" s="15">
        <f>'Fig-Tool'!AO15</f>
        <v>14.549999999999999</v>
      </c>
      <c r="F9" s="6">
        <f>'Fig-Tool'!AP15</f>
        <v>20.849999999999998</v>
      </c>
      <c r="G9" s="1">
        <v>-6.2999999999999989</v>
      </c>
      <c r="H9" s="1">
        <v>8</v>
      </c>
    </row>
    <row r="10" spans="2:12" ht="16" customHeight="1" x14ac:dyDescent="0.2">
      <c r="B10" s="19">
        <f>'Fig-Tool'!AA16</f>
        <v>259.3</v>
      </c>
      <c r="C10" s="19">
        <f>'Fig-Tool'!AB16</f>
        <v>267.3</v>
      </c>
      <c r="D10" s="6">
        <v>-8</v>
      </c>
      <c r="E10" s="15">
        <f>'Fig-Tool'!AO16</f>
        <v>12.25</v>
      </c>
      <c r="F10" s="6">
        <f>'Fig-Tool'!AP16</f>
        <v>18.75</v>
      </c>
      <c r="G10" s="1">
        <v>-6.5</v>
      </c>
      <c r="H10" s="1">
        <v>9</v>
      </c>
    </row>
    <row r="11" spans="2:12" ht="16" customHeight="1" x14ac:dyDescent="0.2">
      <c r="B11" s="19">
        <f>'Fig-Tool'!AA17</f>
        <v>266.5</v>
      </c>
      <c r="C11" s="19">
        <f>'Fig-Tool'!AB17</f>
        <v>271.5</v>
      </c>
      <c r="D11" s="6">
        <v>-5</v>
      </c>
      <c r="E11" s="15">
        <f>'Fig-Tool'!AO17</f>
        <v>15.25</v>
      </c>
      <c r="F11" s="6">
        <f>'Fig-Tool'!AP17</f>
        <v>16.149999999999999</v>
      </c>
      <c r="G11" s="1">
        <v>-0.89999999999999858</v>
      </c>
      <c r="H11" s="1">
        <v>10</v>
      </c>
    </row>
    <row r="12" spans="2:12" ht="16" customHeight="1" x14ac:dyDescent="0.2">
      <c r="B12" s="19">
        <f>'Fig-Tool'!AA18</f>
        <v>270.10000000000002</v>
      </c>
      <c r="C12" s="19">
        <f>'Fig-Tool'!AB18</f>
        <v>267.10000000000002</v>
      </c>
      <c r="D12" s="6">
        <v>3</v>
      </c>
      <c r="E12" s="15">
        <f>'Fig-Tool'!AO18</f>
        <v>14.3</v>
      </c>
      <c r="F12" s="6">
        <f>'Fig-Tool'!AP18</f>
        <v>16.7</v>
      </c>
      <c r="G12" s="1">
        <v>-2.3999999999999986</v>
      </c>
      <c r="H12" s="1">
        <v>11</v>
      </c>
    </row>
    <row r="13" spans="2:12" ht="16" customHeight="1" x14ac:dyDescent="0.2">
      <c r="B13" s="19">
        <f>'Fig-Tool'!AA19</f>
        <v>267.09999999999997</v>
      </c>
      <c r="C13" s="19">
        <f>'Fig-Tool'!AB19</f>
        <v>253.29999999999995</v>
      </c>
      <c r="D13" s="6">
        <v>13.800000000000011</v>
      </c>
      <c r="E13" s="15">
        <f>'Fig-Tool'!AO19</f>
        <v>11.55</v>
      </c>
      <c r="F13" s="6">
        <f>'Fig-Tool'!AP19</f>
        <v>15.450000000000001</v>
      </c>
      <c r="G13" s="1">
        <v>-3.9000000000000004</v>
      </c>
      <c r="H13" s="1">
        <v>12</v>
      </c>
    </row>
    <row r="14" spans="2:12" ht="16" customHeight="1" x14ac:dyDescent="0.2">
      <c r="D14" s="1" t="s">
        <v>58</v>
      </c>
      <c r="E14" s="11"/>
      <c r="G14" s="1" t="s">
        <v>58</v>
      </c>
      <c r="H14" s="1" t="s">
        <v>58</v>
      </c>
    </row>
    <row r="15" spans="2:12" ht="16" customHeight="1" x14ac:dyDescent="0.2">
      <c r="D15" s="1" t="s">
        <v>58</v>
      </c>
      <c r="E15" s="11"/>
      <c r="G15" s="1" t="s">
        <v>58</v>
      </c>
      <c r="H15" s="1" t="s">
        <v>58</v>
      </c>
    </row>
    <row r="16" spans="2:12" ht="16" customHeight="1" x14ac:dyDescent="0.2">
      <c r="D16" s="1" t="s">
        <v>58</v>
      </c>
      <c r="E16" s="11"/>
      <c r="G16" s="1" t="s">
        <v>58</v>
      </c>
      <c r="H16" s="1" t="s">
        <v>58</v>
      </c>
    </row>
    <row r="17" spans="1:8" ht="16" customHeight="1" x14ac:dyDescent="0.2">
      <c r="D17" s="1" t="s">
        <v>58</v>
      </c>
      <c r="E17" s="11"/>
      <c r="G17" s="1" t="s">
        <v>58</v>
      </c>
      <c r="H17" s="1" t="s">
        <v>58</v>
      </c>
    </row>
    <row r="18" spans="1:8" ht="16" customHeight="1" x14ac:dyDescent="0.2">
      <c r="D18" s="1" t="s">
        <v>58</v>
      </c>
      <c r="E18" s="11"/>
      <c r="G18" s="1" t="s">
        <v>58</v>
      </c>
      <c r="H18" s="1" t="s">
        <v>58</v>
      </c>
    </row>
    <row r="19" spans="1:8" ht="16" customHeight="1" x14ac:dyDescent="0.2">
      <c r="D19" s="1" t="s">
        <v>58</v>
      </c>
      <c r="E19" s="11"/>
      <c r="G19" s="1" t="s">
        <v>58</v>
      </c>
      <c r="H19" s="1" t="s">
        <v>58</v>
      </c>
    </row>
    <row r="20" spans="1:8" ht="16" customHeight="1" x14ac:dyDescent="0.2">
      <c r="D20" s="1" t="s">
        <v>58</v>
      </c>
      <c r="E20" s="11"/>
      <c r="G20" s="1" t="s">
        <v>58</v>
      </c>
      <c r="H20" s="1" t="s">
        <v>58</v>
      </c>
    </row>
    <row r="21" spans="1:8" ht="16" customHeight="1" x14ac:dyDescent="0.2">
      <c r="B21" s="10"/>
      <c r="C21" s="10"/>
      <c r="D21" s="10" t="s">
        <v>58</v>
      </c>
      <c r="E21" s="14"/>
      <c r="F21" s="10"/>
      <c r="G21" s="10" t="s">
        <v>58</v>
      </c>
      <c r="H21" s="1" t="s">
        <v>58</v>
      </c>
    </row>
    <row r="22" spans="1:8" ht="16" customHeight="1" x14ac:dyDescent="0.2">
      <c r="A22" s="27" t="s">
        <v>77</v>
      </c>
      <c r="B22" s="30">
        <f xml:space="preserve"> AVERAGE(B2:B21)</f>
        <v>241.1333333333333</v>
      </c>
      <c r="C22" s="30">
        <f t="shared" ref="C22:G22" si="0" xml:space="preserve"> AVERAGE(C2:C21)</f>
        <v>245.18333333333331</v>
      </c>
      <c r="D22" s="30">
        <f t="shared" si="0"/>
        <v>-4.0499999999999972</v>
      </c>
      <c r="E22" s="33">
        <f t="shared" si="0"/>
        <v>15.529166666666669</v>
      </c>
      <c r="F22" s="32">
        <f t="shared" si="0"/>
        <v>22.637500000000003</v>
      </c>
      <c r="G22" s="32">
        <f t="shared" si="0"/>
        <v>-7.1083333333333343</v>
      </c>
    </row>
    <row r="23" spans="1:8" ht="16" customHeight="1" x14ac:dyDescent="0.2">
      <c r="A23" s="27" t="s">
        <v>76</v>
      </c>
      <c r="B23" s="30">
        <f xml:space="preserve"> _xlfn.STDEV.S(B2:B21)</f>
        <v>23.192429538079622</v>
      </c>
      <c r="C23" s="30">
        <f t="shared" ref="C23:G23" si="1" xml:space="preserve"> _xlfn.STDEV.S(C2:C21)</f>
        <v>26.171474177166001</v>
      </c>
      <c r="D23" s="30">
        <f t="shared" si="1"/>
        <v>15.10427392856376</v>
      </c>
      <c r="E23" s="31">
        <f t="shared" si="1"/>
        <v>5.6258517873592568</v>
      </c>
      <c r="F23" s="32">
        <f t="shared" si="1"/>
        <v>5.5714827877814992</v>
      </c>
      <c r="G23" s="32">
        <f t="shared" si="1"/>
        <v>4.8387561011132378</v>
      </c>
    </row>
    <row r="25" spans="1:8" ht="16" customHeight="1" x14ac:dyDescent="0.2">
      <c r="B25" s="18" t="s">
        <v>6</v>
      </c>
      <c r="C25" s="1" t="s">
        <v>117</v>
      </c>
      <c r="D25" s="73">
        <f xml:space="preserve"> ROUND(_xlfn.NORM.S.DIST(B27/SQRT(2),TRUE),3)</f>
        <v>0.42499999999999999</v>
      </c>
      <c r="E25" s="29" t="s">
        <v>13</v>
      </c>
      <c r="F25" s="1" t="s">
        <v>117</v>
      </c>
      <c r="G25" s="74">
        <f xml:space="preserve"> ROUND(_xlfn.NORM.S.DIST(E27/SQRT(2),TRUE),3)</f>
        <v>0.14899999999999999</v>
      </c>
    </row>
    <row r="26" spans="1:8" ht="16" customHeight="1" x14ac:dyDescent="0.25">
      <c r="B26" s="10" t="s">
        <v>80</v>
      </c>
      <c r="C26" s="10" t="s">
        <v>3</v>
      </c>
      <c r="D26" s="10" t="s">
        <v>4</v>
      </c>
      <c r="E26" s="14" t="s">
        <v>80</v>
      </c>
      <c r="F26" s="10" t="s">
        <v>3</v>
      </c>
      <c r="G26" s="10" t="s">
        <v>4</v>
      </c>
    </row>
    <row r="27" spans="1:8" ht="16" customHeight="1" x14ac:dyDescent="0.2">
      <c r="B27" s="12">
        <f xml:space="preserve"> D22/D23</f>
        <v>-0.26813602687256777</v>
      </c>
      <c r="C27" s="12">
        <f xml:space="preserve"> CORREL(B2:B21,C2:C21)</f>
        <v>0.81938090350124138</v>
      </c>
      <c r="D27" s="12">
        <f xml:space="preserve"> STEYX(C2:C21,B2:B21)</f>
        <v>15.735051817075888</v>
      </c>
      <c r="E27" s="28">
        <f xml:space="preserve"> G22/G23</f>
        <v>-1.4690414612337956</v>
      </c>
      <c r="F27" s="13">
        <f xml:space="preserve"> CORREL(E2:E21,F2:F21)</f>
        <v>0.62655766070016783</v>
      </c>
      <c r="G27" s="13">
        <f xml:space="preserve"> STEYX(F2:F21,E2:E21)</f>
        <v>4.5542162113623759</v>
      </c>
    </row>
    <row r="28" spans="1:8" ht="16" customHeight="1" x14ac:dyDescent="0.2">
      <c r="E28" s="11"/>
    </row>
    <row r="29" spans="1:8" ht="16" customHeight="1" x14ac:dyDescent="0.25">
      <c r="B29" s="10" t="s">
        <v>78</v>
      </c>
      <c r="C29" s="10" t="s">
        <v>39</v>
      </c>
      <c r="D29" s="10" t="s">
        <v>79</v>
      </c>
      <c r="E29" s="14" t="s">
        <v>78</v>
      </c>
      <c r="F29" s="10" t="s">
        <v>39</v>
      </c>
      <c r="G29" s="10" t="s">
        <v>79</v>
      </c>
    </row>
    <row r="30" spans="1:8" ht="16" customHeight="1" x14ac:dyDescent="0.2">
      <c r="B30" s="12">
        <f>ROUND((1-(3/(4*COUNT(B2:B21)-9))),3)</f>
        <v>0.92300000000000004</v>
      </c>
      <c r="C30" s="12">
        <f xml:space="preserve"> ROUND(B27*B30,3)</f>
        <v>-0.247</v>
      </c>
      <c r="D30" s="12">
        <f>ROUND( ((1/COUNT(D2:D21))+((B27^2)/(2*(COUNT(D2:D21)))))*2*(1-C27)*(B30^2),3)</f>
        <v>2.7E-2</v>
      </c>
      <c r="E30" s="28">
        <f>ROUND((1-(3/(4*COUNT(E2:E21)-9))),3)</f>
        <v>0.92300000000000004</v>
      </c>
      <c r="F30" s="13">
        <f xml:space="preserve"> ROUND(E27*E30,3)</f>
        <v>-1.3560000000000001</v>
      </c>
      <c r="G30" s="13">
        <f>ROUND( ((1/COUNT(G2:G21))+((E27^2)/(2*(COUNT(G2:G21)))))*2*(1-F27)*(E30^2),3)</f>
        <v>0.11</v>
      </c>
    </row>
    <row r="31" spans="1:8" ht="16" customHeight="1" x14ac:dyDescent="0.2">
      <c r="E31" s="11"/>
    </row>
  </sheetData>
  <mergeCells count="1">
    <mergeCell ref="I2:K2"/>
  </mergeCells>
  <pageMargins left="0.7" right="0.7" top="0.78740157499999996" bottom="0.78740157499999996" header="0.3" footer="0.3"/>
  <pageSetup paperSize="9" orientation="portrait" horizontalDpi="0" verticalDpi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6C3096-2814-E043-A006-532C91AE7BD1}">
  <sheetPr>
    <tabColor rgb="FFFFC000"/>
  </sheetPr>
  <dimension ref="A1:L31"/>
  <sheetViews>
    <sheetView zoomScale="160" zoomScaleNormal="160" workbookViewId="0">
      <selection activeCell="B22" sqref="B22:G23"/>
    </sheetView>
  </sheetViews>
  <sheetFormatPr baseColWidth="10" defaultColWidth="10.83203125" defaultRowHeight="16" customHeight="1" x14ac:dyDescent="0.2"/>
  <cols>
    <col min="1" max="16384" width="10.83203125" style="1"/>
  </cols>
  <sheetData>
    <row r="1" spans="2:12" ht="16" customHeight="1" x14ac:dyDescent="0.2">
      <c r="B1" s="7" t="s">
        <v>7</v>
      </c>
      <c r="C1" s="7" t="s">
        <v>6</v>
      </c>
      <c r="D1" s="7" t="s">
        <v>8</v>
      </c>
      <c r="E1" s="8" t="s">
        <v>9</v>
      </c>
      <c r="F1" s="9" t="s">
        <v>10</v>
      </c>
      <c r="G1" s="9" t="s">
        <v>11</v>
      </c>
      <c r="H1" s="10" t="s">
        <v>12</v>
      </c>
      <c r="I1" s="10"/>
      <c r="J1" s="21"/>
      <c r="K1" s="21"/>
      <c r="L1" s="21"/>
    </row>
    <row r="2" spans="2:12" ht="16" customHeight="1" x14ac:dyDescent="0.2">
      <c r="B2" s="19">
        <f>'Fig-Tool'!AH8</f>
        <v>224.6</v>
      </c>
      <c r="C2" s="19">
        <f>'Fig-Tool'!AI8</f>
        <v>194.79999999999998</v>
      </c>
      <c r="D2" s="6">
        <v>29.800000000000011</v>
      </c>
      <c r="E2" s="20">
        <f>'Fig-Tool'!AV8</f>
        <v>11.350000000000001</v>
      </c>
      <c r="F2" s="6">
        <f>'Fig-Tool'!AW8</f>
        <v>15.450000000000001</v>
      </c>
      <c r="G2" s="1">
        <v>-4.0999999999999996</v>
      </c>
      <c r="H2" s="1">
        <v>1</v>
      </c>
      <c r="I2" s="81" t="s">
        <v>33</v>
      </c>
      <c r="J2" s="81"/>
      <c r="K2" s="81"/>
      <c r="L2" s="17" t="str">
        <f xml:space="preserve"> "n = "&amp;MAX(H2:H21)</f>
        <v>n = 12</v>
      </c>
    </row>
    <row r="3" spans="2:12" ht="16" customHeight="1" x14ac:dyDescent="0.2">
      <c r="B3" s="19">
        <f>'Fig-Tool'!AH9</f>
        <v>226.85</v>
      </c>
      <c r="C3" s="19">
        <f>'Fig-Tool'!AI9</f>
        <v>222.54999999999998</v>
      </c>
      <c r="D3" s="6">
        <v>4.3000000000000114</v>
      </c>
      <c r="E3" s="15">
        <f>'Fig-Tool'!AV9</f>
        <v>11.55</v>
      </c>
      <c r="F3" s="6">
        <f>'Fig-Tool'!AW9</f>
        <v>16.25</v>
      </c>
      <c r="G3" s="1">
        <v>-4.6999999999999993</v>
      </c>
      <c r="H3" s="1">
        <v>2</v>
      </c>
    </row>
    <row r="4" spans="2:12" ht="16" customHeight="1" x14ac:dyDescent="0.2">
      <c r="B4" s="19">
        <f>'Fig-Tool'!AH10</f>
        <v>234.7</v>
      </c>
      <c r="C4" s="19">
        <f>'Fig-Tool'!AI10</f>
        <v>224.29999999999998</v>
      </c>
      <c r="D4" s="6">
        <v>10.400000000000006</v>
      </c>
      <c r="E4" s="15">
        <f>'Fig-Tool'!AV10</f>
        <v>12.649999999999999</v>
      </c>
      <c r="F4" s="6">
        <f>'Fig-Tool'!AW10</f>
        <v>16.75</v>
      </c>
      <c r="G4" s="1">
        <v>-4.1000000000000014</v>
      </c>
      <c r="H4" s="1">
        <v>3</v>
      </c>
    </row>
    <row r="5" spans="2:12" ht="16" customHeight="1" x14ac:dyDescent="0.2">
      <c r="B5" s="19">
        <f>'Fig-Tool'!AH11</f>
        <v>239.9</v>
      </c>
      <c r="C5" s="19">
        <f>'Fig-Tool'!AI11</f>
        <v>223.9</v>
      </c>
      <c r="D5" s="6">
        <v>16</v>
      </c>
      <c r="E5" s="15">
        <f>'Fig-Tool'!AV11</f>
        <v>18.150000000000002</v>
      </c>
      <c r="F5" s="6">
        <f>'Fig-Tool'!AW11</f>
        <v>22.450000000000003</v>
      </c>
      <c r="G5" s="1">
        <v>-4.3000000000000007</v>
      </c>
      <c r="H5" s="1">
        <v>4</v>
      </c>
    </row>
    <row r="6" spans="2:12" ht="16" customHeight="1" x14ac:dyDescent="0.2">
      <c r="B6" s="19">
        <f>'Fig-Tool'!AH12</f>
        <v>246.95</v>
      </c>
      <c r="C6" s="19">
        <f>'Fig-Tool'!AI12</f>
        <v>238.45</v>
      </c>
      <c r="D6" s="6">
        <v>8.5</v>
      </c>
      <c r="E6" s="15">
        <f>'Fig-Tool'!AV12</f>
        <v>11.45</v>
      </c>
      <c r="F6" s="6">
        <f>'Fig-Tool'!AW12</f>
        <v>18.75</v>
      </c>
      <c r="G6" s="1">
        <v>-7.3000000000000007</v>
      </c>
      <c r="H6" s="1">
        <v>5</v>
      </c>
    </row>
    <row r="7" spans="2:12" ht="16" customHeight="1" x14ac:dyDescent="0.2">
      <c r="B7" s="19">
        <f>'Fig-Tool'!AH13</f>
        <v>259.8</v>
      </c>
      <c r="C7" s="19">
        <f>'Fig-Tool'!AI13</f>
        <v>244.20000000000002</v>
      </c>
      <c r="D7" s="6">
        <v>15.599999999999994</v>
      </c>
      <c r="E7" s="15">
        <f>'Fig-Tool'!AV13</f>
        <v>15.55</v>
      </c>
      <c r="F7" s="6">
        <f>'Fig-Tool'!AW13</f>
        <v>24.65</v>
      </c>
      <c r="G7" s="1">
        <v>-9.0999999999999979</v>
      </c>
      <c r="H7" s="1">
        <v>6</v>
      </c>
    </row>
    <row r="8" spans="2:12" ht="16" customHeight="1" x14ac:dyDescent="0.2">
      <c r="B8" s="19">
        <f>'Fig-Tool'!AH14</f>
        <v>286.84999999999997</v>
      </c>
      <c r="C8" s="19">
        <f>'Fig-Tool'!AI14</f>
        <v>242.94999999999996</v>
      </c>
      <c r="D8" s="6">
        <v>43.900000000000006</v>
      </c>
      <c r="E8" s="15">
        <f>'Fig-Tool'!AV14</f>
        <v>10.75</v>
      </c>
      <c r="F8" s="6">
        <f>'Fig-Tool'!AW14</f>
        <v>20.85</v>
      </c>
      <c r="G8" s="1">
        <v>-10.100000000000001</v>
      </c>
      <c r="H8" s="1">
        <v>7</v>
      </c>
    </row>
    <row r="9" spans="2:12" ht="16" customHeight="1" x14ac:dyDescent="0.2">
      <c r="B9" s="19">
        <f>'Fig-Tool'!AH15</f>
        <v>293.14999999999998</v>
      </c>
      <c r="C9" s="19">
        <f>'Fig-Tool'!AI15</f>
        <v>271.25</v>
      </c>
      <c r="D9" s="6">
        <v>21.899999999999977</v>
      </c>
      <c r="E9" s="15">
        <f>'Fig-Tool'!AV15</f>
        <v>22.7</v>
      </c>
      <c r="F9" s="6">
        <f>'Fig-Tool'!AW15</f>
        <v>33.700000000000003</v>
      </c>
      <c r="G9" s="1">
        <v>-11.000000000000004</v>
      </c>
      <c r="H9" s="1">
        <v>8</v>
      </c>
    </row>
    <row r="10" spans="2:12" ht="16" customHeight="1" x14ac:dyDescent="0.2">
      <c r="B10" s="19">
        <f>'Fig-Tool'!AH16</f>
        <v>308.39999999999998</v>
      </c>
      <c r="C10" s="19">
        <f>'Fig-Tool'!AI16</f>
        <v>288.39999999999998</v>
      </c>
      <c r="D10" s="6">
        <v>20</v>
      </c>
      <c r="E10" s="15">
        <f>'Fig-Tool'!AV16</f>
        <v>19.149999999999999</v>
      </c>
      <c r="F10" s="6">
        <f>'Fig-Tool'!AW16</f>
        <v>30.25</v>
      </c>
      <c r="G10" s="1">
        <v>-11.100000000000001</v>
      </c>
      <c r="H10" s="1">
        <v>9</v>
      </c>
    </row>
    <row r="11" spans="2:12" ht="16" customHeight="1" x14ac:dyDescent="0.2">
      <c r="B11" s="19">
        <f>'Fig-Tool'!AH17</f>
        <v>311.84999999999997</v>
      </c>
      <c r="C11" s="19">
        <f>'Fig-Tool'!AI17</f>
        <v>266.95</v>
      </c>
      <c r="D11" s="6">
        <v>44.899999999999977</v>
      </c>
      <c r="E11" s="15">
        <f>'Fig-Tool'!AV17</f>
        <v>12.3</v>
      </c>
      <c r="F11" s="6">
        <f>'Fig-Tool'!AW17</f>
        <v>24.700000000000003</v>
      </c>
      <c r="G11" s="1">
        <v>-12.400000000000002</v>
      </c>
      <c r="H11" s="1">
        <v>10</v>
      </c>
    </row>
    <row r="12" spans="2:12" ht="16" customHeight="1" x14ac:dyDescent="0.2">
      <c r="B12" s="19">
        <f>'Fig-Tool'!AH18</f>
        <v>322.60000000000002</v>
      </c>
      <c r="C12" s="19">
        <f>'Fig-Tool'!AI18</f>
        <v>253.00000000000003</v>
      </c>
      <c r="D12" s="6">
        <v>69.599999999999994</v>
      </c>
      <c r="E12" s="15">
        <f>'Fig-Tool'!AV18</f>
        <v>9.8500000000000014</v>
      </c>
      <c r="F12" s="6">
        <f>'Fig-Tool'!AW18</f>
        <v>24.75</v>
      </c>
      <c r="G12" s="1">
        <v>-14.899999999999999</v>
      </c>
      <c r="H12" s="1">
        <v>11</v>
      </c>
    </row>
    <row r="13" spans="2:12" ht="16" customHeight="1" x14ac:dyDescent="0.2">
      <c r="B13" s="19">
        <f>'Fig-Tool'!AH19</f>
        <v>343.9</v>
      </c>
      <c r="C13" s="19">
        <f>'Fig-Tool'!AI19</f>
        <v>266.89999999999998</v>
      </c>
      <c r="D13" s="6">
        <v>77</v>
      </c>
      <c r="E13" s="15">
        <f>'Fig-Tool'!AV19</f>
        <v>5.85</v>
      </c>
      <c r="F13" s="6">
        <f>'Fig-Tool'!AW19</f>
        <v>23.950000000000003</v>
      </c>
      <c r="G13" s="1">
        <v>-18.100000000000001</v>
      </c>
      <c r="H13" s="1">
        <v>12</v>
      </c>
    </row>
    <row r="14" spans="2:12" ht="16" customHeight="1" x14ac:dyDescent="0.2">
      <c r="D14" s="1" t="s">
        <v>58</v>
      </c>
      <c r="E14" s="11"/>
      <c r="G14" s="1" t="s">
        <v>58</v>
      </c>
      <c r="H14" s="1" t="s">
        <v>58</v>
      </c>
    </row>
    <row r="15" spans="2:12" ht="16" customHeight="1" x14ac:dyDescent="0.2">
      <c r="D15" s="1" t="s">
        <v>58</v>
      </c>
      <c r="E15" s="11"/>
      <c r="G15" s="1" t="s">
        <v>58</v>
      </c>
      <c r="H15" s="1" t="s">
        <v>58</v>
      </c>
    </row>
    <row r="16" spans="2:12" ht="16" customHeight="1" x14ac:dyDescent="0.2">
      <c r="D16" s="1" t="s">
        <v>58</v>
      </c>
      <c r="E16" s="11"/>
      <c r="G16" s="1" t="s">
        <v>58</v>
      </c>
      <c r="H16" s="1" t="s">
        <v>58</v>
      </c>
    </row>
    <row r="17" spans="1:8" ht="16" customHeight="1" x14ac:dyDescent="0.2">
      <c r="D17" s="1" t="s">
        <v>58</v>
      </c>
      <c r="E17" s="11"/>
      <c r="G17" s="1" t="s">
        <v>58</v>
      </c>
      <c r="H17" s="1" t="s">
        <v>58</v>
      </c>
    </row>
    <row r="18" spans="1:8" ht="16" customHeight="1" x14ac:dyDescent="0.2">
      <c r="D18" s="1" t="s">
        <v>58</v>
      </c>
      <c r="E18" s="11"/>
      <c r="G18" s="1" t="s">
        <v>58</v>
      </c>
      <c r="H18" s="1" t="s">
        <v>58</v>
      </c>
    </row>
    <row r="19" spans="1:8" ht="16" customHeight="1" x14ac:dyDescent="0.2">
      <c r="D19" s="1" t="s">
        <v>58</v>
      </c>
      <c r="E19" s="11"/>
      <c r="G19" s="1" t="s">
        <v>58</v>
      </c>
      <c r="H19" s="1" t="s">
        <v>58</v>
      </c>
    </row>
    <row r="20" spans="1:8" ht="16" customHeight="1" x14ac:dyDescent="0.2">
      <c r="D20" s="1" t="s">
        <v>58</v>
      </c>
      <c r="E20" s="11"/>
      <c r="G20" s="1" t="s">
        <v>58</v>
      </c>
      <c r="H20" s="1" t="s">
        <v>58</v>
      </c>
    </row>
    <row r="21" spans="1:8" ht="16" customHeight="1" x14ac:dyDescent="0.2">
      <c r="B21" s="10"/>
      <c r="C21" s="10"/>
      <c r="D21" s="10" t="s">
        <v>58</v>
      </c>
      <c r="E21" s="14"/>
      <c r="F21" s="10"/>
      <c r="G21" s="10" t="s">
        <v>58</v>
      </c>
      <c r="H21" s="1" t="s">
        <v>58</v>
      </c>
    </row>
    <row r="22" spans="1:8" ht="16" customHeight="1" x14ac:dyDescent="0.2">
      <c r="A22" s="27" t="s">
        <v>77</v>
      </c>
      <c r="B22" s="30">
        <f xml:space="preserve"> AVERAGE(B2:B21)</f>
        <v>274.96249999999998</v>
      </c>
      <c r="C22" s="30">
        <f t="shared" ref="C22:G22" si="0" xml:space="preserve"> AVERAGE(C2:C21)</f>
        <v>244.80416666666667</v>
      </c>
      <c r="D22" s="30">
        <f t="shared" si="0"/>
        <v>30.158333333333331</v>
      </c>
      <c r="E22" s="33">
        <f t="shared" si="0"/>
        <v>13.441666666666668</v>
      </c>
      <c r="F22" s="32">
        <f t="shared" si="0"/>
        <v>22.708333333333332</v>
      </c>
      <c r="G22" s="32">
        <f t="shared" si="0"/>
        <v>-9.2666666666666675</v>
      </c>
    </row>
    <row r="23" spans="1:8" ht="16" customHeight="1" x14ac:dyDescent="0.2">
      <c r="A23" s="27" t="s">
        <v>76</v>
      </c>
      <c r="B23" s="30">
        <f xml:space="preserve"> _xlfn.STDEV.S(B2:B21)</f>
        <v>41.218713341702674</v>
      </c>
      <c r="C23" s="30">
        <f t="shared" ref="C23:G23" si="1" xml:space="preserve"> _xlfn.STDEV.S(C2:C21)</f>
        <v>26.186502928150531</v>
      </c>
      <c r="D23" s="30">
        <f t="shared" si="1"/>
        <v>23.87084407744512</v>
      </c>
      <c r="E23" s="31">
        <f t="shared" si="1"/>
        <v>4.6372421924582659</v>
      </c>
      <c r="F23" s="32">
        <f t="shared" si="1"/>
        <v>5.5614269479127207</v>
      </c>
      <c r="G23" s="32">
        <f t="shared" si="1"/>
        <v>4.5671422004124071</v>
      </c>
    </row>
    <row r="25" spans="1:8" ht="16" customHeight="1" x14ac:dyDescent="0.2">
      <c r="B25" s="18" t="s">
        <v>6</v>
      </c>
      <c r="C25" s="1" t="s">
        <v>117</v>
      </c>
      <c r="D25" s="73">
        <f xml:space="preserve"> ROUND(_xlfn.NORM.S.DIST(B27/SQRT(2),TRUE),3)</f>
        <v>0.81399999999999995</v>
      </c>
      <c r="E25" s="29" t="s">
        <v>13</v>
      </c>
      <c r="F25" s="1" t="s">
        <v>117</v>
      </c>
      <c r="G25" s="74">
        <f xml:space="preserve"> ROUND(_xlfn.NORM.S.DIST(E27/SQRT(2),TRUE),3)</f>
        <v>7.5999999999999998E-2</v>
      </c>
    </row>
    <row r="26" spans="1:8" ht="16" customHeight="1" x14ac:dyDescent="0.25">
      <c r="B26" s="10" t="s">
        <v>80</v>
      </c>
      <c r="C26" s="10" t="s">
        <v>3</v>
      </c>
      <c r="D26" s="10" t="s">
        <v>4</v>
      </c>
      <c r="E26" s="14" t="s">
        <v>80</v>
      </c>
      <c r="F26" s="10" t="s">
        <v>3</v>
      </c>
      <c r="G26" s="10" t="s">
        <v>4</v>
      </c>
    </row>
    <row r="27" spans="1:8" ht="16" customHeight="1" x14ac:dyDescent="0.2">
      <c r="B27" s="12">
        <f xml:space="preserve"> D22/D23</f>
        <v>1.2633961847134296</v>
      </c>
      <c r="C27" s="12">
        <f xml:space="preserve"> CORREL(B2:B21,C2:C21)</f>
        <v>0.84071792513342225</v>
      </c>
      <c r="D27" s="12">
        <f xml:space="preserve"> STEYX(C2:C21,B2:B21)</f>
        <v>14.871367980533257</v>
      </c>
      <c r="E27" s="28">
        <f xml:space="preserve"> G22/G23</f>
        <v>-2.0289857990035651</v>
      </c>
      <c r="F27" s="13">
        <f xml:space="preserve"> CORREL(E2:E21,F2:F21)</f>
        <v>0.61215750734666052</v>
      </c>
      <c r="G27" s="13">
        <f xml:space="preserve"> STEYX(F2:F21,E2:E21)</f>
        <v>4.6122624217615975</v>
      </c>
    </row>
    <row r="28" spans="1:8" ht="16" customHeight="1" x14ac:dyDescent="0.2">
      <c r="E28" s="11"/>
    </row>
    <row r="29" spans="1:8" ht="16" customHeight="1" x14ac:dyDescent="0.25">
      <c r="B29" s="10" t="s">
        <v>78</v>
      </c>
      <c r="C29" s="10" t="s">
        <v>39</v>
      </c>
      <c r="D29" s="10" t="s">
        <v>79</v>
      </c>
      <c r="E29" s="14" t="s">
        <v>78</v>
      </c>
      <c r="F29" s="10" t="s">
        <v>39</v>
      </c>
      <c r="G29" s="10" t="s">
        <v>79</v>
      </c>
    </row>
    <row r="30" spans="1:8" ht="16" customHeight="1" x14ac:dyDescent="0.2">
      <c r="B30" s="12">
        <f>ROUND((1-(3/(4*COUNT(B2:B21)-9))),3)</f>
        <v>0.92300000000000004</v>
      </c>
      <c r="C30" s="12">
        <f xml:space="preserve"> ROUND(B27*B30,3)</f>
        <v>1.1659999999999999</v>
      </c>
      <c r="D30" s="12">
        <f>ROUND( ((1/COUNT(D2:D21))+((B27^2)/(2*(COUNT(D2:D21)))))*2*(1-C27)*(B30^2),3)</f>
        <v>4.1000000000000002E-2</v>
      </c>
      <c r="E30" s="28">
        <f>ROUND((1-(3/(4*COUNT(E2:E21)-9))),3)</f>
        <v>0.92300000000000004</v>
      </c>
      <c r="F30" s="13">
        <f xml:space="preserve"> ROUND(E27*E30,3)</f>
        <v>-1.873</v>
      </c>
      <c r="G30" s="13">
        <f>ROUND( ((1/COUNT(G2:G21))+((E27^2)/(2*(COUNT(G2:G21)))))*2*(1-F27)*(E30^2),3)</f>
        <v>0.16800000000000001</v>
      </c>
    </row>
    <row r="31" spans="1:8" ht="16" customHeight="1" x14ac:dyDescent="0.2">
      <c r="E31" s="11"/>
    </row>
  </sheetData>
  <mergeCells count="1">
    <mergeCell ref="I2:K2"/>
  </mergeCells>
  <pageMargins left="0.7" right="0.7" top="0.78740157499999996" bottom="0.78740157499999996" header="0.3" footer="0.3"/>
  <pageSetup paperSize="9" orientation="portrait" horizontalDpi="0" verticalDpi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8B0BE7-96C8-A64D-9BD7-9A4736F09BFA}">
  <sheetPr>
    <tabColor rgb="FFFFFF00"/>
  </sheetPr>
  <dimension ref="A1:L31"/>
  <sheetViews>
    <sheetView zoomScale="160" zoomScaleNormal="160" workbookViewId="0">
      <selection activeCell="H2" sqref="H2:H15"/>
    </sheetView>
  </sheetViews>
  <sheetFormatPr baseColWidth="10" defaultColWidth="10.83203125" defaultRowHeight="16" customHeight="1" x14ac:dyDescent="0.2"/>
  <cols>
    <col min="1" max="16384" width="10.83203125" style="1"/>
  </cols>
  <sheetData>
    <row r="1" spans="2:12" ht="16" customHeight="1" x14ac:dyDescent="0.2">
      <c r="B1" s="7" t="s">
        <v>7</v>
      </c>
      <c r="C1" s="7" t="s">
        <v>6</v>
      </c>
      <c r="D1" s="7" t="s">
        <v>8</v>
      </c>
      <c r="E1" s="8" t="s">
        <v>9</v>
      </c>
      <c r="F1" s="9" t="s">
        <v>10</v>
      </c>
      <c r="G1" s="9" t="s">
        <v>11</v>
      </c>
      <c r="H1" s="10" t="s">
        <v>12</v>
      </c>
      <c r="I1" s="10"/>
      <c r="J1" s="21"/>
      <c r="K1" s="21"/>
      <c r="L1" s="21"/>
    </row>
    <row r="2" spans="2:12" ht="16" customHeight="1" x14ac:dyDescent="0.2">
      <c r="B2" s="19">
        <f>'Fig-Tool'!BB8</f>
        <v>153.5</v>
      </c>
      <c r="C2" s="19">
        <f>'Fig-Tool'!BA8</f>
        <v>188.2</v>
      </c>
      <c r="D2" s="1">
        <v>-34.699999999999989</v>
      </c>
      <c r="E2" s="20">
        <f>'Fig-Tool'!BG8</f>
        <v>7.6</v>
      </c>
      <c r="F2" s="6">
        <f>'Fig-Tool'!BF8</f>
        <v>8.8000000000000007</v>
      </c>
      <c r="G2" s="1">
        <v>-1.2000000000000011</v>
      </c>
      <c r="H2" s="1">
        <v>1</v>
      </c>
      <c r="I2" s="81" t="s">
        <v>40</v>
      </c>
      <c r="J2" s="81"/>
      <c r="K2" s="81"/>
      <c r="L2" s="17" t="str">
        <f xml:space="preserve"> "n = "&amp;MAX(H2:H21)</f>
        <v>n = 14</v>
      </c>
    </row>
    <row r="3" spans="2:12" ht="16" customHeight="1" x14ac:dyDescent="0.2">
      <c r="B3" s="19">
        <f>'Fig-Tool'!BB9</f>
        <v>212.2</v>
      </c>
      <c r="C3" s="19">
        <f>'Fig-Tool'!BA9</f>
        <v>215.2</v>
      </c>
      <c r="D3" s="1">
        <v>-3</v>
      </c>
      <c r="E3" s="15">
        <f>'Fig-Tool'!BG9</f>
        <v>7.4</v>
      </c>
      <c r="F3" s="6">
        <f>'Fig-Tool'!BF9</f>
        <v>10.6</v>
      </c>
      <c r="G3" s="1">
        <v>-3.1999999999999993</v>
      </c>
      <c r="H3" s="1">
        <v>2</v>
      </c>
    </row>
    <row r="4" spans="2:12" ht="16" customHeight="1" x14ac:dyDescent="0.2">
      <c r="B4" s="19">
        <f>'Fig-Tool'!BB10</f>
        <v>216.4</v>
      </c>
      <c r="C4" s="19">
        <f>'Fig-Tool'!BA10</f>
        <v>216.5</v>
      </c>
      <c r="D4" s="1">
        <v>-9.9999999999994316E-2</v>
      </c>
      <c r="E4" s="15">
        <f>'Fig-Tool'!BG10</f>
        <v>9.5</v>
      </c>
      <c r="F4" s="6">
        <f>'Fig-Tool'!BF10</f>
        <v>11.7</v>
      </c>
      <c r="G4" s="1">
        <v>-2.1999999999999993</v>
      </c>
      <c r="H4" s="1">
        <v>3</v>
      </c>
    </row>
    <row r="5" spans="2:12" ht="16" customHeight="1" x14ac:dyDescent="0.2">
      <c r="B5" s="19">
        <f>'Fig-Tool'!BB11</f>
        <v>208.7</v>
      </c>
      <c r="C5" s="19">
        <f>'Fig-Tool'!BA11</f>
        <v>227.9</v>
      </c>
      <c r="D5" s="1">
        <v>-19.200000000000017</v>
      </c>
      <c r="E5" s="15">
        <f>'Fig-Tool'!BG11</f>
        <v>9</v>
      </c>
      <c r="F5" s="6">
        <f>'Fig-Tool'!BF11</f>
        <v>16.8</v>
      </c>
      <c r="G5" s="1">
        <v>-7.8000000000000007</v>
      </c>
      <c r="H5" s="1">
        <v>4</v>
      </c>
    </row>
    <row r="6" spans="2:12" ht="16" customHeight="1" x14ac:dyDescent="0.2">
      <c r="B6" s="19">
        <f>'Fig-Tool'!BB12</f>
        <v>219.5</v>
      </c>
      <c r="C6" s="19">
        <f>'Fig-Tool'!BA12</f>
        <v>240.8</v>
      </c>
      <c r="D6" s="1">
        <v>-21.300000000000011</v>
      </c>
      <c r="E6" s="15">
        <f>'Fig-Tool'!BG12</f>
        <v>13.4</v>
      </c>
      <c r="F6" s="6">
        <f>'Fig-Tool'!BF12</f>
        <v>10.3</v>
      </c>
      <c r="G6" s="1">
        <v>3.0999999999999996</v>
      </c>
      <c r="H6" s="1">
        <v>5</v>
      </c>
    </row>
    <row r="7" spans="2:12" ht="16" customHeight="1" x14ac:dyDescent="0.2">
      <c r="B7" s="19">
        <f>'Fig-Tool'!BB13</f>
        <v>248.7</v>
      </c>
      <c r="C7" s="19">
        <f>'Fig-Tool'!BA13</f>
        <v>248.5</v>
      </c>
      <c r="D7" s="1">
        <v>0.19999999999998863</v>
      </c>
      <c r="E7" s="15">
        <f>'Fig-Tool'!BG13</f>
        <v>12.4</v>
      </c>
      <c r="F7" s="6">
        <f>'Fig-Tool'!BF13</f>
        <v>15.2</v>
      </c>
      <c r="G7" s="1">
        <v>-2.7999999999999989</v>
      </c>
      <c r="H7" s="1">
        <v>6</v>
      </c>
    </row>
    <row r="8" spans="2:12" ht="16" customHeight="1" x14ac:dyDescent="0.2">
      <c r="B8" s="19">
        <f>'Fig-Tool'!BB14</f>
        <v>263.39999999999998</v>
      </c>
      <c r="C8" s="19">
        <f>'Fig-Tool'!BA14</f>
        <v>253.7</v>
      </c>
      <c r="D8" s="1">
        <v>9.6999999999999886</v>
      </c>
      <c r="E8" s="15">
        <f>'Fig-Tool'!BG14</f>
        <v>14.1</v>
      </c>
      <c r="F8" s="6">
        <f>'Fig-Tool'!BF14</f>
        <v>15.9</v>
      </c>
      <c r="G8" s="1">
        <v>-1.8000000000000007</v>
      </c>
      <c r="H8" s="1">
        <v>7</v>
      </c>
    </row>
    <row r="9" spans="2:12" ht="16" customHeight="1" x14ac:dyDescent="0.2">
      <c r="B9" s="19">
        <f>'Fig-Tool'!BB15</f>
        <v>263.89999999999998</v>
      </c>
      <c r="C9" s="19">
        <f>'Fig-Tool'!BA15</f>
        <v>275.39999999999998</v>
      </c>
      <c r="D9" s="1">
        <v>-11.5</v>
      </c>
      <c r="E9" s="15">
        <f>'Fig-Tool'!BG15</f>
        <v>25.5</v>
      </c>
      <c r="F9" s="6">
        <f>'Fig-Tool'!BF15</f>
        <v>23.8</v>
      </c>
      <c r="G9" s="1">
        <v>1.6999999999999993</v>
      </c>
      <c r="H9" s="1">
        <v>8</v>
      </c>
    </row>
    <row r="10" spans="2:12" ht="16" customHeight="1" x14ac:dyDescent="0.2">
      <c r="B10" s="19">
        <f>'Fig-Tool'!BB16</f>
        <v>281.10000000000002</v>
      </c>
      <c r="C10" s="19">
        <f>'Fig-Tool'!BA16</f>
        <v>253.7</v>
      </c>
      <c r="D10" s="1">
        <v>27.400000000000034</v>
      </c>
      <c r="E10" s="15">
        <f>'Fig-Tool'!BG16</f>
        <v>19.399999999999999</v>
      </c>
      <c r="F10" s="6">
        <f>'Fig-Tool'!BF16</f>
        <v>9.8000000000000007</v>
      </c>
      <c r="G10" s="1">
        <v>9.5999999999999979</v>
      </c>
      <c r="H10" s="1">
        <v>9</v>
      </c>
    </row>
    <row r="11" spans="2:12" ht="16" customHeight="1" x14ac:dyDescent="0.2">
      <c r="B11" s="19">
        <f>'Fig-Tool'!BB17</f>
        <v>286.5</v>
      </c>
      <c r="C11" s="19">
        <f>'Fig-Tool'!BA17</f>
        <v>253.6</v>
      </c>
      <c r="D11" s="1">
        <v>32.900000000000006</v>
      </c>
      <c r="E11" s="15">
        <f>'Fig-Tool'!BG17</f>
        <v>19</v>
      </c>
      <c r="F11" s="6">
        <f>'Fig-Tool'!BF17</f>
        <v>11.4</v>
      </c>
      <c r="G11" s="1">
        <v>7.6</v>
      </c>
      <c r="H11" s="1">
        <v>10</v>
      </c>
    </row>
    <row r="12" spans="2:12" ht="16" customHeight="1" x14ac:dyDescent="0.2">
      <c r="B12" s="19">
        <f>'Fig-Tool'!BB18</f>
        <v>296.8</v>
      </c>
      <c r="C12" s="19">
        <f>'Fig-Tool'!BA18</f>
        <v>261.3</v>
      </c>
      <c r="D12" s="1">
        <v>35.5</v>
      </c>
      <c r="E12" s="15">
        <f>'Fig-Tool'!BG18</f>
        <v>19.100000000000001</v>
      </c>
      <c r="F12" s="6">
        <f>'Fig-Tool'!BF18</f>
        <v>15.5</v>
      </c>
      <c r="G12" s="1">
        <v>3.6000000000000014</v>
      </c>
      <c r="H12" s="1">
        <v>11</v>
      </c>
    </row>
    <row r="13" spans="2:12" ht="16" customHeight="1" x14ac:dyDescent="0.2">
      <c r="B13" s="19">
        <f>'Fig-Tool'!BB19</f>
        <v>293.3</v>
      </c>
      <c r="C13" s="19">
        <f>'Fig-Tool'!BA19</f>
        <v>267.8</v>
      </c>
      <c r="D13" s="1">
        <v>25.5</v>
      </c>
      <c r="E13" s="15">
        <f>'Fig-Tool'!BG19</f>
        <v>17.3</v>
      </c>
      <c r="F13" s="6">
        <f>'Fig-Tool'!BF19</f>
        <v>19.8</v>
      </c>
      <c r="G13" s="1">
        <v>-2.5</v>
      </c>
      <c r="H13" s="1">
        <v>12</v>
      </c>
    </row>
    <row r="14" spans="2:12" ht="16" customHeight="1" x14ac:dyDescent="0.2">
      <c r="B14" s="19">
        <f>'Fig-Tool'!BB20</f>
        <v>318.7</v>
      </c>
      <c r="C14" s="19">
        <f>'Fig-Tool'!BA20</f>
        <v>336.9</v>
      </c>
      <c r="D14" s="1">
        <v>-18.199999999999989</v>
      </c>
      <c r="E14" s="15">
        <f>'Fig-Tool'!BG20</f>
        <v>16.8</v>
      </c>
      <c r="F14" s="6">
        <f>'Fig-Tool'!BF20</f>
        <v>20.6</v>
      </c>
      <c r="G14" s="1">
        <v>-3.8000000000000007</v>
      </c>
      <c r="H14" s="1">
        <v>13</v>
      </c>
    </row>
    <row r="15" spans="2:12" ht="16" customHeight="1" x14ac:dyDescent="0.2">
      <c r="B15" s="19">
        <f>'Fig-Tool'!BB21</f>
        <v>349.9</v>
      </c>
      <c r="C15" s="19">
        <f>'Fig-Tool'!BA21</f>
        <v>330.5</v>
      </c>
      <c r="D15" s="1">
        <v>19.399999999999977</v>
      </c>
      <c r="E15" s="15">
        <f>'Fig-Tool'!BG21</f>
        <v>15.4</v>
      </c>
      <c r="F15" s="6">
        <f>'Fig-Tool'!BF21</f>
        <v>22.2</v>
      </c>
      <c r="G15" s="1">
        <v>-6.7999999999999989</v>
      </c>
      <c r="H15" s="1">
        <v>14</v>
      </c>
    </row>
    <row r="16" spans="2:12" ht="16" customHeight="1" x14ac:dyDescent="0.2">
      <c r="B16" s="19" t="str">
        <f>'Fig-Tool'!BB22</f>
        <v/>
      </c>
      <c r="C16" s="19" t="str">
        <f>'Fig-Tool'!BA22</f>
        <v/>
      </c>
      <c r="D16" s="1" t="s">
        <v>58</v>
      </c>
      <c r="E16" s="15"/>
      <c r="F16" s="6"/>
      <c r="G16" s="1" t="s">
        <v>58</v>
      </c>
      <c r="H16" s="1" t="s">
        <v>58</v>
      </c>
    </row>
    <row r="17" spans="1:8" ht="16" customHeight="1" x14ac:dyDescent="0.2">
      <c r="B17" s="19" t="str">
        <f>'Fig-Tool'!BB23</f>
        <v/>
      </c>
      <c r="C17" s="19" t="str">
        <f>'Fig-Tool'!BA23</f>
        <v/>
      </c>
      <c r="D17" s="1" t="s">
        <v>58</v>
      </c>
      <c r="E17" s="15"/>
      <c r="F17" s="6"/>
      <c r="G17" s="1" t="s">
        <v>58</v>
      </c>
      <c r="H17" s="1" t="s">
        <v>58</v>
      </c>
    </row>
    <row r="18" spans="1:8" ht="16" customHeight="1" x14ac:dyDescent="0.2">
      <c r="B18" s="19" t="str">
        <f>'Fig-Tool'!BB24</f>
        <v/>
      </c>
      <c r="C18" s="19" t="str">
        <f>'Fig-Tool'!BA24</f>
        <v/>
      </c>
      <c r="D18" s="1" t="s">
        <v>58</v>
      </c>
      <c r="E18" s="11"/>
      <c r="G18" s="1" t="s">
        <v>58</v>
      </c>
      <c r="H18" s="1" t="s">
        <v>58</v>
      </c>
    </row>
    <row r="19" spans="1:8" ht="16" customHeight="1" x14ac:dyDescent="0.2">
      <c r="B19" s="19" t="str">
        <f>'Fig-Tool'!BB25</f>
        <v/>
      </c>
      <c r="C19" s="19" t="str">
        <f>'Fig-Tool'!BA25</f>
        <v/>
      </c>
      <c r="D19" s="1" t="s">
        <v>58</v>
      </c>
      <c r="E19" s="11"/>
      <c r="G19" s="1" t="s">
        <v>58</v>
      </c>
      <c r="H19" s="1" t="s">
        <v>58</v>
      </c>
    </row>
    <row r="20" spans="1:8" ht="16" customHeight="1" x14ac:dyDescent="0.2">
      <c r="D20" s="1" t="s">
        <v>58</v>
      </c>
      <c r="E20" s="11"/>
      <c r="G20" s="1" t="s">
        <v>58</v>
      </c>
      <c r="H20" s="1" t="s">
        <v>58</v>
      </c>
    </row>
    <row r="21" spans="1:8" ht="16" customHeight="1" x14ac:dyDescent="0.2">
      <c r="B21" s="10"/>
      <c r="C21" s="10"/>
      <c r="D21" s="10" t="s">
        <v>58</v>
      </c>
      <c r="E21" s="14"/>
      <c r="F21" s="10"/>
      <c r="G21" s="10" t="s">
        <v>58</v>
      </c>
      <c r="H21" s="1" t="s">
        <v>58</v>
      </c>
    </row>
    <row r="22" spans="1:8" ht="16" customHeight="1" x14ac:dyDescent="0.2">
      <c r="A22" s="27" t="s">
        <v>77</v>
      </c>
      <c r="B22" s="30">
        <f xml:space="preserve"> AVERAGE(B2:B21)</f>
        <v>258.04285714285714</v>
      </c>
      <c r="C22" s="30">
        <f t="shared" ref="C22:G22" si="0" xml:space="preserve"> AVERAGE(C2:C21)</f>
        <v>255</v>
      </c>
      <c r="D22" s="30">
        <f t="shared" si="0"/>
        <v>3.0428571428571423</v>
      </c>
      <c r="E22" s="33">
        <f t="shared" si="0"/>
        <v>14.707142857142857</v>
      </c>
      <c r="F22" s="32">
        <f t="shared" si="0"/>
        <v>15.171428571428573</v>
      </c>
      <c r="G22" s="32">
        <f t="shared" si="0"/>
        <v>-0.46428571428571441</v>
      </c>
    </row>
    <row r="23" spans="1:8" ht="16" customHeight="1" x14ac:dyDescent="0.2">
      <c r="A23" s="27" t="s">
        <v>76</v>
      </c>
      <c r="B23" s="30">
        <f xml:space="preserve"> _xlfn.STDEV.S(B2:B21)</f>
        <v>51.916437507945901</v>
      </c>
      <c r="C23" s="30">
        <f t="shared" ref="C23:G23" si="1" xml:space="preserve"> _xlfn.STDEV.S(C2:C21)</f>
        <v>40.705055441081718</v>
      </c>
      <c r="D23" s="30">
        <f t="shared" si="1"/>
        <v>22.503767694312003</v>
      </c>
      <c r="E23" s="31">
        <f t="shared" si="1"/>
        <v>5.253638195166686</v>
      </c>
      <c r="F23" s="32">
        <f t="shared" si="1"/>
        <v>4.9488815475245129</v>
      </c>
      <c r="G23" s="32">
        <f t="shared" si="1"/>
        <v>5.020972498945282</v>
      </c>
    </row>
    <row r="25" spans="1:8" ht="16" customHeight="1" x14ac:dyDescent="0.2">
      <c r="B25" s="18" t="s">
        <v>6</v>
      </c>
      <c r="C25" s="1" t="s">
        <v>117</v>
      </c>
      <c r="D25" s="73">
        <f xml:space="preserve"> ROUND(_xlfn.NORM.S.DIST(B27/SQRT(2),TRUE),3)</f>
        <v>0.53800000000000003</v>
      </c>
      <c r="E25" s="29" t="s">
        <v>13</v>
      </c>
      <c r="F25" s="1" t="s">
        <v>117</v>
      </c>
      <c r="G25" s="74">
        <f xml:space="preserve"> ROUND(_xlfn.NORM.S.DIST(E27/SQRT(2),TRUE),3)</f>
        <v>0.47399999999999998</v>
      </c>
    </row>
    <row r="26" spans="1:8" ht="16" customHeight="1" x14ac:dyDescent="0.25">
      <c r="B26" s="10" t="s">
        <v>80</v>
      </c>
      <c r="C26" s="10" t="s">
        <v>3</v>
      </c>
      <c r="D26" s="10" t="s">
        <v>4</v>
      </c>
      <c r="E26" s="14" t="s">
        <v>80</v>
      </c>
      <c r="F26" s="10" t="s">
        <v>3</v>
      </c>
      <c r="G26" s="10" t="s">
        <v>4</v>
      </c>
    </row>
    <row r="27" spans="1:8" ht="16" customHeight="1" x14ac:dyDescent="0.2">
      <c r="B27" s="12">
        <f xml:space="preserve"> D22/D23</f>
        <v>0.13521545299395565</v>
      </c>
      <c r="C27" s="12">
        <f xml:space="preserve"> CORREL(B2:B21,C2:C21)</f>
        <v>0.90992016877134796</v>
      </c>
      <c r="D27" s="12">
        <f xml:space="preserve"> STEYX(C2:C21,B2:B21)</f>
        <v>17.573197626251346</v>
      </c>
      <c r="E27" s="28">
        <f xml:space="preserve"> G22/G23</f>
        <v>-9.2469280479676688E-2</v>
      </c>
      <c r="F27" s="13">
        <f xml:space="preserve"> CORREL(E2:E21,F2:F21)</f>
        <v>0.51696841060077037</v>
      </c>
      <c r="G27" s="13">
        <f xml:space="preserve"> STEYX(F2:F21,E2:E21)</f>
        <v>4.4092441520429722</v>
      </c>
    </row>
    <row r="28" spans="1:8" ht="16" customHeight="1" x14ac:dyDescent="0.2">
      <c r="E28" s="11"/>
    </row>
    <row r="29" spans="1:8" ht="16" customHeight="1" x14ac:dyDescent="0.25">
      <c r="B29" s="10" t="s">
        <v>78</v>
      </c>
      <c r="C29" s="10" t="s">
        <v>39</v>
      </c>
      <c r="D29" s="10" t="s">
        <v>79</v>
      </c>
      <c r="E29" s="14" t="s">
        <v>78</v>
      </c>
      <c r="F29" s="10" t="s">
        <v>39</v>
      </c>
      <c r="G29" s="10" t="s">
        <v>79</v>
      </c>
    </row>
    <row r="30" spans="1:8" ht="16" customHeight="1" x14ac:dyDescent="0.2">
      <c r="B30" s="12">
        <f>ROUND((1-(3/(4*COUNT(B2:B21)-9))),3)</f>
        <v>0.93600000000000005</v>
      </c>
      <c r="C30" s="12">
        <f xml:space="preserve"> ROUND(B27*B30,3)</f>
        <v>0.127</v>
      </c>
      <c r="D30" s="12">
        <f>ROUND( ((1/COUNT(D2:D21))+((B27^2)/(2*(COUNT(D2:D21)))))*2*(1-C27)*(B30^2),3)</f>
        <v>1.0999999999999999E-2</v>
      </c>
      <c r="E30" s="28">
        <f>ROUND((1-(3/(4*COUNT(E2:E21)-9))),3)</f>
        <v>0.93600000000000005</v>
      </c>
      <c r="F30" s="13">
        <f xml:space="preserve"> ROUND(E27*E30,3)</f>
        <v>-8.6999999999999994E-2</v>
      </c>
      <c r="G30" s="13">
        <f>ROUND( ((1/COUNT(G2:G21))+((E27^2)/(2*(COUNT(G2:G21)))))*2*(1-F27)*(E30^2),3)</f>
        <v>6.0999999999999999E-2</v>
      </c>
    </row>
    <row r="31" spans="1:8" ht="16" customHeight="1" x14ac:dyDescent="0.2">
      <c r="E31" s="11"/>
    </row>
  </sheetData>
  <mergeCells count="1">
    <mergeCell ref="I2:K2"/>
  </mergeCells>
  <pageMargins left="0.7" right="0.7" top="0.78740157499999996" bottom="0.78740157499999996" header="0.3" footer="0.3"/>
  <pageSetup paperSize="9" orientation="portrait" horizontalDpi="0" verticalDpi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83BD36-5DCD-E548-BB5D-1F1489154E9B}">
  <sheetPr>
    <tabColor rgb="FFFFFF00"/>
  </sheetPr>
  <dimension ref="A1:L31"/>
  <sheetViews>
    <sheetView zoomScale="160" zoomScaleNormal="160" workbookViewId="0">
      <selection activeCell="F27" sqref="F27"/>
    </sheetView>
  </sheetViews>
  <sheetFormatPr baseColWidth="10" defaultColWidth="10.83203125" defaultRowHeight="16" customHeight="1" x14ac:dyDescent="0.2"/>
  <cols>
    <col min="1" max="16384" width="10.83203125" style="1"/>
  </cols>
  <sheetData>
    <row r="1" spans="2:12" ht="16" customHeight="1" x14ac:dyDescent="0.2">
      <c r="B1" s="7" t="s">
        <v>7</v>
      </c>
      <c r="C1" s="7" t="s">
        <v>6</v>
      </c>
      <c r="D1" s="7" t="s">
        <v>8</v>
      </c>
      <c r="E1" s="8" t="s">
        <v>9</v>
      </c>
      <c r="F1" s="9" t="s">
        <v>10</v>
      </c>
      <c r="G1" s="9" t="s">
        <v>11</v>
      </c>
      <c r="H1" s="10" t="s">
        <v>12</v>
      </c>
      <c r="I1" s="10"/>
      <c r="J1" s="21"/>
      <c r="K1" s="21"/>
      <c r="L1" s="21"/>
    </row>
    <row r="2" spans="2:12" ht="16" customHeight="1" x14ac:dyDescent="0.2">
      <c r="B2" s="19">
        <f>'Fig-Tool'!BL8</f>
        <v>137.80000000000001</v>
      </c>
      <c r="C2" s="19">
        <f>'Fig-Tool'!BK8</f>
        <v>136.5</v>
      </c>
      <c r="D2" s="1">
        <f xml:space="preserve"> IF(COUNT(B2:C2)&gt;1,B2-C2,"")</f>
        <v>1.3000000000000114</v>
      </c>
      <c r="E2" s="15">
        <f>'Fig-Tool'!BW8</f>
        <v>11.700000000000001</v>
      </c>
      <c r="F2" s="6">
        <f>'Fig-Tool'!BX8</f>
        <v>24.9</v>
      </c>
      <c r="G2" s="1">
        <f xml:space="preserve"> IF(COUNT(E2:F2)&gt;1,E2-F2,"")</f>
        <v>-13.199999999999998</v>
      </c>
      <c r="H2" s="1">
        <v>1</v>
      </c>
      <c r="I2" s="81" t="s">
        <v>125</v>
      </c>
      <c r="J2" s="81"/>
      <c r="K2" s="81"/>
      <c r="L2" s="17" t="str">
        <f xml:space="preserve"> "n = "&amp;MAX(H2:H21)</f>
        <v>n = 15</v>
      </c>
    </row>
    <row r="3" spans="2:12" ht="16" customHeight="1" x14ac:dyDescent="0.2">
      <c r="B3" s="19">
        <f>'Fig-Tool'!BL9</f>
        <v>177.1</v>
      </c>
      <c r="C3" s="19">
        <f>'Fig-Tool'!BK9</f>
        <v>172.2</v>
      </c>
      <c r="D3" s="1">
        <f t="shared" ref="D3:D21" si="0" xml:space="preserve"> IF(COUNT(B3:C3)&gt;1,B3-C3,"")</f>
        <v>4.9000000000000057</v>
      </c>
      <c r="E3" s="15">
        <f>'Fig-Tool'!BW9</f>
        <v>20.399999999999999</v>
      </c>
      <c r="F3" s="6">
        <f>'Fig-Tool'!BX9</f>
        <v>25.4</v>
      </c>
      <c r="G3" s="1">
        <f t="shared" ref="G3:G21" si="1" xml:space="preserve"> IF(COUNT(E3:F3)&gt;1,E3-F3,"")</f>
        <v>-5</v>
      </c>
      <c r="H3" s="1">
        <v>2</v>
      </c>
    </row>
    <row r="4" spans="2:12" ht="16" customHeight="1" x14ac:dyDescent="0.2">
      <c r="B4" s="19">
        <f>'Fig-Tool'!BL10</f>
        <v>174.3</v>
      </c>
      <c r="C4" s="19">
        <f>'Fig-Tool'!BK10</f>
        <v>175.4</v>
      </c>
      <c r="D4" s="1">
        <f t="shared" si="0"/>
        <v>-1.0999999999999943</v>
      </c>
      <c r="E4" s="15">
        <f>'Fig-Tool'!BW10</f>
        <v>18.95</v>
      </c>
      <c r="F4" s="6">
        <f>'Fig-Tool'!BX10</f>
        <v>23.05</v>
      </c>
      <c r="G4" s="1">
        <f t="shared" si="1"/>
        <v>-4.1000000000000014</v>
      </c>
      <c r="H4" s="1">
        <v>3</v>
      </c>
    </row>
    <row r="5" spans="2:12" ht="16" customHeight="1" x14ac:dyDescent="0.2">
      <c r="B5" s="19">
        <f>'Fig-Tool'!BL11</f>
        <v>198.2</v>
      </c>
      <c r="C5" s="19">
        <f>'Fig-Tool'!BK11</f>
        <v>190.2</v>
      </c>
      <c r="D5" s="1">
        <f t="shared" si="0"/>
        <v>8</v>
      </c>
      <c r="E5" s="15">
        <f>'Fig-Tool'!BW11</f>
        <v>21.45</v>
      </c>
      <c r="F5" s="6">
        <f>'Fig-Tool'!BX11</f>
        <v>21.95</v>
      </c>
      <c r="G5" s="1">
        <f t="shared" si="1"/>
        <v>-0.5</v>
      </c>
      <c r="H5" s="1">
        <v>4</v>
      </c>
    </row>
    <row r="6" spans="2:12" ht="16" customHeight="1" x14ac:dyDescent="0.2">
      <c r="B6" s="19">
        <f>'Fig-Tool'!BL12</f>
        <v>189.9</v>
      </c>
      <c r="C6" s="19">
        <f>'Fig-Tool'!BK12</f>
        <v>193.6</v>
      </c>
      <c r="D6" s="1">
        <f t="shared" si="0"/>
        <v>-3.6999999999999886</v>
      </c>
      <c r="E6" s="15">
        <f>'Fig-Tool'!BW12</f>
        <v>18.25</v>
      </c>
      <c r="F6" s="6">
        <f>'Fig-Tool'!BX12</f>
        <v>17.549999999999997</v>
      </c>
      <c r="G6" s="1">
        <f t="shared" si="1"/>
        <v>0.70000000000000284</v>
      </c>
      <c r="H6" s="1">
        <v>5</v>
      </c>
    </row>
    <row r="7" spans="2:12" ht="16" customHeight="1" x14ac:dyDescent="0.2">
      <c r="B7" s="19">
        <f>'Fig-Tool'!BL13</f>
        <v>209.9</v>
      </c>
      <c r="C7" s="19">
        <f>'Fig-Tool'!BK13</f>
        <v>215.6</v>
      </c>
      <c r="D7" s="1">
        <f t="shared" si="0"/>
        <v>-5.6999999999999886</v>
      </c>
      <c r="E7" s="15">
        <f>'Fig-Tool'!BW13</f>
        <v>17.7</v>
      </c>
      <c r="F7" s="6">
        <f>'Fig-Tool'!BX13</f>
        <v>11.9</v>
      </c>
      <c r="G7" s="1">
        <f t="shared" si="1"/>
        <v>5.7999999999999989</v>
      </c>
      <c r="H7" s="1">
        <v>6</v>
      </c>
    </row>
    <row r="8" spans="2:12" ht="16" customHeight="1" x14ac:dyDescent="0.2">
      <c r="B8" s="19">
        <f>'Fig-Tool'!BL14</f>
        <v>216.3</v>
      </c>
      <c r="C8" s="19">
        <f>'Fig-Tool'!BK14</f>
        <v>235</v>
      </c>
      <c r="D8" s="1">
        <f t="shared" si="0"/>
        <v>-18.699999999999989</v>
      </c>
      <c r="E8" s="15">
        <f>'Fig-Tool'!BW14</f>
        <v>7.25</v>
      </c>
      <c r="F8" s="6">
        <f>'Fig-Tool'!BX14</f>
        <v>6.15</v>
      </c>
      <c r="G8" s="1">
        <f t="shared" si="1"/>
        <v>1.0999999999999996</v>
      </c>
      <c r="H8" s="1">
        <v>7</v>
      </c>
    </row>
    <row r="9" spans="2:12" ht="16" customHeight="1" x14ac:dyDescent="0.2">
      <c r="B9" s="19">
        <f>'Fig-Tool'!BL15</f>
        <v>228.7</v>
      </c>
      <c r="C9" s="19">
        <f>'Fig-Tool'!BK15</f>
        <v>239.4</v>
      </c>
      <c r="D9" s="1">
        <f t="shared" si="0"/>
        <v>-10.700000000000017</v>
      </c>
      <c r="E9" s="15">
        <f>'Fig-Tool'!BW15</f>
        <v>9.0499999999999989</v>
      </c>
      <c r="F9" s="6">
        <f>'Fig-Tool'!BX15</f>
        <v>15.35</v>
      </c>
      <c r="G9" s="1">
        <f t="shared" si="1"/>
        <v>-6.3000000000000007</v>
      </c>
      <c r="H9" s="1">
        <v>8</v>
      </c>
    </row>
    <row r="10" spans="2:12" ht="16" customHeight="1" x14ac:dyDescent="0.2">
      <c r="B10" s="19">
        <f>'Fig-Tool'!BL16</f>
        <v>228</v>
      </c>
      <c r="C10" s="19">
        <f>'Fig-Tool'!BK16</f>
        <v>221.9</v>
      </c>
      <c r="D10" s="1">
        <f t="shared" si="0"/>
        <v>6.0999999999999943</v>
      </c>
      <c r="E10" s="15">
        <f>'Fig-Tool'!BW16</f>
        <v>21.15</v>
      </c>
      <c r="F10" s="6">
        <f>'Fig-Tool'!BX16</f>
        <v>19.850000000000001</v>
      </c>
      <c r="G10" s="1">
        <f t="shared" si="1"/>
        <v>1.2999999999999972</v>
      </c>
      <c r="H10" s="1">
        <v>9</v>
      </c>
    </row>
    <row r="11" spans="2:12" ht="16" customHeight="1" x14ac:dyDescent="0.2">
      <c r="B11" s="19">
        <f>'Fig-Tool'!BL17</f>
        <v>246.4</v>
      </c>
      <c r="C11" s="19">
        <f>'Fig-Tool'!BK17</f>
        <v>224.2</v>
      </c>
      <c r="D11" s="1">
        <f t="shared" si="0"/>
        <v>22.200000000000017</v>
      </c>
      <c r="E11" s="15">
        <f>'Fig-Tool'!BW17</f>
        <v>11.35</v>
      </c>
      <c r="F11" s="6">
        <f>'Fig-Tool'!BX17</f>
        <v>12.85</v>
      </c>
      <c r="G11" s="1">
        <f t="shared" si="1"/>
        <v>-1.5</v>
      </c>
      <c r="H11" s="1">
        <v>10</v>
      </c>
    </row>
    <row r="12" spans="2:12" ht="16" customHeight="1" x14ac:dyDescent="0.2">
      <c r="B12" s="19">
        <f>'Fig-Tool'!BL18</f>
        <v>276.7</v>
      </c>
      <c r="C12" s="19">
        <f>'Fig-Tool'!BK18</f>
        <v>251</v>
      </c>
      <c r="D12" s="1">
        <f t="shared" si="0"/>
        <v>25.699999999999989</v>
      </c>
      <c r="E12" s="15">
        <f>'Fig-Tool'!BW18</f>
        <v>7.8999999999999995</v>
      </c>
      <c r="F12" s="6">
        <f>'Fig-Tool'!BX18</f>
        <v>12.3</v>
      </c>
      <c r="G12" s="1">
        <f t="shared" si="1"/>
        <v>-4.4000000000000012</v>
      </c>
      <c r="H12" s="1">
        <v>11</v>
      </c>
    </row>
    <row r="13" spans="2:12" ht="16" customHeight="1" x14ac:dyDescent="0.2">
      <c r="B13" s="19">
        <f>'Fig-Tool'!BL19</f>
        <v>278.3</v>
      </c>
      <c r="C13" s="19">
        <f>'Fig-Tool'!BK19</f>
        <v>256.39999999999998</v>
      </c>
      <c r="D13" s="1">
        <f t="shared" si="0"/>
        <v>21.900000000000034</v>
      </c>
      <c r="E13" s="15">
        <f>'Fig-Tool'!BW19</f>
        <v>10.549999999999999</v>
      </c>
      <c r="F13" s="6">
        <f>'Fig-Tool'!BX19</f>
        <v>15.85</v>
      </c>
      <c r="G13" s="1">
        <f t="shared" si="1"/>
        <v>-5.3000000000000007</v>
      </c>
      <c r="H13" s="1">
        <v>12</v>
      </c>
    </row>
    <row r="14" spans="2:12" ht="16" customHeight="1" x14ac:dyDescent="0.2">
      <c r="B14" s="19">
        <f>'Fig-Tool'!BL20</f>
        <v>279</v>
      </c>
      <c r="C14" s="19">
        <f>'Fig-Tool'!BK20</f>
        <v>257.5</v>
      </c>
      <c r="D14" s="1">
        <f t="shared" si="0"/>
        <v>21.5</v>
      </c>
      <c r="E14" s="15">
        <f>'Fig-Tool'!BW20</f>
        <v>15.299999999999999</v>
      </c>
      <c r="F14" s="6">
        <f>'Fig-Tool'!BX20</f>
        <v>18.099999999999998</v>
      </c>
      <c r="G14" s="1">
        <f t="shared" si="1"/>
        <v>-2.7999999999999989</v>
      </c>
      <c r="H14" s="1">
        <v>13</v>
      </c>
    </row>
    <row r="15" spans="2:12" ht="16" customHeight="1" x14ac:dyDescent="0.2">
      <c r="B15" s="19">
        <f>'Fig-Tool'!BL21</f>
        <v>278.39999999999998</v>
      </c>
      <c r="C15" s="19">
        <f>'Fig-Tool'!BK21</f>
        <v>269.10000000000002</v>
      </c>
      <c r="D15" s="1">
        <f t="shared" si="0"/>
        <v>9.2999999999999545</v>
      </c>
      <c r="E15" s="15">
        <f>'Fig-Tool'!BW21</f>
        <v>12.9</v>
      </c>
      <c r="F15" s="6">
        <f>'Fig-Tool'!BX21</f>
        <v>15.299999999999999</v>
      </c>
      <c r="G15" s="1">
        <f t="shared" si="1"/>
        <v>-2.3999999999999986</v>
      </c>
      <c r="H15" s="1">
        <v>14</v>
      </c>
    </row>
    <row r="16" spans="2:12" ht="16" customHeight="1" x14ac:dyDescent="0.2">
      <c r="B16" s="19">
        <f>'Fig-Tool'!BL22</f>
        <v>283.8</v>
      </c>
      <c r="C16" s="19">
        <f>'Fig-Tool'!BK22</f>
        <v>273.2</v>
      </c>
      <c r="D16" s="1">
        <f t="shared" si="0"/>
        <v>10.600000000000023</v>
      </c>
      <c r="E16" s="15">
        <f>'Fig-Tool'!BW22</f>
        <v>13.4</v>
      </c>
      <c r="F16" s="6">
        <f>'Fig-Tool'!BX22</f>
        <v>15.799999999999999</v>
      </c>
      <c r="G16" s="1">
        <f t="shared" si="1"/>
        <v>-2.3999999999999986</v>
      </c>
      <c r="H16" s="1">
        <v>15</v>
      </c>
    </row>
    <row r="17" spans="1:8" ht="16" customHeight="1" x14ac:dyDescent="0.2">
      <c r="B17" s="19" t="str">
        <f>'Fig-Tool'!BB23</f>
        <v/>
      </c>
      <c r="C17" s="19" t="str">
        <f>'Fig-Tool'!BA23</f>
        <v/>
      </c>
      <c r="D17" s="1" t="str">
        <f t="shared" si="0"/>
        <v/>
      </c>
      <c r="E17" s="15" t="str">
        <f>'Fig-Tool'!BW23</f>
        <v/>
      </c>
      <c r="F17" s="6" t="str">
        <f>'Fig-Tool'!BX23</f>
        <v/>
      </c>
      <c r="G17" s="1" t="str">
        <f t="shared" si="1"/>
        <v/>
      </c>
      <c r="H17" s="1" t="s">
        <v>58</v>
      </c>
    </row>
    <row r="18" spans="1:8" ht="16" customHeight="1" x14ac:dyDescent="0.2">
      <c r="B18" s="19" t="str">
        <f>'Fig-Tool'!BB24</f>
        <v/>
      </c>
      <c r="C18" s="19" t="str">
        <f>'Fig-Tool'!BA24</f>
        <v/>
      </c>
      <c r="D18" s="1" t="str">
        <f t="shared" si="0"/>
        <v/>
      </c>
      <c r="E18" s="15" t="str">
        <f>'Fig-Tool'!BW24</f>
        <v/>
      </c>
      <c r="F18" s="6" t="str">
        <f>'Fig-Tool'!BX24</f>
        <v/>
      </c>
      <c r="G18" s="1" t="str">
        <f t="shared" si="1"/>
        <v/>
      </c>
      <c r="H18" s="1" t="s">
        <v>58</v>
      </c>
    </row>
    <row r="19" spans="1:8" ht="16" customHeight="1" x14ac:dyDescent="0.2">
      <c r="B19" s="19" t="str">
        <f>'Fig-Tool'!BB25</f>
        <v/>
      </c>
      <c r="C19" s="19" t="str">
        <f>'Fig-Tool'!BA25</f>
        <v/>
      </c>
      <c r="D19" s="1" t="str">
        <f t="shared" si="0"/>
        <v/>
      </c>
      <c r="E19" s="15" t="str">
        <f>'Fig-Tool'!BW25</f>
        <v/>
      </c>
      <c r="F19" s="6" t="str">
        <f>'Fig-Tool'!BX25</f>
        <v/>
      </c>
      <c r="G19" s="1" t="str">
        <f t="shared" si="1"/>
        <v/>
      </c>
      <c r="H19" s="1" t="s">
        <v>58</v>
      </c>
    </row>
    <row r="20" spans="1:8" ht="16" customHeight="1" x14ac:dyDescent="0.2">
      <c r="D20" s="1" t="str">
        <f t="shared" si="0"/>
        <v/>
      </c>
      <c r="E20" s="15" t="str">
        <f>'Fig-Tool'!BW26</f>
        <v/>
      </c>
      <c r="F20" s="6" t="str">
        <f>'Fig-Tool'!BX26</f>
        <v/>
      </c>
      <c r="G20" s="1" t="str">
        <f t="shared" si="1"/>
        <v/>
      </c>
      <c r="H20" s="1" t="s">
        <v>58</v>
      </c>
    </row>
    <row r="21" spans="1:8" ht="16" customHeight="1" x14ac:dyDescent="0.2">
      <c r="B21" s="10"/>
      <c r="C21" s="10"/>
      <c r="D21" s="10" t="str">
        <f t="shared" si="0"/>
        <v/>
      </c>
      <c r="E21" s="23" t="str">
        <f>'Fig-Tool'!BW27</f>
        <v/>
      </c>
      <c r="F21" s="22" t="str">
        <f>'Fig-Tool'!BX27</f>
        <v/>
      </c>
      <c r="G21" s="10" t="str">
        <f t="shared" si="1"/>
        <v/>
      </c>
      <c r="H21" s="1" t="s">
        <v>58</v>
      </c>
    </row>
    <row r="22" spans="1:8" ht="16" customHeight="1" x14ac:dyDescent="0.2">
      <c r="A22" s="27" t="s">
        <v>77</v>
      </c>
      <c r="B22" s="30">
        <f xml:space="preserve"> AVERAGE(B2:B21)</f>
        <v>226.85333333333338</v>
      </c>
      <c r="C22" s="30">
        <f t="shared" ref="C22:G22" si="2" xml:space="preserve"> AVERAGE(C2:C21)</f>
        <v>220.74666666666664</v>
      </c>
      <c r="D22" s="30">
        <f t="shared" si="2"/>
        <v>6.10666666666667</v>
      </c>
      <c r="E22" s="31">
        <f t="shared" si="2"/>
        <v>14.48666666666667</v>
      </c>
      <c r="F22" s="32">
        <f t="shared" si="2"/>
        <v>17.086666666666666</v>
      </c>
      <c r="G22" s="32">
        <f t="shared" si="2"/>
        <v>-2.6</v>
      </c>
    </row>
    <row r="23" spans="1:8" ht="16" customHeight="1" x14ac:dyDescent="0.2">
      <c r="A23" s="27" t="s">
        <v>76</v>
      </c>
      <c r="B23" s="30">
        <f xml:space="preserve"> _xlfn.STDEV.S(B2:B21)</f>
        <v>46.206521906183788</v>
      </c>
      <c r="C23" s="30">
        <f t="shared" ref="C23:G23" si="3" xml:space="preserve"> _xlfn.STDEV.S(C2:C21)</f>
        <v>39.998319012297571</v>
      </c>
      <c r="D23" s="30">
        <f t="shared" si="3"/>
        <v>13.0196262107123</v>
      </c>
      <c r="E23" s="31">
        <f t="shared" si="3"/>
        <v>4.891956469066133</v>
      </c>
      <c r="F23" s="32">
        <f t="shared" si="3"/>
        <v>5.3118286690671601</v>
      </c>
      <c r="G23" s="32">
        <f t="shared" si="3"/>
        <v>4.3150898020782833</v>
      </c>
    </row>
    <row r="25" spans="1:8" ht="16" customHeight="1" x14ac:dyDescent="0.2">
      <c r="B25" s="18" t="s">
        <v>6</v>
      </c>
      <c r="C25" s="1" t="s">
        <v>117</v>
      </c>
      <c r="D25" s="73">
        <f xml:space="preserve"> ROUND(_xlfn.NORM.S.DIST(B27/SQRT(2),TRUE),3)</f>
        <v>0.63</v>
      </c>
      <c r="E25" s="29" t="s">
        <v>13</v>
      </c>
      <c r="F25" s="1" t="s">
        <v>117</v>
      </c>
      <c r="G25" s="74">
        <f xml:space="preserve"> ROUND(_xlfn.NORM.S.DIST(E27/SQRT(2),TRUE),3)</f>
        <v>0.33500000000000002</v>
      </c>
    </row>
    <row r="26" spans="1:8" ht="16" customHeight="1" x14ac:dyDescent="0.25">
      <c r="B26" s="10" t="s">
        <v>80</v>
      </c>
      <c r="C26" s="10" t="s">
        <v>3</v>
      </c>
      <c r="D26" s="10" t="s">
        <v>4</v>
      </c>
      <c r="E26" s="14" t="s">
        <v>80</v>
      </c>
      <c r="F26" s="10" t="s">
        <v>3</v>
      </c>
      <c r="G26" s="10" t="s">
        <v>4</v>
      </c>
    </row>
    <row r="27" spans="1:8" ht="16" customHeight="1" x14ac:dyDescent="0.2">
      <c r="B27" s="12">
        <f xml:space="preserve"> D22/D23</f>
        <v>0.4690354828806238</v>
      </c>
      <c r="C27" s="12">
        <f xml:space="preserve"> CORREL(B2:B21,C2:C21)</f>
        <v>0.96456820859636827</v>
      </c>
      <c r="D27" s="12">
        <f xml:space="preserve"> STEYX(C2:C21,B2:B21)</f>
        <v>10.951262591897878</v>
      </c>
      <c r="E27" s="28">
        <f xml:space="preserve"> G22/G23</f>
        <v>-0.60253670705711804</v>
      </c>
      <c r="F27" s="13">
        <f xml:space="preserve"> CORREL(E2:E21,F2:F21)</f>
        <v>0.64511177972357414</v>
      </c>
      <c r="G27" s="13">
        <f xml:space="preserve"> STEYX(F2:F21,E2:E21)</f>
        <v>4.2119179117591274</v>
      </c>
    </row>
    <row r="28" spans="1:8" ht="16" customHeight="1" x14ac:dyDescent="0.2">
      <c r="E28" s="11"/>
    </row>
    <row r="29" spans="1:8" ht="16" customHeight="1" x14ac:dyDescent="0.25">
      <c r="B29" s="10" t="s">
        <v>78</v>
      </c>
      <c r="C29" s="10" t="s">
        <v>39</v>
      </c>
      <c r="D29" s="10" t="s">
        <v>79</v>
      </c>
      <c r="E29" s="14" t="s">
        <v>78</v>
      </c>
      <c r="F29" s="10" t="s">
        <v>39</v>
      </c>
      <c r="G29" s="10" t="s">
        <v>79</v>
      </c>
    </row>
    <row r="30" spans="1:8" ht="16" customHeight="1" x14ac:dyDescent="0.2">
      <c r="B30" s="12">
        <f>ROUND((1-(3/(4*COUNT(B2:B21)-9))),3)</f>
        <v>0.94099999999999995</v>
      </c>
      <c r="C30" s="12">
        <f xml:space="preserve"> ROUND(B27*B30,3)</f>
        <v>0.441</v>
      </c>
      <c r="D30" s="12">
        <f>ROUND( ((1/COUNT(D2:D21))+((B27^2)/(2*(COUNT(D2:D21)))))*2*(1-C27)*(B30^2),3)</f>
        <v>5.0000000000000001E-3</v>
      </c>
      <c r="E30" s="28">
        <f>ROUND((1-(3/(4*COUNT(E2:E21)-9))),3)</f>
        <v>0.94099999999999995</v>
      </c>
      <c r="F30" s="13">
        <f xml:space="preserve"> ROUND(E27*E30,3)</f>
        <v>-0.56699999999999995</v>
      </c>
      <c r="G30" s="13">
        <f>ROUND( ((1/COUNT(G2:G21))+((E27^2)/(2*(COUNT(G2:G21)))))*2*(1-F27)*(E30^2),3)</f>
        <v>0.05</v>
      </c>
    </row>
    <row r="31" spans="1:8" ht="16" customHeight="1" x14ac:dyDescent="0.2">
      <c r="E31" s="11"/>
    </row>
  </sheetData>
  <mergeCells count="1">
    <mergeCell ref="I2:K2"/>
  </mergeCells>
  <pageMargins left="0.7" right="0.7" top="0.78740157499999996" bottom="0.78740157499999996" header="0.3" footer="0.3"/>
  <pageSetup paperSize="9" orientation="portrait" horizontalDpi="0" verticalDpi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A7DBB4-D934-D24F-9592-6E5A6E9315E6}">
  <sheetPr>
    <tabColor rgb="FFFFFF00"/>
  </sheetPr>
  <dimension ref="A1:L31"/>
  <sheetViews>
    <sheetView zoomScale="159" zoomScaleNormal="160" workbookViewId="0">
      <selection activeCell="F27" sqref="F27"/>
    </sheetView>
  </sheetViews>
  <sheetFormatPr baseColWidth="10" defaultColWidth="10.83203125" defaultRowHeight="16" customHeight="1" x14ac:dyDescent="0.2"/>
  <cols>
    <col min="1" max="16384" width="10.83203125" style="1"/>
  </cols>
  <sheetData>
    <row r="1" spans="2:12" ht="16" customHeight="1" x14ac:dyDescent="0.2">
      <c r="B1" s="7" t="s">
        <v>7</v>
      </c>
      <c r="C1" s="7" t="s">
        <v>6</v>
      </c>
      <c r="D1" s="7" t="s">
        <v>8</v>
      </c>
      <c r="E1" s="8" t="s">
        <v>9</v>
      </c>
      <c r="F1" s="9" t="s">
        <v>10</v>
      </c>
      <c r="G1" s="9" t="s">
        <v>11</v>
      </c>
      <c r="H1" s="10" t="s">
        <v>12</v>
      </c>
      <c r="I1" s="10"/>
      <c r="J1" s="21"/>
      <c r="K1" s="21"/>
      <c r="L1" s="21"/>
    </row>
    <row r="2" spans="2:12" ht="16" customHeight="1" x14ac:dyDescent="0.2">
      <c r="B2" s="19">
        <f>'Fig-Tool'!BQ8</f>
        <v>220.9</v>
      </c>
      <c r="C2" s="19">
        <f>'Fig-Tool'!BP8</f>
        <v>235</v>
      </c>
      <c r="D2" s="1">
        <f xml:space="preserve"> IF(COUNT(B2:C2)&gt;1,B2-C2,"")</f>
        <v>-14.099999999999994</v>
      </c>
      <c r="E2" s="15">
        <f>'Fig-Tool'!CD8</f>
        <v>5.55</v>
      </c>
      <c r="F2" s="6">
        <f>'Fig-Tool'!CE8</f>
        <v>7.45</v>
      </c>
      <c r="G2" s="1">
        <f xml:space="preserve"> IF(COUNT(E2:F2)&gt;1,E2-F2,"")</f>
        <v>-1.9000000000000004</v>
      </c>
      <c r="H2" s="1">
        <v>1</v>
      </c>
      <c r="I2" s="81" t="s">
        <v>126</v>
      </c>
      <c r="J2" s="81"/>
      <c r="K2" s="81"/>
      <c r="L2" s="17" t="str">
        <f xml:space="preserve"> "n = "&amp;MAX(H2:H21)</f>
        <v>n = 8</v>
      </c>
    </row>
    <row r="3" spans="2:12" ht="16" customHeight="1" x14ac:dyDescent="0.2">
      <c r="B3" s="19">
        <f>'Fig-Tool'!BQ9</f>
        <v>152.19999999999999</v>
      </c>
      <c r="C3" s="19">
        <f>'Fig-Tool'!BP9</f>
        <v>154.19999999999999</v>
      </c>
      <c r="D3" s="1">
        <f t="shared" ref="D3:D21" si="0" xml:space="preserve"> IF(COUNT(B3:C3)&gt;1,B3-C3,"")</f>
        <v>-2</v>
      </c>
      <c r="E3" s="15">
        <f>'Fig-Tool'!CD9</f>
        <v>6.8500000000000005</v>
      </c>
      <c r="F3" s="6">
        <f>'Fig-Tool'!CE9</f>
        <v>7.95</v>
      </c>
      <c r="G3" s="1">
        <f t="shared" ref="G3:G21" si="1" xml:space="preserve"> IF(COUNT(E3:F3)&gt;1,E3-F3,"")</f>
        <v>-1.0999999999999996</v>
      </c>
      <c r="H3" s="1">
        <v>2</v>
      </c>
    </row>
    <row r="4" spans="2:12" ht="16" customHeight="1" x14ac:dyDescent="0.2">
      <c r="B4" s="19">
        <f>'Fig-Tool'!BQ10</f>
        <v>152.9</v>
      </c>
      <c r="C4" s="19">
        <f>'Fig-Tool'!BP10</f>
        <v>136.19999999999999</v>
      </c>
      <c r="D4" s="1">
        <f t="shared" si="0"/>
        <v>16.700000000000017</v>
      </c>
      <c r="E4" s="15">
        <f>'Fig-Tool'!CD10</f>
        <v>23.75</v>
      </c>
      <c r="F4" s="6">
        <f>'Fig-Tool'!CE10</f>
        <v>13.049999999999999</v>
      </c>
      <c r="G4" s="1">
        <f t="shared" si="1"/>
        <v>10.700000000000001</v>
      </c>
      <c r="H4" s="1">
        <v>3</v>
      </c>
    </row>
    <row r="5" spans="2:12" ht="16" customHeight="1" x14ac:dyDescent="0.2">
      <c r="B5" s="19">
        <f>'Fig-Tool'!BQ11</f>
        <v>132.1</v>
      </c>
      <c r="C5" s="19">
        <f>'Fig-Tool'!BP11</f>
        <v>138.80000000000001</v>
      </c>
      <c r="D5" s="1">
        <f t="shared" si="0"/>
        <v>-6.7000000000000171</v>
      </c>
      <c r="E5" s="15">
        <f>'Fig-Tool'!CD11</f>
        <v>18.350000000000001</v>
      </c>
      <c r="F5" s="6">
        <f>'Fig-Tool'!CE11</f>
        <v>14.65</v>
      </c>
      <c r="G5" s="1">
        <f t="shared" si="1"/>
        <v>3.7000000000000011</v>
      </c>
      <c r="H5" s="1">
        <v>4</v>
      </c>
    </row>
    <row r="6" spans="2:12" ht="16" customHeight="1" x14ac:dyDescent="0.2">
      <c r="B6" s="19">
        <f>'Fig-Tool'!BQ12</f>
        <v>111.2</v>
      </c>
      <c r="C6" s="19">
        <f>'Fig-Tool'!BP12</f>
        <v>128.9</v>
      </c>
      <c r="D6" s="1">
        <f t="shared" si="0"/>
        <v>-17.700000000000003</v>
      </c>
      <c r="E6" s="15">
        <f>'Fig-Tool'!CD12</f>
        <v>18.45</v>
      </c>
      <c r="F6" s="6">
        <f>'Fig-Tool'!CE12</f>
        <v>13.95</v>
      </c>
      <c r="G6" s="1">
        <f t="shared" si="1"/>
        <v>4.5</v>
      </c>
      <c r="H6" s="1">
        <v>5</v>
      </c>
    </row>
    <row r="7" spans="2:12" ht="16" customHeight="1" x14ac:dyDescent="0.2">
      <c r="B7" s="19">
        <f>'Fig-Tool'!BQ13</f>
        <v>109.9</v>
      </c>
      <c r="C7" s="19">
        <f>'Fig-Tool'!BP13</f>
        <v>114.8</v>
      </c>
      <c r="D7" s="1">
        <f t="shared" si="0"/>
        <v>-4.8999999999999915</v>
      </c>
      <c r="E7" s="15">
        <f>'Fig-Tool'!CD13</f>
        <v>16.349999999999998</v>
      </c>
      <c r="F7" s="6">
        <f>'Fig-Tool'!CE13</f>
        <v>11.049999999999999</v>
      </c>
      <c r="G7" s="1">
        <f t="shared" si="1"/>
        <v>5.2999999999999989</v>
      </c>
      <c r="H7" s="1">
        <v>6</v>
      </c>
    </row>
    <row r="8" spans="2:12" ht="16" customHeight="1" x14ac:dyDescent="0.2">
      <c r="B8" s="19">
        <f>'Fig-Tool'!BQ14</f>
        <v>110.6</v>
      </c>
      <c r="C8" s="19">
        <f>'Fig-Tool'!BP14</f>
        <v>111.4</v>
      </c>
      <c r="D8" s="1">
        <f t="shared" si="0"/>
        <v>-0.80000000000001137</v>
      </c>
      <c r="E8" s="15">
        <f>'Fig-Tool'!CD14</f>
        <v>15.05</v>
      </c>
      <c r="F8" s="6">
        <f>'Fig-Tool'!CE14</f>
        <v>8.9499999999999993</v>
      </c>
      <c r="G8" s="1">
        <f t="shared" si="1"/>
        <v>6.1000000000000014</v>
      </c>
      <c r="H8" s="1">
        <v>7</v>
      </c>
    </row>
    <row r="9" spans="2:12" ht="16" customHeight="1" x14ac:dyDescent="0.2">
      <c r="B9" s="19">
        <f>'Fig-Tool'!BQ15</f>
        <v>95</v>
      </c>
      <c r="C9" s="19">
        <f>'Fig-Tool'!BP15</f>
        <v>98</v>
      </c>
      <c r="D9" s="1">
        <f t="shared" si="0"/>
        <v>-3</v>
      </c>
      <c r="E9" s="15">
        <f>'Fig-Tool'!CD15</f>
        <v>15.75</v>
      </c>
      <c r="F9" s="6">
        <f>'Fig-Tool'!CE15</f>
        <v>7.0500000000000007</v>
      </c>
      <c r="G9" s="1">
        <f t="shared" si="1"/>
        <v>8.6999999999999993</v>
      </c>
      <c r="H9" s="1">
        <v>8</v>
      </c>
    </row>
    <row r="10" spans="2:12" ht="16" customHeight="1" x14ac:dyDescent="0.2">
      <c r="B10" s="19"/>
      <c r="C10" s="19"/>
      <c r="D10" s="1" t="str">
        <f t="shared" si="0"/>
        <v/>
      </c>
      <c r="E10" s="15" t="str">
        <f>'Fig-Tool'!CD16</f>
        <v/>
      </c>
      <c r="F10" s="6" t="str">
        <f>'Fig-Tool'!CE16</f>
        <v/>
      </c>
      <c r="G10" s="1" t="str">
        <f t="shared" si="1"/>
        <v/>
      </c>
      <c r="H10" s="1" t="s">
        <v>58</v>
      </c>
    </row>
    <row r="11" spans="2:12" ht="16" customHeight="1" x14ac:dyDescent="0.2">
      <c r="B11" s="19"/>
      <c r="C11" s="19"/>
      <c r="D11" s="1" t="str">
        <f t="shared" si="0"/>
        <v/>
      </c>
      <c r="E11" s="15" t="str">
        <f>'Fig-Tool'!CD17</f>
        <v/>
      </c>
      <c r="F11" s="6" t="str">
        <f>'Fig-Tool'!CE17</f>
        <v/>
      </c>
      <c r="G11" s="1" t="str">
        <f t="shared" si="1"/>
        <v/>
      </c>
      <c r="H11" s="1" t="s">
        <v>58</v>
      </c>
    </row>
    <row r="12" spans="2:12" ht="16" customHeight="1" x14ac:dyDescent="0.2">
      <c r="B12" s="19"/>
      <c r="C12" s="19"/>
      <c r="D12" s="1" t="str">
        <f t="shared" si="0"/>
        <v/>
      </c>
      <c r="E12" s="15" t="str">
        <f>'Fig-Tool'!CD18</f>
        <v/>
      </c>
      <c r="F12" s="6" t="str">
        <f>'Fig-Tool'!CE18</f>
        <v/>
      </c>
      <c r="G12" s="1" t="str">
        <f t="shared" si="1"/>
        <v/>
      </c>
      <c r="H12" s="1" t="s">
        <v>58</v>
      </c>
    </row>
    <row r="13" spans="2:12" ht="16" customHeight="1" x14ac:dyDescent="0.2">
      <c r="B13" s="19"/>
      <c r="C13" s="19"/>
      <c r="D13" s="1" t="str">
        <f t="shared" si="0"/>
        <v/>
      </c>
      <c r="E13" s="15" t="str">
        <f>'Fig-Tool'!CD19</f>
        <v/>
      </c>
      <c r="F13" s="6" t="str">
        <f>'Fig-Tool'!CE19</f>
        <v/>
      </c>
      <c r="G13" s="1" t="str">
        <f t="shared" si="1"/>
        <v/>
      </c>
      <c r="H13" s="1" t="s">
        <v>58</v>
      </c>
    </row>
    <row r="14" spans="2:12" ht="16" customHeight="1" x14ac:dyDescent="0.2">
      <c r="B14" s="19"/>
      <c r="C14" s="19"/>
      <c r="D14" s="1" t="str">
        <f t="shared" si="0"/>
        <v/>
      </c>
      <c r="E14" s="15" t="str">
        <f>'Fig-Tool'!CD20</f>
        <v/>
      </c>
      <c r="F14" s="6" t="str">
        <f>'Fig-Tool'!CE20</f>
        <v/>
      </c>
      <c r="G14" s="1" t="str">
        <f t="shared" si="1"/>
        <v/>
      </c>
      <c r="H14" s="1" t="s">
        <v>58</v>
      </c>
    </row>
    <row r="15" spans="2:12" ht="16" customHeight="1" x14ac:dyDescent="0.2">
      <c r="B15" s="19"/>
      <c r="C15" s="19"/>
      <c r="D15" s="1" t="str">
        <f t="shared" si="0"/>
        <v/>
      </c>
      <c r="E15" s="15" t="str">
        <f>'Fig-Tool'!CD21</f>
        <v/>
      </c>
      <c r="F15" s="6" t="str">
        <f>'Fig-Tool'!CE21</f>
        <v/>
      </c>
      <c r="G15" s="1" t="str">
        <f t="shared" si="1"/>
        <v/>
      </c>
      <c r="H15" s="1" t="s">
        <v>58</v>
      </c>
    </row>
    <row r="16" spans="2:12" ht="16" customHeight="1" x14ac:dyDescent="0.2">
      <c r="B16" s="19" t="str">
        <f>'Fig-Tool'!BB22</f>
        <v/>
      </c>
      <c r="C16" s="19" t="str">
        <f>'Fig-Tool'!BA22</f>
        <v/>
      </c>
      <c r="D16" s="1" t="str">
        <f t="shared" si="0"/>
        <v/>
      </c>
      <c r="E16" s="15" t="str">
        <f>'Fig-Tool'!CD22</f>
        <v/>
      </c>
      <c r="F16" s="6" t="str">
        <f>'Fig-Tool'!CE22</f>
        <v/>
      </c>
      <c r="G16" s="1" t="str">
        <f t="shared" si="1"/>
        <v/>
      </c>
      <c r="H16" s="1" t="s">
        <v>58</v>
      </c>
    </row>
    <row r="17" spans="1:8" ht="16" customHeight="1" x14ac:dyDescent="0.2">
      <c r="B17" s="19" t="str">
        <f>'Fig-Tool'!BB23</f>
        <v/>
      </c>
      <c r="C17" s="19" t="str">
        <f>'Fig-Tool'!BA23</f>
        <v/>
      </c>
      <c r="D17" s="1" t="str">
        <f t="shared" si="0"/>
        <v/>
      </c>
      <c r="E17" s="15" t="str">
        <f>'Fig-Tool'!CD23</f>
        <v/>
      </c>
      <c r="F17" s="6" t="str">
        <f>'Fig-Tool'!CE23</f>
        <v/>
      </c>
      <c r="G17" s="1" t="str">
        <f t="shared" si="1"/>
        <v/>
      </c>
      <c r="H17" s="1" t="s">
        <v>58</v>
      </c>
    </row>
    <row r="18" spans="1:8" ht="16" customHeight="1" x14ac:dyDescent="0.2">
      <c r="B18" s="19" t="str">
        <f>'Fig-Tool'!BB24</f>
        <v/>
      </c>
      <c r="C18" s="19" t="str">
        <f>'Fig-Tool'!BA24</f>
        <v/>
      </c>
      <c r="D18" s="1" t="str">
        <f t="shared" si="0"/>
        <v/>
      </c>
      <c r="E18" s="15" t="str">
        <f>'Fig-Tool'!CD24</f>
        <v/>
      </c>
      <c r="F18" s="6" t="str">
        <f>'Fig-Tool'!CE24</f>
        <v/>
      </c>
      <c r="G18" s="1" t="str">
        <f t="shared" si="1"/>
        <v/>
      </c>
      <c r="H18" s="1" t="s">
        <v>58</v>
      </c>
    </row>
    <row r="19" spans="1:8" ht="16" customHeight="1" x14ac:dyDescent="0.2">
      <c r="B19" s="19" t="str">
        <f>'Fig-Tool'!BB25</f>
        <v/>
      </c>
      <c r="C19" s="19" t="str">
        <f>'Fig-Tool'!BA25</f>
        <v/>
      </c>
      <c r="D19" s="1" t="str">
        <f t="shared" si="0"/>
        <v/>
      </c>
      <c r="E19" s="15" t="str">
        <f>'Fig-Tool'!CD25</f>
        <v/>
      </c>
      <c r="F19" s="6" t="str">
        <f>'Fig-Tool'!CE25</f>
        <v/>
      </c>
      <c r="G19" s="1" t="str">
        <f t="shared" si="1"/>
        <v/>
      </c>
      <c r="H19" s="1" t="s">
        <v>58</v>
      </c>
    </row>
    <row r="20" spans="1:8" ht="16" customHeight="1" x14ac:dyDescent="0.2">
      <c r="D20" s="1" t="str">
        <f t="shared" si="0"/>
        <v/>
      </c>
      <c r="E20" s="15" t="str">
        <f>'Fig-Tool'!CD26</f>
        <v/>
      </c>
      <c r="F20" s="6" t="str">
        <f>'Fig-Tool'!CE26</f>
        <v/>
      </c>
      <c r="G20" s="1" t="str">
        <f t="shared" si="1"/>
        <v/>
      </c>
      <c r="H20" s="1" t="s">
        <v>58</v>
      </c>
    </row>
    <row r="21" spans="1:8" ht="16" customHeight="1" x14ac:dyDescent="0.2">
      <c r="B21" s="10"/>
      <c r="C21" s="10"/>
      <c r="D21" s="10" t="str">
        <f t="shared" si="0"/>
        <v/>
      </c>
      <c r="E21" s="23" t="str">
        <f>'Fig-Tool'!CD27</f>
        <v/>
      </c>
      <c r="F21" s="22" t="str">
        <f>'Fig-Tool'!CE27</f>
        <v/>
      </c>
      <c r="G21" s="10" t="str">
        <f t="shared" si="1"/>
        <v/>
      </c>
      <c r="H21" s="1" t="s">
        <v>58</v>
      </c>
    </row>
    <row r="22" spans="1:8" ht="16" customHeight="1" x14ac:dyDescent="0.2">
      <c r="A22" s="27" t="s">
        <v>77</v>
      </c>
      <c r="B22" s="30">
        <f xml:space="preserve"> AVERAGE(B2:B21)</f>
        <v>135.60000000000002</v>
      </c>
      <c r="C22" s="30">
        <f t="shared" ref="C22:G22" si="2" xml:space="preserve"> AVERAGE(C2:C21)</f>
        <v>139.66249999999999</v>
      </c>
      <c r="D22" s="30">
        <f t="shared" si="2"/>
        <v>-4.0625</v>
      </c>
      <c r="E22" s="31">
        <f t="shared" si="2"/>
        <v>15.012499999999999</v>
      </c>
      <c r="F22" s="32">
        <f t="shared" si="2"/>
        <v>10.512499999999999</v>
      </c>
      <c r="G22" s="32">
        <f t="shared" si="2"/>
        <v>4.5</v>
      </c>
    </row>
    <row r="23" spans="1:8" ht="16" customHeight="1" x14ac:dyDescent="0.2">
      <c r="A23" s="27" t="s">
        <v>76</v>
      </c>
      <c r="B23" s="30">
        <f xml:space="preserve"> _xlfn.STDEV.S(B2:B21)</f>
        <v>40.342108451166816</v>
      </c>
      <c r="C23" s="30">
        <f t="shared" ref="C23:G23" si="3" xml:space="preserve"> _xlfn.STDEV.S(C2:C21)</f>
        <v>42.395786094509837</v>
      </c>
      <c r="D23" s="30">
        <f t="shared" si="3"/>
        <v>10.292152003208217</v>
      </c>
      <c r="E23" s="31">
        <f t="shared" si="3"/>
        <v>6.0686401159685612</v>
      </c>
      <c r="F23" s="32">
        <f t="shared" si="3"/>
        <v>3.0714991686238715</v>
      </c>
      <c r="G23" s="32">
        <f t="shared" si="3"/>
        <v>4.3464271041199547</v>
      </c>
    </row>
    <row r="25" spans="1:8" ht="16" customHeight="1" x14ac:dyDescent="0.2">
      <c r="B25" s="18" t="s">
        <v>6</v>
      </c>
      <c r="C25" s="1" t="s">
        <v>117</v>
      </c>
      <c r="D25" s="73">
        <f xml:space="preserve"> ROUND(_xlfn.NORM.S.DIST(B27/SQRT(2),TRUE),3)</f>
        <v>0.39</v>
      </c>
      <c r="E25" s="29" t="s">
        <v>13</v>
      </c>
      <c r="F25" s="1" t="s">
        <v>117</v>
      </c>
      <c r="G25" s="74">
        <f xml:space="preserve"> ROUND(_xlfn.NORM.S.DIST(E27/SQRT(2),TRUE),3)</f>
        <v>0.76800000000000002</v>
      </c>
    </row>
    <row r="26" spans="1:8" ht="16" customHeight="1" x14ac:dyDescent="0.25">
      <c r="B26" s="10" t="s">
        <v>80</v>
      </c>
      <c r="C26" s="10" t="s">
        <v>3</v>
      </c>
      <c r="D26" s="10" t="s">
        <v>4</v>
      </c>
      <c r="E26" s="14" t="s">
        <v>80</v>
      </c>
      <c r="F26" s="10" t="s">
        <v>3</v>
      </c>
      <c r="G26" s="10" t="s">
        <v>4</v>
      </c>
    </row>
    <row r="27" spans="1:8" ht="16" customHeight="1" x14ac:dyDescent="0.2">
      <c r="B27" s="12">
        <f xml:space="preserve"> D22/D23</f>
        <v>-0.39471822790157568</v>
      </c>
      <c r="C27" s="12">
        <f xml:space="preserve"> CORREL(B2:B21,C2:C21)</f>
        <v>0.97026583178807768</v>
      </c>
      <c r="D27" s="12">
        <f xml:space="preserve"> STEYX(C2:C21,B2:B21)</f>
        <v>11.083741720065897</v>
      </c>
      <c r="E27" s="28">
        <f xml:space="preserve"> G22/G23</f>
        <v>1.0353331350557966</v>
      </c>
      <c r="F27" s="13">
        <f xml:space="preserve"> CORREL(E2:E21,F2:F21)</f>
        <v>0.7342095288270003</v>
      </c>
      <c r="G27" s="13">
        <f xml:space="preserve"> STEYX(F2:F21,E2:E21)</f>
        <v>2.2523935993259596</v>
      </c>
    </row>
    <row r="28" spans="1:8" ht="16" customHeight="1" x14ac:dyDescent="0.2">
      <c r="E28" s="11"/>
    </row>
    <row r="29" spans="1:8" ht="16" customHeight="1" x14ac:dyDescent="0.25">
      <c r="B29" s="10" t="s">
        <v>78</v>
      </c>
      <c r="C29" s="10" t="s">
        <v>39</v>
      </c>
      <c r="D29" s="10" t="s">
        <v>79</v>
      </c>
      <c r="E29" s="14" t="s">
        <v>78</v>
      </c>
      <c r="F29" s="10" t="s">
        <v>39</v>
      </c>
      <c r="G29" s="10" t="s">
        <v>79</v>
      </c>
    </row>
    <row r="30" spans="1:8" ht="16" customHeight="1" x14ac:dyDescent="0.2">
      <c r="B30" s="12">
        <f>ROUND((1-(3/(4*COUNT(B2:B21)-9))),3)</f>
        <v>0.87</v>
      </c>
      <c r="C30" s="12">
        <f xml:space="preserve"> ROUND(B27*B30,3)</f>
        <v>-0.34300000000000003</v>
      </c>
      <c r="D30" s="12">
        <f>ROUND( ((1/COUNT(D2:D21))+((B27^2)/(2*(COUNT(D2:D21)))))*2*(1-C27)*(B30^2),3)</f>
        <v>6.0000000000000001E-3</v>
      </c>
      <c r="E30" s="28">
        <f>ROUND((1-(3/(4*COUNT(E2:E21)-9))),3)</f>
        <v>0.87</v>
      </c>
      <c r="F30" s="13">
        <f xml:space="preserve"> ROUND(E27*E30,3)</f>
        <v>0.90100000000000002</v>
      </c>
      <c r="G30" s="13">
        <f>ROUND( ((1/COUNT(G2:G21))+((E27^2)/(2*(COUNT(G2:G21)))))*2*(1-F27)*(E30^2),3)</f>
        <v>7.6999999999999999E-2</v>
      </c>
    </row>
    <row r="31" spans="1:8" ht="16" customHeight="1" x14ac:dyDescent="0.2">
      <c r="E31" s="11"/>
    </row>
  </sheetData>
  <mergeCells count="1">
    <mergeCell ref="I2:K2"/>
  </mergeCells>
  <pageMargins left="0.7" right="0.7" top="0.78740157499999996" bottom="0.78740157499999996" header="0.3" footer="0.3"/>
  <pageSetup paperSize="9" orientation="portrait" horizontalDpi="0" verticalDpi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D498EC-B79B-EF47-8F2F-94E6FDAD528F}">
  <dimension ref="A1:L31"/>
  <sheetViews>
    <sheetView zoomScale="160" zoomScaleNormal="160" workbookViewId="0">
      <selection activeCell="I2" sqref="I2:K2"/>
    </sheetView>
  </sheetViews>
  <sheetFormatPr baseColWidth="10" defaultColWidth="10.83203125" defaultRowHeight="16" customHeight="1" x14ac:dyDescent="0.2"/>
  <cols>
    <col min="1" max="16384" width="10.83203125" style="1"/>
  </cols>
  <sheetData>
    <row r="1" spans="2:12" ht="16" customHeight="1" x14ac:dyDescent="0.2">
      <c r="B1" s="7" t="s">
        <v>7</v>
      </c>
      <c r="C1" s="7" t="s">
        <v>6</v>
      </c>
      <c r="D1" s="7" t="s">
        <v>8</v>
      </c>
      <c r="E1" s="8" t="s">
        <v>9</v>
      </c>
      <c r="F1" s="9" t="s">
        <v>10</v>
      </c>
      <c r="G1" s="9" t="s">
        <v>11</v>
      </c>
      <c r="H1" s="10" t="s">
        <v>12</v>
      </c>
      <c r="I1" s="10"/>
      <c r="J1" s="21"/>
      <c r="K1" s="21"/>
      <c r="L1" s="21"/>
    </row>
    <row r="2" spans="2:12" ht="16" customHeight="1" x14ac:dyDescent="0.2">
      <c r="B2" s="19"/>
      <c r="C2" s="19"/>
      <c r="D2" s="1" t="s">
        <v>58</v>
      </c>
      <c r="E2" s="20"/>
      <c r="F2" s="6"/>
      <c r="G2" s="1" t="s">
        <v>58</v>
      </c>
      <c r="H2" s="1" t="s">
        <v>58</v>
      </c>
      <c r="I2" s="81" t="s">
        <v>120</v>
      </c>
      <c r="J2" s="81"/>
      <c r="K2" s="81"/>
      <c r="L2" s="17" t="str">
        <f xml:space="preserve"> "n = "&amp;MAX(H2:H21)</f>
        <v>n = 0</v>
      </c>
    </row>
    <row r="3" spans="2:12" ht="16" customHeight="1" x14ac:dyDescent="0.2">
      <c r="B3" s="19"/>
      <c r="C3" s="19"/>
      <c r="D3" s="1" t="s">
        <v>58</v>
      </c>
      <c r="E3" s="15"/>
      <c r="F3" s="6"/>
      <c r="G3" s="1" t="s">
        <v>58</v>
      </c>
      <c r="H3" s="1" t="s">
        <v>58</v>
      </c>
    </row>
    <row r="4" spans="2:12" ht="16" customHeight="1" x14ac:dyDescent="0.2">
      <c r="B4" s="19"/>
      <c r="C4" s="19"/>
      <c r="D4" s="1" t="s">
        <v>58</v>
      </c>
      <c r="E4" s="15"/>
      <c r="F4" s="6"/>
      <c r="G4" s="1" t="s">
        <v>58</v>
      </c>
      <c r="H4" s="1" t="s">
        <v>58</v>
      </c>
    </row>
    <row r="5" spans="2:12" ht="16" customHeight="1" x14ac:dyDescent="0.2">
      <c r="B5" s="19"/>
      <c r="C5" s="19"/>
      <c r="D5" s="1" t="s">
        <v>58</v>
      </c>
      <c r="E5" s="15"/>
      <c r="F5" s="6"/>
      <c r="G5" s="1" t="s">
        <v>58</v>
      </c>
      <c r="H5" s="1" t="s">
        <v>58</v>
      </c>
    </row>
    <row r="6" spans="2:12" ht="16" customHeight="1" x14ac:dyDescent="0.2">
      <c r="B6" s="19"/>
      <c r="C6" s="19"/>
      <c r="D6" s="1" t="s">
        <v>58</v>
      </c>
      <c r="E6" s="15"/>
      <c r="F6" s="6"/>
      <c r="G6" s="1" t="s">
        <v>58</v>
      </c>
      <c r="H6" s="1" t="s">
        <v>58</v>
      </c>
    </row>
    <row r="7" spans="2:12" ht="16" customHeight="1" x14ac:dyDescent="0.2">
      <c r="B7" s="19"/>
      <c r="C7" s="19"/>
      <c r="D7" s="1" t="s">
        <v>58</v>
      </c>
      <c r="E7" s="15"/>
      <c r="F7" s="6"/>
      <c r="G7" s="1" t="s">
        <v>58</v>
      </c>
      <c r="H7" s="1" t="s">
        <v>58</v>
      </c>
    </row>
    <row r="8" spans="2:12" ht="16" customHeight="1" x14ac:dyDescent="0.2">
      <c r="B8" s="19"/>
      <c r="C8" s="19"/>
      <c r="D8" s="1" t="s">
        <v>58</v>
      </c>
      <c r="E8" s="15"/>
      <c r="F8" s="6"/>
      <c r="G8" s="1" t="s">
        <v>58</v>
      </c>
      <c r="H8" s="1" t="s">
        <v>58</v>
      </c>
    </row>
    <row r="9" spans="2:12" ht="16" customHeight="1" x14ac:dyDescent="0.2">
      <c r="B9" s="19"/>
      <c r="C9" s="19"/>
      <c r="D9" s="1" t="s">
        <v>58</v>
      </c>
      <c r="E9" s="15"/>
      <c r="F9" s="6"/>
      <c r="G9" s="1" t="s">
        <v>58</v>
      </c>
      <c r="H9" s="1" t="s">
        <v>58</v>
      </c>
    </row>
    <row r="10" spans="2:12" ht="16" customHeight="1" x14ac:dyDescent="0.2">
      <c r="B10" s="19"/>
      <c r="C10" s="19"/>
      <c r="D10" s="1" t="s">
        <v>58</v>
      </c>
      <c r="E10" s="15"/>
      <c r="F10" s="6"/>
      <c r="G10" s="1" t="s">
        <v>58</v>
      </c>
      <c r="H10" s="1" t="s">
        <v>58</v>
      </c>
    </row>
    <row r="11" spans="2:12" ht="16" customHeight="1" x14ac:dyDescent="0.2">
      <c r="B11" s="19"/>
      <c r="C11" s="19"/>
      <c r="D11" s="1" t="s">
        <v>58</v>
      </c>
      <c r="E11" s="15"/>
      <c r="F11" s="6"/>
      <c r="G11" s="1" t="s">
        <v>58</v>
      </c>
      <c r="H11" s="1" t="s">
        <v>58</v>
      </c>
    </row>
    <row r="12" spans="2:12" ht="16" customHeight="1" x14ac:dyDescent="0.2">
      <c r="B12" s="19"/>
      <c r="C12" s="19"/>
      <c r="D12" s="1" t="s">
        <v>58</v>
      </c>
      <c r="E12" s="15"/>
      <c r="F12" s="6"/>
      <c r="G12" s="1" t="s">
        <v>58</v>
      </c>
      <c r="H12" s="1" t="s">
        <v>58</v>
      </c>
    </row>
    <row r="13" spans="2:12" ht="16" customHeight="1" x14ac:dyDescent="0.2">
      <c r="B13" s="19"/>
      <c r="C13" s="19"/>
      <c r="D13" s="1" t="s">
        <v>58</v>
      </c>
      <c r="E13" s="15"/>
      <c r="F13" s="6"/>
      <c r="G13" s="1" t="s">
        <v>58</v>
      </c>
      <c r="H13" s="1" t="s">
        <v>58</v>
      </c>
    </row>
    <row r="14" spans="2:12" ht="16" customHeight="1" x14ac:dyDescent="0.2">
      <c r="B14" s="19"/>
      <c r="C14" s="19"/>
      <c r="D14" s="1" t="s">
        <v>58</v>
      </c>
      <c r="E14" s="15"/>
      <c r="F14" s="6"/>
      <c r="G14" s="1" t="s">
        <v>58</v>
      </c>
      <c r="H14" s="1" t="s">
        <v>58</v>
      </c>
    </row>
    <row r="15" spans="2:12" ht="16" customHeight="1" x14ac:dyDescent="0.2">
      <c r="B15" s="19"/>
      <c r="C15" s="19"/>
      <c r="D15" s="1" t="s">
        <v>58</v>
      </c>
      <c r="E15" s="15"/>
      <c r="F15" s="6"/>
      <c r="G15" s="1" t="s">
        <v>58</v>
      </c>
      <c r="H15" s="1" t="s">
        <v>58</v>
      </c>
    </row>
    <row r="16" spans="2:12" ht="16" customHeight="1" x14ac:dyDescent="0.2">
      <c r="B16" s="19" t="str">
        <f>'Fig-Tool'!BB22</f>
        <v/>
      </c>
      <c r="C16" s="19" t="str">
        <f>'Fig-Tool'!BA22</f>
        <v/>
      </c>
      <c r="D16" s="1" t="s">
        <v>58</v>
      </c>
      <c r="E16" s="15"/>
      <c r="F16" s="6"/>
      <c r="G16" s="1" t="s">
        <v>58</v>
      </c>
      <c r="H16" s="1" t="s">
        <v>58</v>
      </c>
    </row>
    <row r="17" spans="1:8" ht="16" customHeight="1" x14ac:dyDescent="0.2">
      <c r="B17" s="19" t="str">
        <f>'Fig-Tool'!BB23</f>
        <v/>
      </c>
      <c r="C17" s="19" t="str">
        <f>'Fig-Tool'!BA23</f>
        <v/>
      </c>
      <c r="D17" s="1" t="s">
        <v>58</v>
      </c>
      <c r="E17" s="15"/>
      <c r="F17" s="6"/>
      <c r="G17" s="1" t="s">
        <v>58</v>
      </c>
      <c r="H17" s="1" t="s">
        <v>58</v>
      </c>
    </row>
    <row r="18" spans="1:8" ht="16" customHeight="1" x14ac:dyDescent="0.2">
      <c r="B18" s="19" t="str">
        <f>'Fig-Tool'!BB24</f>
        <v/>
      </c>
      <c r="C18" s="19" t="str">
        <f>'Fig-Tool'!BA24</f>
        <v/>
      </c>
      <c r="D18" s="1" t="s">
        <v>58</v>
      </c>
      <c r="E18" s="11"/>
      <c r="G18" s="1" t="s">
        <v>58</v>
      </c>
      <c r="H18" s="1" t="s">
        <v>58</v>
      </c>
    </row>
    <row r="19" spans="1:8" ht="16" customHeight="1" x14ac:dyDescent="0.2">
      <c r="B19" s="19" t="str">
        <f>'Fig-Tool'!BB25</f>
        <v/>
      </c>
      <c r="C19" s="19" t="str">
        <f>'Fig-Tool'!BA25</f>
        <v/>
      </c>
      <c r="D19" s="1" t="s">
        <v>58</v>
      </c>
      <c r="E19" s="11"/>
      <c r="G19" s="1" t="s">
        <v>58</v>
      </c>
      <c r="H19" s="1" t="s">
        <v>58</v>
      </c>
    </row>
    <row r="20" spans="1:8" ht="16" customHeight="1" x14ac:dyDescent="0.2">
      <c r="D20" s="1" t="s">
        <v>58</v>
      </c>
      <c r="E20" s="11"/>
      <c r="G20" s="1" t="s">
        <v>58</v>
      </c>
      <c r="H20" s="1" t="s">
        <v>58</v>
      </c>
    </row>
    <row r="21" spans="1:8" ht="16" customHeight="1" x14ac:dyDescent="0.2">
      <c r="B21" s="10"/>
      <c r="C21" s="10"/>
      <c r="D21" s="10" t="s">
        <v>58</v>
      </c>
      <c r="E21" s="14"/>
      <c r="F21" s="10"/>
      <c r="G21" s="10" t="s">
        <v>58</v>
      </c>
      <c r="H21" s="1" t="s">
        <v>58</v>
      </c>
    </row>
    <row r="22" spans="1:8" ht="16" customHeight="1" x14ac:dyDescent="0.2">
      <c r="A22" s="27" t="s">
        <v>77</v>
      </c>
      <c r="B22" s="30" t="s">
        <v>58</v>
      </c>
      <c r="C22" s="30" t="s">
        <v>58</v>
      </c>
      <c r="D22" s="30" t="s">
        <v>58</v>
      </c>
      <c r="E22" s="33" t="s">
        <v>58</v>
      </c>
      <c r="F22" s="32" t="s">
        <v>58</v>
      </c>
      <c r="G22" s="32" t="s">
        <v>58</v>
      </c>
    </row>
    <row r="23" spans="1:8" ht="16" customHeight="1" x14ac:dyDescent="0.2">
      <c r="A23" s="27" t="s">
        <v>76</v>
      </c>
      <c r="B23" s="30" t="s">
        <v>58</v>
      </c>
      <c r="C23" s="30" t="s">
        <v>58</v>
      </c>
      <c r="D23" s="30" t="s">
        <v>58</v>
      </c>
      <c r="E23" s="31" t="s">
        <v>58</v>
      </c>
      <c r="F23" s="32" t="s">
        <v>58</v>
      </c>
      <c r="G23" s="32" t="s">
        <v>58</v>
      </c>
    </row>
    <row r="25" spans="1:8" ht="16" customHeight="1" x14ac:dyDescent="0.2">
      <c r="B25" s="18" t="s">
        <v>6</v>
      </c>
      <c r="E25" s="29" t="s">
        <v>13</v>
      </c>
    </row>
    <row r="26" spans="1:8" ht="16" customHeight="1" x14ac:dyDescent="0.25">
      <c r="B26" s="10" t="s">
        <v>80</v>
      </c>
      <c r="C26" s="10" t="s">
        <v>3</v>
      </c>
      <c r="D26" s="10" t="s">
        <v>4</v>
      </c>
      <c r="E26" s="14" t="s">
        <v>80</v>
      </c>
      <c r="F26" s="10" t="s">
        <v>3</v>
      </c>
      <c r="G26" s="10" t="s">
        <v>4</v>
      </c>
    </row>
    <row r="27" spans="1:8" ht="16" customHeight="1" x14ac:dyDescent="0.2">
      <c r="B27" s="12" t="e">
        <f xml:space="preserve"> D22/D23</f>
        <v>#VALUE!</v>
      </c>
      <c r="C27" s="12" t="e">
        <f xml:space="preserve"> CORREL(B2:B21,C2:C21)</f>
        <v>#DIV/0!</v>
      </c>
      <c r="D27" s="12" t="e">
        <f xml:space="preserve"> STEYX(C2:C21,B2:B21)</f>
        <v>#DIV/0!</v>
      </c>
      <c r="E27" s="28" t="e">
        <f xml:space="preserve"> G22/G23</f>
        <v>#VALUE!</v>
      </c>
      <c r="F27" s="13" t="e">
        <f xml:space="preserve"> CORREL(E2:E21,F2:F21)</f>
        <v>#DIV/0!</v>
      </c>
      <c r="G27" s="13" t="e">
        <f xml:space="preserve"> STEYX(F2:F21,E2:E21)</f>
        <v>#DIV/0!</v>
      </c>
    </row>
    <row r="28" spans="1:8" ht="16" customHeight="1" x14ac:dyDescent="0.2">
      <c r="E28" s="11"/>
    </row>
    <row r="29" spans="1:8" ht="16" customHeight="1" x14ac:dyDescent="0.25">
      <c r="B29" s="10" t="s">
        <v>78</v>
      </c>
      <c r="C29" s="10" t="s">
        <v>39</v>
      </c>
      <c r="D29" s="10" t="s">
        <v>79</v>
      </c>
      <c r="E29" s="14" t="s">
        <v>78</v>
      </c>
      <c r="F29" s="10" t="s">
        <v>39</v>
      </c>
      <c r="G29" s="10" t="s">
        <v>79</v>
      </c>
    </row>
    <row r="30" spans="1:8" ht="16" customHeight="1" x14ac:dyDescent="0.2">
      <c r="B30" s="12">
        <f>ROUND((1-(3/(4*COUNT(B2:B21)-9))),3)</f>
        <v>1.333</v>
      </c>
      <c r="C30" s="12" t="e">
        <f xml:space="preserve"> ROUND(B27*B30,3)</f>
        <v>#VALUE!</v>
      </c>
      <c r="D30" s="12" t="e">
        <f>ROUND( ((1/COUNT(D2:D21))+((B27^2)/(2*(COUNT(D2:D21)))))*2*(1-C27)*(B30^2),3)</f>
        <v>#DIV/0!</v>
      </c>
      <c r="E30" s="28">
        <f>ROUND((1-(3/(4*COUNT(E2:E21)-9))),3)</f>
        <v>1.333</v>
      </c>
      <c r="F30" s="13" t="e">
        <f xml:space="preserve"> ROUND(E27*E30,3)</f>
        <v>#VALUE!</v>
      </c>
      <c r="G30" s="13" t="e">
        <f>ROUND( ((1/COUNT(G2:G21))+((E27^2)/(2*(COUNT(G2:G21)))))*2*(1-F27)*(E30^2),3)</f>
        <v>#DIV/0!</v>
      </c>
    </row>
    <row r="31" spans="1:8" ht="16" customHeight="1" x14ac:dyDescent="0.2">
      <c r="E31" s="11"/>
    </row>
  </sheetData>
  <mergeCells count="1">
    <mergeCell ref="I2:K2"/>
  </mergeCells>
  <pageMargins left="0.7" right="0.7" top="0.78740157499999996" bottom="0.78740157499999996" header="0.3" footer="0.3"/>
  <pageSetup paperSize="9" orientation="portrait" horizontalDpi="0" verticalDpi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4CBB9F-E6D7-E74D-A5A7-1ACE7F63C85A}">
  <dimension ref="B1:CE28"/>
  <sheetViews>
    <sheetView topLeftCell="BT1" zoomScale="189" zoomScaleNormal="140" workbookViewId="0">
      <selection activeCell="CA16" sqref="CA16"/>
    </sheetView>
  </sheetViews>
  <sheetFormatPr baseColWidth="10" defaultColWidth="7.6640625" defaultRowHeight="16" x14ac:dyDescent="0.2"/>
  <cols>
    <col min="1" max="16384" width="7.6640625" style="2"/>
  </cols>
  <sheetData>
    <row r="1" spans="2:83" x14ac:dyDescent="0.2">
      <c r="B1" s="82" t="s">
        <v>22</v>
      </c>
      <c r="C1" s="82"/>
      <c r="D1" s="82"/>
      <c r="E1" s="82"/>
      <c r="F1" s="82"/>
      <c r="G1" s="82" t="s">
        <v>23</v>
      </c>
      <c r="H1" s="82"/>
      <c r="I1" s="82"/>
      <c r="J1" s="82"/>
      <c r="K1" s="82"/>
      <c r="L1" s="82" t="s">
        <v>24</v>
      </c>
      <c r="M1" s="82"/>
      <c r="N1" s="82"/>
      <c r="O1" s="82"/>
      <c r="P1" s="82"/>
      <c r="Q1" s="82" t="s">
        <v>25</v>
      </c>
      <c r="R1" s="82"/>
      <c r="S1" s="82"/>
      <c r="T1" s="82"/>
      <c r="U1" s="82"/>
      <c r="V1" s="82" t="s">
        <v>26</v>
      </c>
      <c r="W1" s="82"/>
      <c r="X1" s="82"/>
      <c r="Y1" s="82"/>
      <c r="Z1" s="82"/>
      <c r="AA1" s="82"/>
      <c r="AB1" s="82"/>
      <c r="AC1" s="82" t="s">
        <v>34</v>
      </c>
      <c r="AD1" s="82"/>
      <c r="AE1" s="82"/>
      <c r="AF1" s="82"/>
      <c r="AG1" s="82"/>
      <c r="AH1" s="82"/>
      <c r="AI1" s="82"/>
      <c r="AJ1" s="82" t="s">
        <v>35</v>
      </c>
      <c r="AK1" s="82"/>
      <c r="AL1" s="82"/>
      <c r="AM1" s="82"/>
      <c r="AN1" s="82"/>
      <c r="AO1" s="82"/>
      <c r="AP1" s="82"/>
      <c r="AQ1" s="82" t="s">
        <v>36</v>
      </c>
      <c r="AR1" s="82"/>
      <c r="AS1" s="82"/>
      <c r="AT1" s="82"/>
      <c r="AU1" s="82"/>
      <c r="AV1" s="82"/>
      <c r="AW1" s="82"/>
      <c r="AX1" s="82" t="s">
        <v>37</v>
      </c>
      <c r="AY1" s="82"/>
      <c r="AZ1" s="82"/>
      <c r="BA1" s="82"/>
      <c r="BB1" s="82"/>
      <c r="BC1" s="82" t="s">
        <v>38</v>
      </c>
      <c r="BD1" s="82"/>
      <c r="BE1" s="82"/>
      <c r="BF1" s="82"/>
      <c r="BG1" s="82"/>
      <c r="BH1" s="82" t="s">
        <v>121</v>
      </c>
      <c r="BI1" s="82"/>
      <c r="BJ1" s="82"/>
      <c r="BK1" s="82"/>
      <c r="BL1" s="82"/>
      <c r="BM1" s="82" t="s">
        <v>122</v>
      </c>
      <c r="BN1" s="82"/>
      <c r="BO1" s="82"/>
      <c r="BP1" s="82"/>
      <c r="BQ1" s="82"/>
      <c r="BR1" s="82" t="s">
        <v>127</v>
      </c>
      <c r="BS1" s="82"/>
      <c r="BT1" s="82"/>
      <c r="BU1" s="82"/>
      <c r="BV1" s="82"/>
      <c r="BW1" s="82"/>
      <c r="BX1" s="82"/>
      <c r="BY1" s="82" t="s">
        <v>128</v>
      </c>
      <c r="BZ1" s="82"/>
      <c r="CA1" s="82"/>
      <c r="CB1" s="82"/>
      <c r="CC1" s="82"/>
      <c r="CD1" s="82"/>
      <c r="CE1" s="82"/>
    </row>
    <row r="2" spans="2:83" x14ac:dyDescent="0.2">
      <c r="B2" s="83" t="s">
        <v>18</v>
      </c>
      <c r="C2" s="83"/>
      <c r="D2" s="83" t="s">
        <v>19</v>
      </c>
      <c r="E2" s="83"/>
      <c r="G2" s="83" t="s">
        <v>18</v>
      </c>
      <c r="H2" s="83"/>
      <c r="I2" s="83" t="s">
        <v>19</v>
      </c>
      <c r="J2" s="83"/>
      <c r="L2" s="83" t="s">
        <v>18</v>
      </c>
      <c r="M2" s="83"/>
      <c r="N2" s="83" t="s">
        <v>19</v>
      </c>
      <c r="O2" s="83"/>
      <c r="Q2" s="83" t="s">
        <v>18</v>
      </c>
      <c r="R2" s="83"/>
      <c r="S2" s="83" t="s">
        <v>19</v>
      </c>
      <c r="T2" s="83"/>
      <c r="V2" s="83" t="s">
        <v>18</v>
      </c>
      <c r="W2" s="83"/>
      <c r="X2" s="83" t="s">
        <v>19</v>
      </c>
      <c r="Y2" s="83"/>
      <c r="AC2" s="83" t="s">
        <v>18</v>
      </c>
      <c r="AD2" s="83"/>
      <c r="AE2" s="83" t="s">
        <v>19</v>
      </c>
      <c r="AF2" s="83"/>
      <c r="AJ2" s="83" t="s">
        <v>18</v>
      </c>
      <c r="AK2" s="83"/>
      <c r="AL2" s="83" t="s">
        <v>19</v>
      </c>
      <c r="AM2" s="83"/>
      <c r="AQ2" s="83" t="s">
        <v>18</v>
      </c>
      <c r="AR2" s="83"/>
      <c r="AS2" s="83" t="s">
        <v>19</v>
      </c>
      <c r="AT2" s="83"/>
      <c r="AX2" s="83" t="s">
        <v>18</v>
      </c>
      <c r="AY2" s="83"/>
      <c r="AZ2" s="83" t="s">
        <v>19</v>
      </c>
      <c r="BA2" s="83"/>
      <c r="BC2" s="83" t="s">
        <v>18</v>
      </c>
      <c r="BD2" s="83"/>
      <c r="BE2" s="83" t="s">
        <v>19</v>
      </c>
      <c r="BF2" s="83"/>
      <c r="BH2" s="83" t="s">
        <v>18</v>
      </c>
      <c r="BI2" s="83"/>
      <c r="BJ2" s="83" t="s">
        <v>19</v>
      </c>
      <c r="BK2" s="83"/>
      <c r="BM2" s="83" t="s">
        <v>18</v>
      </c>
      <c r="BN2" s="83"/>
      <c r="BO2" s="83" t="s">
        <v>19</v>
      </c>
      <c r="BP2" s="83"/>
      <c r="BR2" s="83" t="s">
        <v>18</v>
      </c>
      <c r="BS2" s="83"/>
      <c r="BT2" s="83" t="s">
        <v>19</v>
      </c>
      <c r="BU2" s="83"/>
      <c r="BY2" s="83" t="s">
        <v>18</v>
      </c>
      <c r="BZ2" s="83"/>
      <c r="CA2" s="83" t="s">
        <v>19</v>
      </c>
      <c r="CB2" s="83"/>
    </row>
    <row r="3" spans="2:83" x14ac:dyDescent="0.2">
      <c r="B3" s="2">
        <v>0</v>
      </c>
      <c r="C3" s="2">
        <v>400</v>
      </c>
      <c r="D3" s="2">
        <v>0</v>
      </c>
      <c r="E3" s="2">
        <v>400</v>
      </c>
      <c r="G3" s="2">
        <v>0</v>
      </c>
      <c r="H3" s="2">
        <v>400</v>
      </c>
      <c r="I3" s="2">
        <v>0</v>
      </c>
      <c r="J3" s="2">
        <v>400</v>
      </c>
      <c r="L3" s="2">
        <v>0</v>
      </c>
      <c r="M3" s="2">
        <v>30</v>
      </c>
      <c r="N3" s="2">
        <v>0</v>
      </c>
      <c r="O3" s="2">
        <v>30</v>
      </c>
      <c r="Q3" s="2">
        <v>0</v>
      </c>
      <c r="R3" s="2">
        <v>30</v>
      </c>
      <c r="S3" s="2">
        <v>0</v>
      </c>
      <c r="T3" s="2">
        <v>30</v>
      </c>
      <c r="V3" s="2">
        <v>150</v>
      </c>
      <c r="W3" s="2">
        <v>350</v>
      </c>
      <c r="X3" s="2">
        <v>-40</v>
      </c>
      <c r="Y3" s="2">
        <v>100</v>
      </c>
      <c r="AC3" s="2">
        <v>150</v>
      </c>
      <c r="AD3" s="2">
        <v>350</v>
      </c>
      <c r="AE3" s="2">
        <v>-40</v>
      </c>
      <c r="AF3" s="2">
        <v>100</v>
      </c>
      <c r="AJ3" s="2">
        <v>0</v>
      </c>
      <c r="AK3" s="2">
        <v>40</v>
      </c>
      <c r="AL3" s="2">
        <v>-25</v>
      </c>
      <c r="AM3" s="2">
        <v>10</v>
      </c>
      <c r="AQ3" s="2">
        <v>0</v>
      </c>
      <c r="AR3" s="2">
        <v>40</v>
      </c>
      <c r="AS3" s="2">
        <v>-25</v>
      </c>
      <c r="AT3" s="2">
        <v>10</v>
      </c>
      <c r="AX3" s="2">
        <v>0</v>
      </c>
      <c r="AY3" s="2">
        <v>400</v>
      </c>
      <c r="AZ3" s="2">
        <v>0</v>
      </c>
      <c r="BA3" s="2">
        <v>400</v>
      </c>
      <c r="BC3" s="2">
        <v>0</v>
      </c>
      <c r="BD3" s="2">
        <v>30</v>
      </c>
      <c r="BE3" s="2">
        <v>0</v>
      </c>
      <c r="BF3" s="2">
        <v>30</v>
      </c>
      <c r="BH3" s="2">
        <v>0</v>
      </c>
      <c r="BI3" s="2">
        <v>300</v>
      </c>
      <c r="BJ3" s="2">
        <v>0</v>
      </c>
      <c r="BK3" s="2">
        <v>300</v>
      </c>
      <c r="BM3" s="2">
        <v>0</v>
      </c>
      <c r="BN3" s="2">
        <v>240</v>
      </c>
      <c r="BO3" s="2">
        <v>0</v>
      </c>
      <c r="BP3" s="2">
        <v>240</v>
      </c>
      <c r="BR3" s="2">
        <v>5</v>
      </c>
      <c r="BS3" s="2">
        <v>25</v>
      </c>
      <c r="BT3" s="2">
        <v>-10</v>
      </c>
      <c r="BU3" s="2">
        <v>15</v>
      </c>
      <c r="BY3" s="2">
        <v>5</v>
      </c>
      <c r="BZ3" s="2">
        <v>25</v>
      </c>
      <c r="CA3" s="2">
        <v>-15</v>
      </c>
      <c r="CB3" s="2">
        <v>10</v>
      </c>
    </row>
    <row r="4" spans="2:83" x14ac:dyDescent="0.2">
      <c r="B4" s="2">
        <v>7.43</v>
      </c>
      <c r="C4" s="2">
        <v>37.93</v>
      </c>
      <c r="G4" s="2">
        <v>8.19</v>
      </c>
      <c r="H4" s="2">
        <v>38.08</v>
      </c>
      <c r="L4" s="2">
        <v>5.52</v>
      </c>
      <c r="M4" s="2">
        <v>38.159999999999997</v>
      </c>
      <c r="Q4" s="2">
        <v>5.83</v>
      </c>
      <c r="R4" s="2">
        <v>37.82</v>
      </c>
      <c r="V4" s="2">
        <v>9.0500000000000007</v>
      </c>
      <c r="W4" s="2">
        <v>38.01</v>
      </c>
      <c r="AC4" s="2">
        <v>8.81</v>
      </c>
      <c r="AD4" s="2">
        <v>37.799999999999997</v>
      </c>
      <c r="AJ4" s="2">
        <v>7.47</v>
      </c>
      <c r="AK4" s="2">
        <v>38.450000000000003</v>
      </c>
      <c r="AQ4" s="2">
        <v>6.92</v>
      </c>
      <c r="AR4" s="2">
        <v>37.08</v>
      </c>
      <c r="AX4" s="2">
        <v>5.54</v>
      </c>
      <c r="AY4" s="2">
        <v>38.479999999999997</v>
      </c>
      <c r="BC4" s="2">
        <v>5.81</v>
      </c>
      <c r="BD4" s="2">
        <v>38.340000000000003</v>
      </c>
      <c r="BH4" s="2">
        <v>5.86</v>
      </c>
      <c r="BI4" s="2">
        <v>37.82</v>
      </c>
      <c r="BM4" s="2">
        <v>5.52</v>
      </c>
      <c r="BN4" s="2">
        <v>38.54</v>
      </c>
      <c r="BR4" s="2">
        <v>7.67</v>
      </c>
      <c r="BS4" s="2">
        <v>36.28</v>
      </c>
      <c r="BY4" s="2">
        <v>6.95</v>
      </c>
      <c r="BZ4" s="2">
        <v>35.64</v>
      </c>
    </row>
    <row r="5" spans="2:83" x14ac:dyDescent="0.2">
      <c r="D5" s="2">
        <v>23</v>
      </c>
      <c r="E5" s="2">
        <v>2.69</v>
      </c>
      <c r="I5" s="2">
        <v>22.98</v>
      </c>
      <c r="J5" s="2">
        <v>3.13</v>
      </c>
      <c r="N5" s="2">
        <v>22.94</v>
      </c>
      <c r="O5" s="2">
        <v>2.2799999999999998</v>
      </c>
      <c r="S5" s="2">
        <v>23.75</v>
      </c>
      <c r="T5" s="2">
        <v>2.5099999999999998</v>
      </c>
      <c r="X5" s="2">
        <v>23.21</v>
      </c>
      <c r="Y5" s="2">
        <v>4.1500000000000004</v>
      </c>
      <c r="AE5" s="2">
        <v>23.09</v>
      </c>
      <c r="AF5" s="2">
        <v>3.76</v>
      </c>
      <c r="AL5" s="2">
        <v>23.45</v>
      </c>
      <c r="AM5" s="2">
        <v>2.87</v>
      </c>
      <c r="AS5" s="2">
        <v>23.17</v>
      </c>
      <c r="AT5" s="2">
        <v>3.11</v>
      </c>
      <c r="AZ5" s="2">
        <v>25.29</v>
      </c>
      <c r="BA5" s="2">
        <v>2.31</v>
      </c>
      <c r="BE5" s="2">
        <v>25.07</v>
      </c>
      <c r="BF5" s="2">
        <v>2.09</v>
      </c>
      <c r="BJ5" s="2">
        <v>23.93</v>
      </c>
      <c r="BK5" s="2">
        <v>2.81</v>
      </c>
      <c r="BO5" s="2">
        <v>23.74</v>
      </c>
      <c r="BP5" s="2">
        <v>2.77</v>
      </c>
      <c r="BT5" s="2">
        <v>25.6</v>
      </c>
      <c r="BU5" s="2">
        <v>1.34</v>
      </c>
      <c r="CA5" s="2">
        <v>25.45</v>
      </c>
      <c r="CB5" s="2">
        <v>1.1200000000000001</v>
      </c>
    </row>
    <row r="7" spans="2:83" x14ac:dyDescent="0.2">
      <c r="C7" s="2" t="s">
        <v>20</v>
      </c>
      <c r="D7" s="2" t="s">
        <v>21</v>
      </c>
      <c r="E7" s="2" t="s">
        <v>18</v>
      </c>
      <c r="F7" s="2" t="s">
        <v>19</v>
      </c>
      <c r="H7" s="2" t="s">
        <v>20</v>
      </c>
      <c r="I7" s="2" t="s">
        <v>21</v>
      </c>
      <c r="J7" s="2" t="s">
        <v>18</v>
      </c>
      <c r="K7" s="2" t="s">
        <v>19</v>
      </c>
      <c r="M7" s="2" t="s">
        <v>20</v>
      </c>
      <c r="N7" s="2" t="s">
        <v>21</v>
      </c>
      <c r="O7" s="2" t="s">
        <v>18</v>
      </c>
      <c r="P7" s="2" t="s">
        <v>19</v>
      </c>
      <c r="R7" s="2" t="s">
        <v>20</v>
      </c>
      <c r="S7" s="2" t="s">
        <v>21</v>
      </c>
      <c r="T7" s="2" t="s">
        <v>18</v>
      </c>
      <c r="U7" s="2" t="s">
        <v>19</v>
      </c>
      <c r="W7" s="2" t="s">
        <v>20</v>
      </c>
      <c r="X7" s="2" t="s">
        <v>21</v>
      </c>
      <c r="Y7" s="2" t="s">
        <v>18</v>
      </c>
      <c r="Z7" s="2" t="s">
        <v>19</v>
      </c>
      <c r="AA7" s="2" t="s">
        <v>7</v>
      </c>
      <c r="AB7" s="2" t="s">
        <v>6</v>
      </c>
      <c r="AD7" s="2" t="s">
        <v>20</v>
      </c>
      <c r="AE7" s="2" t="s">
        <v>21</v>
      </c>
      <c r="AF7" s="2" t="s">
        <v>18</v>
      </c>
      <c r="AG7" s="2" t="s">
        <v>19</v>
      </c>
      <c r="AH7" s="2" t="s">
        <v>7</v>
      </c>
      <c r="AI7" s="2" t="s">
        <v>6</v>
      </c>
      <c r="AK7" s="2" t="s">
        <v>20</v>
      </c>
      <c r="AL7" s="2" t="s">
        <v>21</v>
      </c>
      <c r="AM7" s="2" t="s">
        <v>18</v>
      </c>
      <c r="AN7" s="2" t="s">
        <v>19</v>
      </c>
      <c r="AO7" s="2" t="s">
        <v>9</v>
      </c>
      <c r="AP7" s="2" t="s">
        <v>10</v>
      </c>
      <c r="AR7" s="2" t="s">
        <v>20</v>
      </c>
      <c r="AS7" s="2" t="s">
        <v>21</v>
      </c>
      <c r="AT7" s="2" t="s">
        <v>18</v>
      </c>
      <c r="AU7" s="2" t="s">
        <v>19</v>
      </c>
      <c r="AV7" s="2" t="s">
        <v>9</v>
      </c>
      <c r="AW7" s="2" t="s">
        <v>10</v>
      </c>
      <c r="AY7" s="2" t="s">
        <v>20</v>
      </c>
      <c r="AZ7" s="2" t="s">
        <v>21</v>
      </c>
      <c r="BA7" s="2" t="s">
        <v>18</v>
      </c>
      <c r="BB7" s="2" t="s">
        <v>19</v>
      </c>
      <c r="BD7" s="2" t="s">
        <v>20</v>
      </c>
      <c r="BE7" s="2" t="s">
        <v>21</v>
      </c>
      <c r="BF7" s="2" t="s">
        <v>18</v>
      </c>
      <c r="BG7" s="2" t="s">
        <v>19</v>
      </c>
      <c r="BI7" s="2" t="s">
        <v>20</v>
      </c>
      <c r="BJ7" s="2" t="s">
        <v>21</v>
      </c>
      <c r="BK7" s="2" t="s">
        <v>18</v>
      </c>
      <c r="BL7" s="2" t="s">
        <v>19</v>
      </c>
      <c r="BN7" s="2" t="s">
        <v>20</v>
      </c>
      <c r="BO7" s="2" t="s">
        <v>21</v>
      </c>
      <c r="BP7" s="2" t="s">
        <v>18</v>
      </c>
      <c r="BQ7" s="2" t="s">
        <v>19</v>
      </c>
      <c r="BS7" s="2" t="s">
        <v>20</v>
      </c>
      <c r="BT7" s="2" t="s">
        <v>21</v>
      </c>
      <c r="BU7" s="2" t="s">
        <v>18</v>
      </c>
      <c r="BV7" s="2" t="s">
        <v>19</v>
      </c>
      <c r="BW7" s="2" t="s">
        <v>9</v>
      </c>
      <c r="BX7" s="2" t="s">
        <v>10</v>
      </c>
      <c r="BZ7" s="2" t="s">
        <v>20</v>
      </c>
      <c r="CA7" s="2" t="s">
        <v>21</v>
      </c>
      <c r="CB7" s="2" t="s">
        <v>18</v>
      </c>
      <c r="CC7" s="2" t="s">
        <v>19</v>
      </c>
      <c r="CD7" s="2" t="s">
        <v>9</v>
      </c>
      <c r="CE7" s="2" t="s">
        <v>10</v>
      </c>
    </row>
    <row r="8" spans="2:83" x14ac:dyDescent="0.2">
      <c r="B8" s="2">
        <v>1</v>
      </c>
      <c r="C8" s="5">
        <v>21.48</v>
      </c>
      <c r="D8" s="5">
        <v>11.63</v>
      </c>
      <c r="E8" s="3">
        <v>184</v>
      </c>
      <c r="F8" s="2">
        <v>224</v>
      </c>
      <c r="G8" s="2">
        <v>1</v>
      </c>
      <c r="H8" s="5">
        <v>22.36</v>
      </c>
      <c r="I8" s="5">
        <v>11.9</v>
      </c>
      <c r="J8" s="3">
        <v>190</v>
      </c>
      <c r="K8" s="2">
        <v>223</v>
      </c>
      <c r="L8" s="2">
        <v>1</v>
      </c>
      <c r="M8" s="5">
        <v>31.63</v>
      </c>
      <c r="N8" s="5">
        <v>12.38</v>
      </c>
      <c r="O8" s="4">
        <v>24</v>
      </c>
      <c r="P8" s="2">
        <v>15.3</v>
      </c>
      <c r="Q8" s="2">
        <v>1</v>
      </c>
      <c r="R8" s="5">
        <v>14.34</v>
      </c>
      <c r="S8" s="5">
        <v>21.64</v>
      </c>
      <c r="T8" s="4">
        <v>8</v>
      </c>
      <c r="U8" s="4">
        <v>3</v>
      </c>
      <c r="V8" s="2">
        <v>1</v>
      </c>
      <c r="W8" s="5">
        <v>17.04</v>
      </c>
      <c r="X8" s="5">
        <v>20.54</v>
      </c>
      <c r="Y8" s="4">
        <v>205.2</v>
      </c>
      <c r="Z8" s="4">
        <v>-20.399999999999999</v>
      </c>
      <c r="AA8" s="4">
        <v>215.39999999999998</v>
      </c>
      <c r="AB8" s="4">
        <v>194.99999999999997</v>
      </c>
      <c r="AC8" s="2">
        <v>1</v>
      </c>
      <c r="AD8" s="5">
        <v>17.47</v>
      </c>
      <c r="AE8" s="5">
        <v>13.45</v>
      </c>
      <c r="AF8" s="4">
        <f>IF(COUNT(AC$3:AD$4,AD8)&gt;4,ROUND((AD8-AC$4)/(AD$4-AC$4)*(AD$3-AC$3)+AC$3,1),"")</f>
        <v>209.7</v>
      </c>
      <c r="AG8" s="4">
        <f>IF(COUNT(AE$3:AF$5,AE8)&gt;4,ROUND((AE8-AE$5)/(AF$5-AE$5)*(AF$3-AE$3)+AE$3,1),"")</f>
        <v>29.8</v>
      </c>
      <c r="AH8" s="4">
        <v>224.6</v>
      </c>
      <c r="AI8" s="4">
        <v>194.79999999999998</v>
      </c>
      <c r="AJ8" s="2">
        <v>1</v>
      </c>
      <c r="AK8" s="5">
        <v>31.94</v>
      </c>
      <c r="AL8" s="5">
        <v>11.22</v>
      </c>
      <c r="AM8" s="4">
        <f>IF(COUNT(AJ$3:AK$4,AK8)&gt;4,ROUND((AK8-AJ$4)/(AK$4-AJ$4)*(AK$3-AJ$3)+AJ$3,1),"")</f>
        <v>31.6</v>
      </c>
      <c r="AN8" s="4">
        <v>-4.2</v>
      </c>
      <c r="AO8" s="4">
        <v>29.5</v>
      </c>
      <c r="AP8" s="4">
        <v>33.700000000000003</v>
      </c>
      <c r="AQ8" s="2">
        <v>1</v>
      </c>
      <c r="AR8" s="5">
        <v>17.059999999999999</v>
      </c>
      <c r="AS8" s="5">
        <v>11.21</v>
      </c>
      <c r="AT8" s="4">
        <f>IF(COUNT(AQ$3:AR$4,AR8)&gt;4,ROUND((AR8-AQ$4)/(AR$4-AQ$4)*(AR$3-AQ$3)+AQ$3,1),"")</f>
        <v>13.4</v>
      </c>
      <c r="AU8" s="4">
        <v>-4.0999999999999996</v>
      </c>
      <c r="AV8" s="4">
        <v>11.350000000000001</v>
      </c>
      <c r="AW8" s="4">
        <v>15.450000000000001</v>
      </c>
      <c r="AX8" s="2">
        <v>1</v>
      </c>
      <c r="AY8" s="5">
        <v>21.04</v>
      </c>
      <c r="AZ8" s="5">
        <v>16.47</v>
      </c>
      <c r="BA8" s="4">
        <v>188.2</v>
      </c>
      <c r="BB8" s="4">
        <v>153.5</v>
      </c>
      <c r="BC8" s="2">
        <v>1</v>
      </c>
      <c r="BD8" s="5">
        <v>15.31</v>
      </c>
      <c r="BE8" s="5">
        <v>19.28</v>
      </c>
      <c r="BF8" s="4">
        <v>8.8000000000000007</v>
      </c>
      <c r="BG8" s="4">
        <f>IF(COUNT(BE$3:BF$5,BE8)&gt;4,ROUND((BE8-BE$5)/(BF$5-BE$5)*(BF$3-BE$3)+BE$3,1),"")</f>
        <v>7.6</v>
      </c>
      <c r="BH8" s="2">
        <v>1</v>
      </c>
      <c r="BI8" s="5">
        <v>20.399999999999999</v>
      </c>
      <c r="BJ8" s="5">
        <v>14.23</v>
      </c>
      <c r="BK8" s="4">
        <f>IF(COUNT(BH$3:BI$4,BI8)&gt;4,ROUND((BI8-BH$4)/(BI$4-BH$4)*(BI$3-BH$3)+BH$3,1),"")</f>
        <v>136.5</v>
      </c>
      <c r="BL8" s="4">
        <f>IF(COUNT(BJ$3:BK$5,BJ8)&gt;4,ROUND((BJ8-BJ$5)/(BK$5-BJ$5)*(BK$3-BJ$3)+BJ$3,1),"")</f>
        <v>137.80000000000001</v>
      </c>
      <c r="BM8" s="2">
        <v>1</v>
      </c>
      <c r="BN8" s="5">
        <v>37.85</v>
      </c>
      <c r="BO8" s="5">
        <v>4.4400000000000004</v>
      </c>
      <c r="BP8" s="4">
        <f>IF(COUNT(BM$3:BN$4,BN8)&gt;4,ROUND((BN8-BM$4)/(BN$4-BM$4)*(BN$3-BM$3)+BM$3,1),"")</f>
        <v>235</v>
      </c>
      <c r="BQ8" s="4">
        <f>IF(COUNT(BO$3:BP$5,BO8)&gt;4,ROUND((BO8-BO$5)/(BP$5-BO$5)*(BP$3-BO$3)+BO$3,1),"")</f>
        <v>220.9</v>
      </c>
      <c r="BR8" s="2">
        <v>1</v>
      </c>
      <c r="BS8" s="5">
        <v>26.69</v>
      </c>
      <c r="BT8" s="5">
        <v>3.13</v>
      </c>
      <c r="BU8" s="4">
        <f>IF(COUNT(BR$3:BS$4,BS8)&gt;4,ROUND((BS8-BR$4)/(BS$4-BR$4)*(BS$3-BR$3)+BR$3,1),"")</f>
        <v>18.3</v>
      </c>
      <c r="BV8" s="4">
        <f>IF(COUNT(BT$3:BU$5,BT8)&gt;4,ROUND((BT8-BT$5)/(BU$5-BT$5)*(BU$3-BT$3)+BT$3,1),"")</f>
        <v>13.2</v>
      </c>
      <c r="BW8" s="4">
        <f>IF(COUNT(BU8:BV8)&gt;1, BU8-(BV8/2),"")</f>
        <v>11.700000000000001</v>
      </c>
      <c r="BX8" s="4">
        <f>IF(COUNT(BU8:BV8)&gt;1, BU8+(BV8/2),"")</f>
        <v>24.9</v>
      </c>
      <c r="BY8" s="2">
        <v>1</v>
      </c>
      <c r="BZ8" s="5">
        <v>9.0500000000000007</v>
      </c>
      <c r="CA8" s="5">
        <v>9.0299999999999994</v>
      </c>
      <c r="CB8" s="4">
        <f>IF(COUNT(BY$3:BZ$4,BZ8)&gt;4,ROUND((BZ8-BY$4)/(BZ$4-BY$4)*(BZ$3-BY$3)+BY$3,1),"")</f>
        <v>6.5</v>
      </c>
      <c r="CC8" s="4">
        <f>IF(COUNT(CA$3:CB$5,CA8)&gt;4,ROUND((CA8-CA$5)/(CB$5-CA$5)*(CB$3-CA$3)+CA$3,1),"")</f>
        <v>1.9</v>
      </c>
      <c r="CD8" s="4">
        <f>IF(COUNT(CB8:CC8)&gt;1, CB8-(CC8/2),"")</f>
        <v>5.55</v>
      </c>
      <c r="CE8" s="4">
        <f>IF(COUNT(CB8:CC8)&gt;1, CB8+(CC8/2),"")</f>
        <v>7.45</v>
      </c>
    </row>
    <row r="9" spans="2:83" x14ac:dyDescent="0.2">
      <c r="B9" s="2">
        <v>2</v>
      </c>
      <c r="C9" s="5">
        <v>23.06</v>
      </c>
      <c r="D9" s="5">
        <v>10.7</v>
      </c>
      <c r="E9" s="3">
        <v>205</v>
      </c>
      <c r="F9" s="2">
        <v>242</v>
      </c>
      <c r="G9" s="2">
        <v>2</v>
      </c>
      <c r="H9" s="5">
        <v>23.67</v>
      </c>
      <c r="I9" s="5">
        <v>11</v>
      </c>
      <c r="J9" s="3">
        <v>207</v>
      </c>
      <c r="K9" s="2">
        <v>241</v>
      </c>
      <c r="L9" s="2">
        <v>2</v>
      </c>
      <c r="M9" s="5">
        <v>25.07</v>
      </c>
      <c r="N9" s="5">
        <v>8.8000000000000007</v>
      </c>
      <c r="O9" s="4">
        <v>18</v>
      </c>
      <c r="P9" s="2">
        <v>20.5</v>
      </c>
      <c r="Q9" s="2">
        <v>2</v>
      </c>
      <c r="R9" s="5">
        <v>22.88</v>
      </c>
      <c r="S9" s="5">
        <v>16.690000000000001</v>
      </c>
      <c r="T9" s="4">
        <v>16</v>
      </c>
      <c r="U9" s="4">
        <v>10</v>
      </c>
      <c r="V9" s="2">
        <v>2</v>
      </c>
      <c r="W9" s="5">
        <v>20.72</v>
      </c>
      <c r="X9" s="5">
        <v>19.39</v>
      </c>
      <c r="Y9" s="4">
        <v>230.6</v>
      </c>
      <c r="Z9" s="4">
        <v>-11.9</v>
      </c>
      <c r="AA9" s="4">
        <v>236.54999999999998</v>
      </c>
      <c r="AB9" s="4">
        <v>224.64999999999998</v>
      </c>
      <c r="AC9" s="2">
        <v>2</v>
      </c>
      <c r="AD9" s="5">
        <v>19.64</v>
      </c>
      <c r="AE9" s="5">
        <v>16.98</v>
      </c>
      <c r="AF9" s="4">
        <f t="shared" ref="AF9:AF27" si="0">IF(COUNT(AC$3:AD$4,AD9)&gt;4,ROUND((AD9-AC$4)/(AD$4-AC$4)*(AD$3-AC$3)+AC$3,1),"")</f>
        <v>224.7</v>
      </c>
      <c r="AG9" s="4">
        <f t="shared" ref="AG9:AG27" si="1">IF(COUNT(AE$3:AF$5,AE9)&gt;4,ROUND((AE9-AE$5)/(AF$5-AE$5)*(AF$3-AE$3)+AE$3,1),"")</f>
        <v>4.3</v>
      </c>
      <c r="AH9" s="4">
        <v>226.85</v>
      </c>
      <c r="AI9" s="4">
        <v>222.54999999999998</v>
      </c>
      <c r="AJ9" s="2">
        <v>2</v>
      </c>
      <c r="AK9" s="5">
        <v>26.66</v>
      </c>
      <c r="AL9" s="5">
        <v>15.31</v>
      </c>
      <c r="AM9" s="4">
        <f t="shared" ref="AM9:AM27" si="2">IF(COUNT(AJ$3:AK$4,AK9)&gt;4,ROUND((AK9-AJ$4)/(AK$4-AJ$4)*(AK$3-AJ$3)+AJ$3,1),"")</f>
        <v>24.8</v>
      </c>
      <c r="AN9" s="4">
        <v>-11.2</v>
      </c>
      <c r="AO9" s="4">
        <v>19.200000000000003</v>
      </c>
      <c r="AP9" s="4">
        <v>30.400000000000002</v>
      </c>
      <c r="AQ9" s="2">
        <v>2</v>
      </c>
      <c r="AR9" s="5">
        <v>17.420000000000002</v>
      </c>
      <c r="AS9" s="5">
        <v>11.53</v>
      </c>
      <c r="AT9" s="4">
        <f t="shared" ref="AT9:AT27" si="3">IF(COUNT(AQ$3:AR$4,AR9)&gt;4,ROUND((AR9-AQ$4)/(AR$4-AQ$4)*(AR$3-AQ$3)+AQ$3,1),"")</f>
        <v>13.9</v>
      </c>
      <c r="AU9" s="4">
        <v>-4.7</v>
      </c>
      <c r="AV9" s="4">
        <v>11.55</v>
      </c>
      <c r="AW9" s="4">
        <v>16.25</v>
      </c>
      <c r="AX9" s="2">
        <v>2</v>
      </c>
      <c r="AY9" s="5">
        <v>23.26</v>
      </c>
      <c r="AZ9" s="5">
        <v>13.1</v>
      </c>
      <c r="BA9" s="4">
        <v>215.2</v>
      </c>
      <c r="BB9" s="4">
        <v>212.2</v>
      </c>
      <c r="BC9" s="2">
        <v>2</v>
      </c>
      <c r="BD9" s="5">
        <v>17.32</v>
      </c>
      <c r="BE9" s="5">
        <v>19.38</v>
      </c>
      <c r="BF9" s="4">
        <v>10.6</v>
      </c>
      <c r="BG9" s="4">
        <f t="shared" ref="BG9:BG27" si="4">IF(COUNT(BE$3:BF$5,BE9)&gt;4,ROUND((BE9-BE$5)/(BF$5-BE$5)*(BF$3-BE$3)+BE$3,1),"")</f>
        <v>7.4</v>
      </c>
      <c r="BH9" s="2">
        <v>2</v>
      </c>
      <c r="BI9" s="5">
        <v>24.21</v>
      </c>
      <c r="BJ9" s="5">
        <v>11.46</v>
      </c>
      <c r="BK9" s="4">
        <f t="shared" ref="BK9:BK27" si="5">IF(COUNT(BH$3:BI$4,BI9)&gt;4,ROUND((BI9-BH$4)/(BI$4-BH$4)*(BI$3-BH$3)+BH$3,1),"")</f>
        <v>172.2</v>
      </c>
      <c r="BL9" s="4">
        <f t="shared" ref="BL9:BL27" si="6">IF(COUNT(BJ$3:BK$5,BJ9)&gt;4,ROUND((BJ9-BJ$5)/(BK$5-BJ$5)*(BK$3-BJ$3)+BJ$3,1),"")</f>
        <v>177.1</v>
      </c>
      <c r="BM9" s="2">
        <v>2</v>
      </c>
      <c r="BN9" s="5">
        <v>26.74</v>
      </c>
      <c r="BO9" s="5">
        <v>10.44</v>
      </c>
      <c r="BP9" s="4">
        <f t="shared" ref="BP9:BP27" si="7">IF(COUNT(BM$3:BN$4,BN9)&gt;4,ROUND((BN9-BM$4)/(BN$4-BM$4)*(BN$3-BM$3)+BM$3,1),"")</f>
        <v>154.19999999999999</v>
      </c>
      <c r="BQ9" s="4">
        <f t="shared" ref="BQ9:BQ27" si="8">IF(COUNT(BO$3:BP$5,BO9)&gt;4,ROUND((BO9-BO$5)/(BP$5-BO$5)*(BP$3-BO$3)+BO$3,1),"")</f>
        <v>152.19999999999999</v>
      </c>
      <c r="BR9" s="2">
        <v>2</v>
      </c>
      <c r="BS9" s="5">
        <v>33.229999999999997</v>
      </c>
      <c r="BT9" s="5">
        <v>11.09</v>
      </c>
      <c r="BU9" s="4">
        <f t="shared" ref="BU9:BU27" si="9">IF(COUNT(BR$3:BS$4,BS9)&gt;4,ROUND((BS9-BR$4)/(BS$4-BR$4)*(BS$3-BR$3)+BR$3,1),"")</f>
        <v>22.9</v>
      </c>
      <c r="BV9" s="4">
        <f t="shared" ref="BV9:BV27" si="10">IF(COUNT(BT$3:BU$5,BT9)&gt;4,ROUND((BT9-BT$5)/(BU$5-BT$5)*(BU$3-BT$3)+BT$3,1),"")</f>
        <v>5</v>
      </c>
      <c r="BW9" s="4">
        <f t="shared" ref="BW9:BW27" si="11">IF(COUNT(BU9:BV9)&gt;1, BU9-(BV9/2),"")</f>
        <v>20.399999999999999</v>
      </c>
      <c r="BX9" s="4">
        <f t="shared" ref="BX9:BX27" si="12">IF(COUNT(BU9:BV9)&gt;1, BU9+(BV9/2),"")</f>
        <v>25.4</v>
      </c>
      <c r="BY9" s="2">
        <v>2</v>
      </c>
      <c r="BZ9" s="5">
        <v>10.42</v>
      </c>
      <c r="CA9" s="5">
        <v>9.77</v>
      </c>
      <c r="CB9" s="4">
        <f t="shared" ref="CB9:CB27" si="13">IF(COUNT(BY$3:BZ$4,BZ9)&gt;4,ROUND((BZ9-BY$4)/(BZ$4-BY$4)*(BZ$3-BY$3)+BY$3,1),"")</f>
        <v>7.4</v>
      </c>
      <c r="CC9" s="4">
        <f t="shared" ref="CC9:CC27" si="14">IF(COUNT(CA$3:CB$5,CA9)&gt;4,ROUND((CA9-CA$5)/(CB$5-CA$5)*(CB$3-CA$3)+CA$3,1),"")</f>
        <v>1.1000000000000001</v>
      </c>
      <c r="CD9" s="4">
        <f t="shared" ref="CD9:CD27" si="15">IF(COUNT(CB9:CC9)&gt;1, CB9-(CC9/2),"")</f>
        <v>6.8500000000000005</v>
      </c>
      <c r="CE9" s="4">
        <f t="shared" ref="CE9:CE27" si="16">IF(COUNT(CB9:CC9)&gt;1, CB9+(CC9/2),"")</f>
        <v>7.95</v>
      </c>
    </row>
    <row r="10" spans="2:83" x14ac:dyDescent="0.2">
      <c r="B10" s="2">
        <v>3</v>
      </c>
      <c r="C10" s="5">
        <v>22.74</v>
      </c>
      <c r="D10" s="5">
        <v>9.06</v>
      </c>
      <c r="E10" s="3">
        <v>201</v>
      </c>
      <c r="F10" s="2">
        <v>275</v>
      </c>
      <c r="G10" s="2">
        <v>3</v>
      </c>
      <c r="H10" s="5">
        <v>24.36</v>
      </c>
      <c r="I10" s="5">
        <v>9.39</v>
      </c>
      <c r="J10" s="3">
        <v>216</v>
      </c>
      <c r="K10" s="2">
        <v>274</v>
      </c>
      <c r="L10" s="2">
        <v>3</v>
      </c>
      <c r="M10" s="5">
        <v>30.54</v>
      </c>
      <c r="N10" s="5">
        <v>15.31</v>
      </c>
      <c r="O10" s="4">
        <v>23</v>
      </c>
      <c r="P10" s="2">
        <v>11.1</v>
      </c>
      <c r="Q10" s="2">
        <v>3</v>
      </c>
      <c r="R10" s="5">
        <v>23.94</v>
      </c>
      <c r="S10" s="5">
        <v>16</v>
      </c>
      <c r="T10" s="4">
        <v>17</v>
      </c>
      <c r="U10" s="4">
        <v>10.9</v>
      </c>
      <c r="V10" s="2">
        <v>3</v>
      </c>
      <c r="W10" s="5">
        <v>19.87</v>
      </c>
      <c r="X10" s="5">
        <v>18.27</v>
      </c>
      <c r="Y10" s="4">
        <v>224.7</v>
      </c>
      <c r="Z10" s="4">
        <v>-3.7</v>
      </c>
      <c r="AA10" s="4">
        <v>226.54999999999998</v>
      </c>
      <c r="AB10" s="4">
        <v>222.85</v>
      </c>
      <c r="AC10" s="2">
        <v>3</v>
      </c>
      <c r="AD10" s="5">
        <v>20.34</v>
      </c>
      <c r="AE10" s="5">
        <v>16.13</v>
      </c>
      <c r="AF10" s="4">
        <f t="shared" si="0"/>
        <v>229.5</v>
      </c>
      <c r="AG10" s="4">
        <f t="shared" si="1"/>
        <v>10.4</v>
      </c>
      <c r="AH10" s="4">
        <v>234.7</v>
      </c>
      <c r="AI10" s="4">
        <v>224.29999999999998</v>
      </c>
      <c r="AJ10" s="2">
        <v>3</v>
      </c>
      <c r="AK10" s="5">
        <v>23.9</v>
      </c>
      <c r="AL10" s="5">
        <v>10.26</v>
      </c>
      <c r="AM10" s="4">
        <f t="shared" si="2"/>
        <v>21.2</v>
      </c>
      <c r="AN10" s="4">
        <v>-2.6</v>
      </c>
      <c r="AO10" s="4">
        <v>19.899999999999999</v>
      </c>
      <c r="AP10" s="4">
        <v>22.5</v>
      </c>
      <c r="AQ10" s="2">
        <v>3</v>
      </c>
      <c r="AR10" s="5">
        <v>17.97</v>
      </c>
      <c r="AS10" s="5">
        <v>11.2</v>
      </c>
      <c r="AT10" s="4">
        <f t="shared" si="3"/>
        <v>14.7</v>
      </c>
      <c r="AU10" s="4">
        <v>-4.0999999999999996</v>
      </c>
      <c r="AV10" s="4">
        <v>12.649999999999999</v>
      </c>
      <c r="AW10" s="4">
        <v>16.75</v>
      </c>
      <c r="AX10" s="2">
        <v>3</v>
      </c>
      <c r="AY10" s="5">
        <v>23.37</v>
      </c>
      <c r="AZ10" s="5">
        <v>12.86</v>
      </c>
      <c r="BA10" s="4">
        <v>216.5</v>
      </c>
      <c r="BB10" s="4">
        <v>216.4</v>
      </c>
      <c r="BC10" s="2">
        <v>3</v>
      </c>
      <c r="BD10" s="5">
        <v>18.48</v>
      </c>
      <c r="BE10" s="5">
        <v>17.79</v>
      </c>
      <c r="BF10" s="4">
        <v>11.7</v>
      </c>
      <c r="BG10" s="4">
        <f t="shared" si="4"/>
        <v>9.5</v>
      </c>
      <c r="BH10" s="2">
        <v>3</v>
      </c>
      <c r="BI10" s="5">
        <v>24.55</v>
      </c>
      <c r="BJ10" s="5">
        <v>11.66</v>
      </c>
      <c r="BK10" s="4">
        <f t="shared" si="5"/>
        <v>175.4</v>
      </c>
      <c r="BL10" s="4">
        <f t="shared" si="6"/>
        <v>174.3</v>
      </c>
      <c r="BM10" s="2">
        <v>3</v>
      </c>
      <c r="BN10" s="5">
        <v>24.26</v>
      </c>
      <c r="BO10" s="5">
        <v>10.38</v>
      </c>
      <c r="BP10" s="4">
        <f t="shared" si="7"/>
        <v>136.19999999999999</v>
      </c>
      <c r="BQ10" s="4">
        <f t="shared" si="8"/>
        <v>152.9</v>
      </c>
      <c r="BR10" s="2">
        <v>3</v>
      </c>
      <c r="BS10" s="5">
        <v>30.61</v>
      </c>
      <c r="BT10" s="5">
        <v>11.89</v>
      </c>
      <c r="BU10" s="4">
        <f t="shared" si="9"/>
        <v>21</v>
      </c>
      <c r="BV10" s="4">
        <f t="shared" si="10"/>
        <v>4.0999999999999996</v>
      </c>
      <c r="BW10" s="4">
        <f t="shared" si="11"/>
        <v>18.95</v>
      </c>
      <c r="BX10" s="4">
        <f t="shared" si="12"/>
        <v>23.05</v>
      </c>
      <c r="BY10" s="2">
        <v>3</v>
      </c>
      <c r="BZ10" s="5">
        <v>26.15</v>
      </c>
      <c r="CA10" s="5">
        <v>21.23</v>
      </c>
      <c r="CB10" s="4">
        <f t="shared" si="13"/>
        <v>18.399999999999999</v>
      </c>
      <c r="CC10" s="4">
        <f t="shared" si="14"/>
        <v>-10.7</v>
      </c>
      <c r="CD10" s="4">
        <f t="shared" si="15"/>
        <v>23.75</v>
      </c>
      <c r="CE10" s="4">
        <f t="shared" si="16"/>
        <v>13.049999999999999</v>
      </c>
    </row>
    <row r="11" spans="2:83" x14ac:dyDescent="0.2">
      <c r="B11" s="2">
        <v>4</v>
      </c>
      <c r="C11" s="5">
        <v>24.51</v>
      </c>
      <c r="D11" s="5">
        <v>9.39</v>
      </c>
      <c r="E11" s="3">
        <v>224</v>
      </c>
      <c r="F11" s="2">
        <v>268</v>
      </c>
      <c r="G11" s="2">
        <v>4</v>
      </c>
      <c r="H11" s="5">
        <v>26.11</v>
      </c>
      <c r="I11" s="5">
        <v>9.7100000000000009</v>
      </c>
      <c r="J11" s="3">
        <v>240</v>
      </c>
      <c r="K11" s="2">
        <v>267</v>
      </c>
      <c r="L11" s="2">
        <v>4</v>
      </c>
      <c r="M11" s="5">
        <v>26.17</v>
      </c>
      <c r="N11" s="5">
        <v>16.03</v>
      </c>
      <c r="O11" s="4">
        <v>19</v>
      </c>
      <c r="P11" s="2">
        <v>10</v>
      </c>
      <c r="Q11" s="2">
        <v>4</v>
      </c>
      <c r="R11" s="5">
        <v>24.99</v>
      </c>
      <c r="S11" s="5">
        <v>15.27</v>
      </c>
      <c r="T11" s="4">
        <v>18</v>
      </c>
      <c r="U11" s="4">
        <v>12</v>
      </c>
      <c r="V11" s="2">
        <v>4</v>
      </c>
      <c r="W11" s="5">
        <v>19.05</v>
      </c>
      <c r="X11" s="5">
        <v>16.39</v>
      </c>
      <c r="Y11" s="4">
        <v>219.1</v>
      </c>
      <c r="Z11" s="4">
        <v>10.1</v>
      </c>
      <c r="AA11" s="4">
        <v>214.04999999999998</v>
      </c>
      <c r="AB11" s="4">
        <v>224.14999999999998</v>
      </c>
      <c r="AC11" s="2">
        <v>4</v>
      </c>
      <c r="AD11" s="5">
        <v>20.68</v>
      </c>
      <c r="AE11" s="5">
        <v>15.36</v>
      </c>
      <c r="AF11" s="4">
        <f t="shared" si="0"/>
        <v>231.9</v>
      </c>
      <c r="AG11" s="4">
        <f t="shared" si="1"/>
        <v>16</v>
      </c>
      <c r="AH11" s="4">
        <v>239.9</v>
      </c>
      <c r="AI11" s="4">
        <v>223.9</v>
      </c>
      <c r="AJ11" s="2">
        <v>4</v>
      </c>
      <c r="AK11" s="5">
        <v>23.77</v>
      </c>
      <c r="AL11" s="5">
        <v>13.04</v>
      </c>
      <c r="AM11" s="4">
        <f t="shared" si="2"/>
        <v>21</v>
      </c>
      <c r="AN11" s="4">
        <v>-7.3</v>
      </c>
      <c r="AO11" s="4">
        <v>17.350000000000001</v>
      </c>
      <c r="AP11" s="4">
        <v>24.650000000000002</v>
      </c>
      <c r="AQ11" s="2">
        <v>4</v>
      </c>
      <c r="AR11" s="5">
        <v>22.24</v>
      </c>
      <c r="AS11" s="5">
        <v>11.33</v>
      </c>
      <c r="AT11" s="4">
        <f t="shared" si="3"/>
        <v>20.3</v>
      </c>
      <c r="AU11" s="4">
        <v>-4.3</v>
      </c>
      <c r="AV11" s="4">
        <v>18.150000000000002</v>
      </c>
      <c r="AW11" s="4">
        <v>22.450000000000003</v>
      </c>
      <c r="AX11" s="2">
        <v>4</v>
      </c>
      <c r="AY11" s="5">
        <v>24.31</v>
      </c>
      <c r="AZ11" s="5">
        <v>13.3</v>
      </c>
      <c r="BA11" s="4">
        <v>227.9</v>
      </c>
      <c r="BB11" s="4">
        <v>208.7</v>
      </c>
      <c r="BC11" s="2">
        <v>4</v>
      </c>
      <c r="BD11" s="5">
        <v>24.07</v>
      </c>
      <c r="BE11" s="5">
        <v>18.2</v>
      </c>
      <c r="BF11" s="4">
        <v>16.8</v>
      </c>
      <c r="BG11" s="4">
        <f t="shared" si="4"/>
        <v>9</v>
      </c>
      <c r="BH11" s="2">
        <v>4</v>
      </c>
      <c r="BI11" s="5">
        <v>26.12</v>
      </c>
      <c r="BJ11" s="5">
        <v>9.98</v>
      </c>
      <c r="BK11" s="4">
        <f t="shared" si="5"/>
        <v>190.2</v>
      </c>
      <c r="BL11" s="4">
        <f t="shared" si="6"/>
        <v>198.2</v>
      </c>
      <c r="BM11" s="2">
        <v>4</v>
      </c>
      <c r="BN11" s="5">
        <v>24.61</v>
      </c>
      <c r="BO11" s="5">
        <v>12.2</v>
      </c>
      <c r="BP11" s="4">
        <f t="shared" si="7"/>
        <v>138.80000000000001</v>
      </c>
      <c r="BQ11" s="4">
        <f t="shared" si="8"/>
        <v>132.1</v>
      </c>
      <c r="BR11" s="2">
        <v>4</v>
      </c>
      <c r="BS11" s="5">
        <v>31.59</v>
      </c>
      <c r="BT11" s="5">
        <v>15.43</v>
      </c>
      <c r="BU11" s="4">
        <f t="shared" si="9"/>
        <v>21.7</v>
      </c>
      <c r="BV11" s="4">
        <f t="shared" si="10"/>
        <v>0.5</v>
      </c>
      <c r="BW11" s="4">
        <f t="shared" si="11"/>
        <v>21.45</v>
      </c>
      <c r="BX11" s="4">
        <f t="shared" si="12"/>
        <v>21.95</v>
      </c>
      <c r="BY11" s="2">
        <v>4</v>
      </c>
      <c r="BZ11" s="5">
        <v>23.41</v>
      </c>
      <c r="CA11" s="5">
        <v>14.46</v>
      </c>
      <c r="CB11" s="4">
        <f t="shared" si="13"/>
        <v>16.5</v>
      </c>
      <c r="CC11" s="4">
        <f t="shared" si="14"/>
        <v>-3.7</v>
      </c>
      <c r="CD11" s="4">
        <f t="shared" si="15"/>
        <v>18.350000000000001</v>
      </c>
      <c r="CE11" s="4">
        <f t="shared" si="16"/>
        <v>14.65</v>
      </c>
    </row>
    <row r="12" spans="2:83" x14ac:dyDescent="0.2">
      <c r="B12" s="2">
        <v>5</v>
      </c>
      <c r="C12" s="5">
        <v>25.72</v>
      </c>
      <c r="D12" s="5">
        <v>9.69</v>
      </c>
      <c r="E12" s="3">
        <v>240</v>
      </c>
      <c r="F12" s="2">
        <v>262</v>
      </c>
      <c r="G12" s="2">
        <v>5</v>
      </c>
      <c r="H12" s="5">
        <v>27.14</v>
      </c>
      <c r="I12" s="5">
        <v>10.01</v>
      </c>
      <c r="J12" s="3">
        <v>254</v>
      </c>
      <c r="K12" s="2">
        <v>261</v>
      </c>
      <c r="L12" s="2">
        <v>5</v>
      </c>
      <c r="M12" s="5">
        <v>25.07</v>
      </c>
      <c r="N12" s="5">
        <v>16.02</v>
      </c>
      <c r="O12" s="4">
        <v>18</v>
      </c>
      <c r="P12" s="2">
        <v>10</v>
      </c>
      <c r="Q12" s="2">
        <v>5</v>
      </c>
      <c r="R12" s="5">
        <v>23.96</v>
      </c>
      <c r="S12" s="5">
        <v>13.84</v>
      </c>
      <c r="T12" s="4">
        <v>17</v>
      </c>
      <c r="U12" s="4">
        <v>14</v>
      </c>
      <c r="V12" s="2">
        <v>5</v>
      </c>
      <c r="W12" s="5">
        <v>20.85</v>
      </c>
      <c r="X12" s="5">
        <v>15.45</v>
      </c>
      <c r="Y12" s="4">
        <v>231.5</v>
      </c>
      <c r="Z12" s="4">
        <v>17</v>
      </c>
      <c r="AA12" s="4">
        <v>223</v>
      </c>
      <c r="AB12" s="4">
        <v>240</v>
      </c>
      <c r="AC12" s="2">
        <v>5</v>
      </c>
      <c r="AD12" s="5">
        <v>22.25</v>
      </c>
      <c r="AE12" s="5">
        <v>16.39</v>
      </c>
      <c r="AF12" s="4">
        <f t="shared" si="0"/>
        <v>242.7</v>
      </c>
      <c r="AG12" s="4">
        <f t="shared" si="1"/>
        <v>8.5</v>
      </c>
      <c r="AH12" s="4">
        <v>246.95</v>
      </c>
      <c r="AI12" s="4">
        <v>238.45</v>
      </c>
      <c r="AJ12" s="2">
        <v>5</v>
      </c>
      <c r="AK12" s="5">
        <v>22.35</v>
      </c>
      <c r="AL12" s="5">
        <v>14.29</v>
      </c>
      <c r="AM12" s="4">
        <f t="shared" si="2"/>
        <v>19.2</v>
      </c>
      <c r="AN12" s="4">
        <v>-9.4</v>
      </c>
      <c r="AO12" s="4">
        <v>14.5</v>
      </c>
      <c r="AP12" s="4">
        <v>23.9</v>
      </c>
      <c r="AQ12" s="2">
        <v>5</v>
      </c>
      <c r="AR12" s="5">
        <v>18.329999999999998</v>
      </c>
      <c r="AS12" s="5">
        <v>13.03</v>
      </c>
      <c r="AT12" s="4">
        <f t="shared" si="3"/>
        <v>15.1</v>
      </c>
      <c r="AU12" s="4">
        <v>-7.3</v>
      </c>
      <c r="AV12" s="4">
        <v>11.45</v>
      </c>
      <c r="AW12" s="4">
        <v>18.75</v>
      </c>
      <c r="AX12" s="2">
        <v>5</v>
      </c>
      <c r="AY12" s="5">
        <v>25.37</v>
      </c>
      <c r="AZ12" s="5">
        <v>12.68</v>
      </c>
      <c r="BA12" s="4">
        <v>240.8</v>
      </c>
      <c r="BB12" s="4">
        <v>219.5</v>
      </c>
      <c r="BC12" s="2">
        <v>5</v>
      </c>
      <c r="BD12" s="5">
        <v>17.010000000000002</v>
      </c>
      <c r="BE12" s="5">
        <v>14.84</v>
      </c>
      <c r="BF12" s="4">
        <v>10.3</v>
      </c>
      <c r="BG12" s="4">
        <f t="shared" si="4"/>
        <v>13.4</v>
      </c>
      <c r="BH12" s="2">
        <v>5</v>
      </c>
      <c r="BI12" s="5">
        <v>26.49</v>
      </c>
      <c r="BJ12" s="5">
        <v>10.56</v>
      </c>
      <c r="BK12" s="4">
        <f t="shared" si="5"/>
        <v>193.6</v>
      </c>
      <c r="BL12" s="4">
        <f t="shared" si="6"/>
        <v>189.9</v>
      </c>
      <c r="BM12" s="2">
        <v>5</v>
      </c>
      <c r="BN12" s="5">
        <v>23.25</v>
      </c>
      <c r="BO12" s="5">
        <v>14.02</v>
      </c>
      <c r="BP12" s="4">
        <f t="shared" si="7"/>
        <v>128.9</v>
      </c>
      <c r="BQ12" s="4">
        <f t="shared" si="8"/>
        <v>111.2</v>
      </c>
      <c r="BR12" s="2">
        <v>5</v>
      </c>
      <c r="BS12" s="5">
        <v>26.07</v>
      </c>
      <c r="BT12" s="5">
        <v>16.55</v>
      </c>
      <c r="BU12" s="4">
        <f t="shared" si="9"/>
        <v>17.899999999999999</v>
      </c>
      <c r="BV12" s="4">
        <f t="shared" si="10"/>
        <v>-0.7</v>
      </c>
      <c r="BW12" s="4">
        <f t="shared" si="11"/>
        <v>18.25</v>
      </c>
      <c r="BX12" s="4">
        <f t="shared" si="12"/>
        <v>17.549999999999997</v>
      </c>
      <c r="BY12" s="2">
        <v>5</v>
      </c>
      <c r="BZ12" s="5">
        <v>22.96</v>
      </c>
      <c r="CA12" s="5">
        <v>15.22</v>
      </c>
      <c r="CB12" s="4">
        <f t="shared" si="13"/>
        <v>16.2</v>
      </c>
      <c r="CC12" s="4">
        <f t="shared" si="14"/>
        <v>-4.5</v>
      </c>
      <c r="CD12" s="4">
        <f t="shared" si="15"/>
        <v>18.45</v>
      </c>
      <c r="CE12" s="4">
        <f t="shared" si="16"/>
        <v>13.95</v>
      </c>
    </row>
    <row r="13" spans="2:83" x14ac:dyDescent="0.2">
      <c r="B13" s="2">
        <v>6</v>
      </c>
      <c r="C13" s="5">
        <v>26.56</v>
      </c>
      <c r="D13" s="5">
        <v>9.0299999999999994</v>
      </c>
      <c r="E13" s="3">
        <v>251</v>
      </c>
      <c r="F13" s="2">
        <v>275</v>
      </c>
      <c r="G13" s="2">
        <v>6</v>
      </c>
      <c r="H13" s="5">
        <v>27.38</v>
      </c>
      <c r="I13" s="5">
        <v>9.36</v>
      </c>
      <c r="J13" s="3">
        <v>257</v>
      </c>
      <c r="K13" s="2">
        <v>274</v>
      </c>
      <c r="L13" s="2">
        <v>6</v>
      </c>
      <c r="M13" s="5">
        <v>24</v>
      </c>
      <c r="N13" s="5">
        <v>16.03</v>
      </c>
      <c r="O13" s="4">
        <v>17</v>
      </c>
      <c r="P13" s="2">
        <v>10</v>
      </c>
      <c r="Q13" s="2">
        <v>6</v>
      </c>
      <c r="R13" s="5">
        <v>20.75</v>
      </c>
      <c r="S13" s="5">
        <v>13.87</v>
      </c>
      <c r="T13" s="4">
        <v>14</v>
      </c>
      <c r="U13" s="4">
        <v>14</v>
      </c>
      <c r="V13" s="2">
        <v>6</v>
      </c>
      <c r="W13" s="5">
        <v>20.56</v>
      </c>
      <c r="X13" s="5">
        <v>13.66</v>
      </c>
      <c r="Y13" s="4">
        <v>229.5</v>
      </c>
      <c r="Z13" s="4">
        <v>30.1</v>
      </c>
      <c r="AA13" s="4">
        <v>214.45</v>
      </c>
      <c r="AB13" s="4">
        <v>244.54999999999998</v>
      </c>
      <c r="AC13" s="2">
        <v>6</v>
      </c>
      <c r="AD13" s="5">
        <v>23.6</v>
      </c>
      <c r="AE13" s="5">
        <v>15.41</v>
      </c>
      <c r="AF13" s="4">
        <f t="shared" si="0"/>
        <v>252</v>
      </c>
      <c r="AG13" s="4">
        <f t="shared" si="1"/>
        <v>15.6</v>
      </c>
      <c r="AH13" s="4">
        <v>259.8</v>
      </c>
      <c r="AI13" s="4">
        <v>244.20000000000002</v>
      </c>
      <c r="AJ13" s="2">
        <v>6</v>
      </c>
      <c r="AK13" s="5">
        <v>20.86</v>
      </c>
      <c r="AL13" s="5">
        <v>17.48</v>
      </c>
      <c r="AM13" s="4">
        <f t="shared" si="2"/>
        <v>17.3</v>
      </c>
      <c r="AN13" s="4">
        <v>-14.8</v>
      </c>
      <c r="AO13" s="4">
        <v>9.9</v>
      </c>
      <c r="AP13" s="4">
        <v>24.700000000000003</v>
      </c>
      <c r="AQ13" s="2">
        <v>6</v>
      </c>
      <c r="AR13" s="5">
        <v>22.08</v>
      </c>
      <c r="AS13" s="5">
        <v>14.06</v>
      </c>
      <c r="AT13" s="4">
        <f t="shared" si="3"/>
        <v>20.100000000000001</v>
      </c>
      <c r="AU13" s="4">
        <v>-9.1</v>
      </c>
      <c r="AV13" s="4">
        <v>15.55</v>
      </c>
      <c r="AW13" s="4">
        <v>24.65</v>
      </c>
      <c r="AX13" s="2">
        <v>6</v>
      </c>
      <c r="AY13" s="5">
        <v>26</v>
      </c>
      <c r="AZ13" s="5">
        <v>11</v>
      </c>
      <c r="BA13" s="4">
        <v>248.5</v>
      </c>
      <c r="BB13" s="4">
        <v>248.7</v>
      </c>
      <c r="BC13" s="2">
        <v>6</v>
      </c>
      <c r="BD13" s="5">
        <v>22.26</v>
      </c>
      <c r="BE13" s="5">
        <v>15.57</v>
      </c>
      <c r="BF13" s="4">
        <v>15.2</v>
      </c>
      <c r="BG13" s="4">
        <f t="shared" si="4"/>
        <v>12.4</v>
      </c>
      <c r="BH13" s="2">
        <v>6</v>
      </c>
      <c r="BI13" s="5">
        <v>28.83</v>
      </c>
      <c r="BJ13" s="5">
        <v>9.15</v>
      </c>
      <c r="BK13" s="4">
        <f t="shared" si="5"/>
        <v>215.6</v>
      </c>
      <c r="BL13" s="4">
        <f t="shared" si="6"/>
        <v>209.9</v>
      </c>
      <c r="BM13" s="2">
        <v>6</v>
      </c>
      <c r="BN13" s="5">
        <v>21.31</v>
      </c>
      <c r="BO13" s="5">
        <v>14.14</v>
      </c>
      <c r="BP13" s="4">
        <f t="shared" si="7"/>
        <v>114.8</v>
      </c>
      <c r="BQ13" s="4">
        <f t="shared" si="8"/>
        <v>109.9</v>
      </c>
      <c r="BR13" s="2">
        <v>6</v>
      </c>
      <c r="BS13" s="5">
        <v>21.66</v>
      </c>
      <c r="BT13" s="5">
        <v>21.54</v>
      </c>
      <c r="BU13" s="4">
        <f t="shared" si="9"/>
        <v>14.8</v>
      </c>
      <c r="BV13" s="4">
        <f t="shared" si="10"/>
        <v>-5.8</v>
      </c>
      <c r="BW13" s="4">
        <f t="shared" si="11"/>
        <v>17.7</v>
      </c>
      <c r="BX13" s="4">
        <f t="shared" si="12"/>
        <v>11.9</v>
      </c>
      <c r="BY13" s="2">
        <v>6</v>
      </c>
      <c r="BZ13" s="5">
        <v>19.420000000000002</v>
      </c>
      <c r="CA13" s="5">
        <v>15.97</v>
      </c>
      <c r="CB13" s="4">
        <f t="shared" si="13"/>
        <v>13.7</v>
      </c>
      <c r="CC13" s="4">
        <f t="shared" si="14"/>
        <v>-5.3</v>
      </c>
      <c r="CD13" s="4">
        <f t="shared" si="15"/>
        <v>16.349999999999998</v>
      </c>
      <c r="CE13" s="4">
        <f t="shared" si="16"/>
        <v>11.049999999999999</v>
      </c>
    </row>
    <row r="14" spans="2:83" x14ac:dyDescent="0.2">
      <c r="B14" s="2">
        <v>7</v>
      </c>
      <c r="C14" s="5">
        <v>27.34</v>
      </c>
      <c r="D14" s="5">
        <v>8.09</v>
      </c>
      <c r="E14" s="3">
        <v>261</v>
      </c>
      <c r="F14" s="2">
        <v>294</v>
      </c>
      <c r="G14" s="2">
        <v>7</v>
      </c>
      <c r="H14" s="5">
        <v>27.8</v>
      </c>
      <c r="I14" s="5">
        <v>8.43</v>
      </c>
      <c r="J14" s="3">
        <v>262</v>
      </c>
      <c r="K14" s="2">
        <v>293</v>
      </c>
      <c r="L14" s="2">
        <v>7</v>
      </c>
      <c r="M14" s="5">
        <v>25.07</v>
      </c>
      <c r="N14" s="5">
        <v>15.31</v>
      </c>
      <c r="O14" s="4">
        <v>18</v>
      </c>
      <c r="P14" s="2">
        <v>11.1</v>
      </c>
      <c r="Q14" s="2">
        <v>7</v>
      </c>
      <c r="R14" s="5">
        <v>27.15</v>
      </c>
      <c r="S14" s="5">
        <v>15.99</v>
      </c>
      <c r="T14" s="4">
        <v>20</v>
      </c>
      <c r="U14" s="4">
        <v>11</v>
      </c>
      <c r="V14" s="2">
        <v>7</v>
      </c>
      <c r="W14" s="5">
        <v>21.81</v>
      </c>
      <c r="X14" s="5">
        <v>16.399999999999999</v>
      </c>
      <c r="Y14" s="4">
        <v>238.1</v>
      </c>
      <c r="Z14" s="4">
        <v>10</v>
      </c>
      <c r="AA14" s="4">
        <v>233.1</v>
      </c>
      <c r="AB14" s="4">
        <v>243.1</v>
      </c>
      <c r="AC14" s="2">
        <v>7</v>
      </c>
      <c r="AD14" s="5">
        <v>25.47</v>
      </c>
      <c r="AE14" s="5">
        <v>11.5</v>
      </c>
      <c r="AF14" s="4">
        <f t="shared" si="0"/>
        <v>264.89999999999998</v>
      </c>
      <c r="AG14" s="4">
        <f t="shared" si="1"/>
        <v>43.9</v>
      </c>
      <c r="AH14" s="4">
        <v>286.84999999999997</v>
      </c>
      <c r="AI14" s="4">
        <v>242.94999999999996</v>
      </c>
      <c r="AJ14" s="2">
        <v>7</v>
      </c>
      <c r="AK14" s="5">
        <v>19.87</v>
      </c>
      <c r="AL14" s="5">
        <v>18.03</v>
      </c>
      <c r="AM14" s="4">
        <f t="shared" si="2"/>
        <v>16</v>
      </c>
      <c r="AN14" s="4">
        <v>-15.8</v>
      </c>
      <c r="AO14" s="4">
        <v>8.1</v>
      </c>
      <c r="AP14" s="4">
        <v>23.9</v>
      </c>
      <c r="AQ14" s="2">
        <v>7</v>
      </c>
      <c r="AR14" s="5">
        <v>18.87</v>
      </c>
      <c r="AS14" s="5">
        <v>14.62</v>
      </c>
      <c r="AT14" s="4">
        <f t="shared" si="3"/>
        <v>15.8</v>
      </c>
      <c r="AU14" s="4">
        <v>-10.1</v>
      </c>
      <c r="AV14" s="4">
        <v>10.75</v>
      </c>
      <c r="AW14" s="4">
        <v>20.85</v>
      </c>
      <c r="AX14" s="2">
        <v>7</v>
      </c>
      <c r="AY14" s="5">
        <v>26.43</v>
      </c>
      <c r="AZ14" s="5">
        <v>10.16</v>
      </c>
      <c r="BA14" s="4">
        <v>253.7</v>
      </c>
      <c r="BB14" s="4">
        <v>263.39999999999998</v>
      </c>
      <c r="BC14" s="2">
        <v>7</v>
      </c>
      <c r="BD14" s="5">
        <v>23.01</v>
      </c>
      <c r="BE14" s="5">
        <v>14.3</v>
      </c>
      <c r="BF14" s="4">
        <v>15.9</v>
      </c>
      <c r="BG14" s="4">
        <f t="shared" si="4"/>
        <v>14.1</v>
      </c>
      <c r="BH14" s="2">
        <v>7</v>
      </c>
      <c r="BI14" s="5">
        <v>30.9</v>
      </c>
      <c r="BJ14" s="5">
        <v>8.6999999999999993</v>
      </c>
      <c r="BK14" s="4">
        <f t="shared" si="5"/>
        <v>235</v>
      </c>
      <c r="BL14" s="4">
        <f t="shared" si="6"/>
        <v>216.3</v>
      </c>
      <c r="BM14" s="2">
        <v>7</v>
      </c>
      <c r="BN14" s="5">
        <v>20.84</v>
      </c>
      <c r="BO14" s="5">
        <v>14.08</v>
      </c>
      <c r="BP14" s="4">
        <f t="shared" si="7"/>
        <v>111.4</v>
      </c>
      <c r="BQ14" s="4">
        <f t="shared" si="8"/>
        <v>110.6</v>
      </c>
      <c r="BR14" s="2">
        <v>7</v>
      </c>
      <c r="BS14" s="5">
        <v>10.08</v>
      </c>
      <c r="BT14" s="5">
        <v>16.940000000000001</v>
      </c>
      <c r="BU14" s="4">
        <f t="shared" si="9"/>
        <v>6.7</v>
      </c>
      <c r="BV14" s="4">
        <f t="shared" si="10"/>
        <v>-1.1000000000000001</v>
      </c>
      <c r="BW14" s="4">
        <f t="shared" si="11"/>
        <v>7.25</v>
      </c>
      <c r="BX14" s="4">
        <f t="shared" si="12"/>
        <v>6.15</v>
      </c>
      <c r="BY14" s="2">
        <v>7</v>
      </c>
      <c r="BZ14" s="5">
        <v>16.97</v>
      </c>
      <c r="CA14" s="5">
        <v>16.82</v>
      </c>
      <c r="CB14" s="4">
        <f t="shared" si="13"/>
        <v>12</v>
      </c>
      <c r="CC14" s="4">
        <f t="shared" si="14"/>
        <v>-6.1</v>
      </c>
      <c r="CD14" s="4">
        <f t="shared" si="15"/>
        <v>15.05</v>
      </c>
      <c r="CE14" s="4">
        <f t="shared" si="16"/>
        <v>8.9499999999999993</v>
      </c>
    </row>
    <row r="15" spans="2:83" x14ac:dyDescent="0.2">
      <c r="B15" s="2">
        <v>8</v>
      </c>
      <c r="C15" s="5">
        <v>27.88</v>
      </c>
      <c r="D15" s="5">
        <v>8.07</v>
      </c>
      <c r="E15" s="3">
        <v>268</v>
      </c>
      <c r="F15" s="2">
        <v>294</v>
      </c>
      <c r="G15" s="2">
        <v>8</v>
      </c>
      <c r="H15" s="5">
        <v>28.38</v>
      </c>
      <c r="I15" s="5">
        <v>7.96</v>
      </c>
      <c r="J15" s="3">
        <v>270</v>
      </c>
      <c r="K15" s="2">
        <v>303</v>
      </c>
      <c r="L15" s="2">
        <v>8</v>
      </c>
      <c r="M15" s="5">
        <v>21.82</v>
      </c>
      <c r="N15" s="5">
        <v>16.75</v>
      </c>
      <c r="O15" s="4">
        <v>15</v>
      </c>
      <c r="P15" s="2">
        <v>9</v>
      </c>
      <c r="Q15" s="2">
        <v>8</v>
      </c>
      <c r="R15" s="5">
        <v>29.29</v>
      </c>
      <c r="S15" s="5">
        <v>16</v>
      </c>
      <c r="T15" s="4">
        <v>22</v>
      </c>
      <c r="U15" s="4">
        <v>10.9</v>
      </c>
      <c r="V15" s="2">
        <v>8</v>
      </c>
      <c r="W15" s="5">
        <v>27.6</v>
      </c>
      <c r="X15" s="5">
        <v>14.88</v>
      </c>
      <c r="Y15" s="4">
        <v>278.10000000000002</v>
      </c>
      <c r="Z15" s="4">
        <v>21.2</v>
      </c>
      <c r="AA15" s="4">
        <v>267.5</v>
      </c>
      <c r="AB15" s="4">
        <v>288.7</v>
      </c>
      <c r="AC15" s="2">
        <v>8</v>
      </c>
      <c r="AD15" s="5">
        <v>27.97</v>
      </c>
      <c r="AE15" s="5">
        <v>14.54</v>
      </c>
      <c r="AF15" s="4">
        <f t="shared" si="0"/>
        <v>282.2</v>
      </c>
      <c r="AG15" s="4">
        <f t="shared" si="1"/>
        <v>21.9</v>
      </c>
      <c r="AH15" s="4">
        <v>293.14999999999998</v>
      </c>
      <c r="AI15" s="4">
        <v>271.25</v>
      </c>
      <c r="AJ15" s="2">
        <v>8</v>
      </c>
      <c r="AK15" s="5">
        <v>21.2</v>
      </c>
      <c r="AL15" s="5">
        <v>12.46</v>
      </c>
      <c r="AM15" s="4">
        <f t="shared" si="2"/>
        <v>17.7</v>
      </c>
      <c r="AN15" s="4">
        <v>-6.3</v>
      </c>
      <c r="AO15" s="4">
        <v>14.549999999999999</v>
      </c>
      <c r="AP15" s="4">
        <v>20.849999999999998</v>
      </c>
      <c r="AQ15" s="2">
        <v>8</v>
      </c>
      <c r="AR15" s="5">
        <v>28.16</v>
      </c>
      <c r="AS15" s="5">
        <v>15.12</v>
      </c>
      <c r="AT15" s="4">
        <f t="shared" si="3"/>
        <v>28.2</v>
      </c>
      <c r="AU15" s="4">
        <v>-11</v>
      </c>
      <c r="AV15" s="4">
        <v>22.7</v>
      </c>
      <c r="AW15" s="4">
        <v>33.700000000000003</v>
      </c>
      <c r="AX15" s="2">
        <v>8</v>
      </c>
      <c r="AY15" s="5">
        <v>28.22</v>
      </c>
      <c r="AZ15" s="5">
        <v>10.130000000000001</v>
      </c>
      <c r="BA15" s="4">
        <v>275.39999999999998</v>
      </c>
      <c r="BB15" s="4">
        <v>263.89999999999998</v>
      </c>
      <c r="BC15" s="2">
        <v>8</v>
      </c>
      <c r="BD15" s="5">
        <v>31.65</v>
      </c>
      <c r="BE15" s="5">
        <v>5.56</v>
      </c>
      <c r="BF15" s="4">
        <v>23.8</v>
      </c>
      <c r="BG15" s="4">
        <f t="shared" si="4"/>
        <v>25.5</v>
      </c>
      <c r="BH15" s="2">
        <v>8</v>
      </c>
      <c r="BI15" s="5">
        <v>31.36</v>
      </c>
      <c r="BJ15" s="5">
        <v>7.83</v>
      </c>
      <c r="BK15" s="4">
        <f t="shared" si="5"/>
        <v>239.4</v>
      </c>
      <c r="BL15" s="4">
        <f t="shared" si="6"/>
        <v>228.7</v>
      </c>
      <c r="BM15" s="2">
        <v>8</v>
      </c>
      <c r="BN15" s="5">
        <v>19</v>
      </c>
      <c r="BO15" s="5">
        <v>15.44</v>
      </c>
      <c r="BP15" s="4">
        <f t="shared" si="7"/>
        <v>98</v>
      </c>
      <c r="BQ15" s="4">
        <f t="shared" si="8"/>
        <v>95</v>
      </c>
      <c r="BR15" s="2">
        <v>8</v>
      </c>
      <c r="BS15" s="5">
        <v>18.02</v>
      </c>
      <c r="BT15" s="5">
        <v>9.76</v>
      </c>
      <c r="BU15" s="4">
        <f t="shared" si="9"/>
        <v>12.2</v>
      </c>
      <c r="BV15" s="4">
        <f t="shared" si="10"/>
        <v>6.3</v>
      </c>
      <c r="BW15" s="4">
        <f t="shared" si="11"/>
        <v>9.0499999999999989</v>
      </c>
      <c r="BX15" s="4">
        <f t="shared" si="12"/>
        <v>15.35</v>
      </c>
      <c r="BY15" s="2">
        <v>8</v>
      </c>
      <c r="BZ15" s="5">
        <v>16.170000000000002</v>
      </c>
      <c r="CA15" s="5">
        <v>19.3</v>
      </c>
      <c r="CB15" s="4">
        <f t="shared" si="13"/>
        <v>11.4</v>
      </c>
      <c r="CC15" s="4">
        <f t="shared" si="14"/>
        <v>-8.6999999999999993</v>
      </c>
      <c r="CD15" s="4">
        <f t="shared" si="15"/>
        <v>15.75</v>
      </c>
      <c r="CE15" s="4">
        <f t="shared" si="16"/>
        <v>7.0500000000000007</v>
      </c>
    </row>
    <row r="16" spans="2:83" x14ac:dyDescent="0.2">
      <c r="B16" s="2">
        <v>9</v>
      </c>
      <c r="C16" s="5">
        <v>27.95</v>
      </c>
      <c r="D16" s="5">
        <v>7.54</v>
      </c>
      <c r="E16" s="3">
        <v>269</v>
      </c>
      <c r="F16" s="2">
        <v>304</v>
      </c>
      <c r="G16" s="2">
        <v>9</v>
      </c>
      <c r="H16" s="5">
        <v>28.92</v>
      </c>
      <c r="I16" s="5">
        <v>8.42</v>
      </c>
      <c r="J16" s="3">
        <v>277</v>
      </c>
      <c r="K16" s="2">
        <v>293</v>
      </c>
      <c r="L16" s="2">
        <v>9</v>
      </c>
      <c r="M16" s="5">
        <v>21.82</v>
      </c>
      <c r="N16" s="5">
        <v>13.86</v>
      </c>
      <c r="O16" s="4">
        <v>15</v>
      </c>
      <c r="P16" s="2">
        <v>13.2</v>
      </c>
      <c r="Q16" s="2">
        <v>9</v>
      </c>
      <c r="R16" s="5">
        <v>32.5</v>
      </c>
      <c r="S16" s="5">
        <v>16.010000000000002</v>
      </c>
      <c r="T16" s="4">
        <v>25</v>
      </c>
      <c r="U16" s="4">
        <v>10.9</v>
      </c>
      <c r="V16" s="2">
        <v>9</v>
      </c>
      <c r="W16" s="5">
        <v>25.45</v>
      </c>
      <c r="X16" s="5">
        <v>16.670000000000002</v>
      </c>
      <c r="Y16" s="4">
        <v>263.3</v>
      </c>
      <c r="Z16" s="4">
        <v>8</v>
      </c>
      <c r="AA16" s="4">
        <v>259.3</v>
      </c>
      <c r="AB16" s="4">
        <v>267.3</v>
      </c>
      <c r="AC16" s="2">
        <v>9</v>
      </c>
      <c r="AD16" s="5">
        <v>30.32</v>
      </c>
      <c r="AE16" s="5">
        <v>14.8</v>
      </c>
      <c r="AF16" s="4">
        <f t="shared" si="0"/>
        <v>298.39999999999998</v>
      </c>
      <c r="AG16" s="4">
        <f t="shared" si="1"/>
        <v>20</v>
      </c>
      <c r="AH16" s="4">
        <v>308.39999999999998</v>
      </c>
      <c r="AI16" s="4">
        <v>288.39999999999998</v>
      </c>
      <c r="AJ16" s="2">
        <v>9</v>
      </c>
      <c r="AK16" s="5">
        <v>19.5</v>
      </c>
      <c r="AL16" s="5">
        <v>12.57</v>
      </c>
      <c r="AM16" s="4">
        <f t="shared" si="2"/>
        <v>15.5</v>
      </c>
      <c r="AN16" s="4">
        <v>-6.5</v>
      </c>
      <c r="AO16" s="4">
        <v>12.25</v>
      </c>
      <c r="AP16" s="4">
        <v>18.75</v>
      </c>
      <c r="AQ16" s="2">
        <v>9</v>
      </c>
      <c r="AR16" s="5">
        <v>25.57</v>
      </c>
      <c r="AS16" s="5">
        <v>15.22</v>
      </c>
      <c r="AT16" s="4">
        <f t="shared" si="3"/>
        <v>24.7</v>
      </c>
      <c r="AU16" s="4">
        <v>-11.1</v>
      </c>
      <c r="AV16" s="4">
        <v>19.149999999999999</v>
      </c>
      <c r="AW16" s="4">
        <v>30.25</v>
      </c>
      <c r="AX16" s="2">
        <v>9</v>
      </c>
      <c r="AY16" s="5">
        <v>26.43</v>
      </c>
      <c r="AZ16" s="5">
        <v>9.14</v>
      </c>
      <c r="BA16" s="4">
        <v>253.7</v>
      </c>
      <c r="BB16" s="4">
        <v>281.10000000000002</v>
      </c>
      <c r="BC16" s="2">
        <v>9</v>
      </c>
      <c r="BD16" s="5">
        <v>16.48</v>
      </c>
      <c r="BE16" s="5">
        <v>10.210000000000001</v>
      </c>
      <c r="BF16" s="4">
        <v>9.8000000000000007</v>
      </c>
      <c r="BG16" s="4">
        <f t="shared" si="4"/>
        <v>19.399999999999999</v>
      </c>
      <c r="BH16" s="2">
        <v>9</v>
      </c>
      <c r="BI16" s="5">
        <v>29.5</v>
      </c>
      <c r="BJ16" s="5">
        <v>7.88</v>
      </c>
      <c r="BK16" s="4">
        <f t="shared" si="5"/>
        <v>221.9</v>
      </c>
      <c r="BL16" s="4">
        <f t="shared" si="6"/>
        <v>228</v>
      </c>
      <c r="BM16" s="2">
        <v>9</v>
      </c>
      <c r="BN16" s="5"/>
      <c r="BO16" s="5"/>
      <c r="BP16" s="4" t="str">
        <f t="shared" si="7"/>
        <v/>
      </c>
      <c r="BQ16" s="4" t="str">
        <f t="shared" si="8"/>
        <v/>
      </c>
      <c r="BR16" s="2">
        <v>9</v>
      </c>
      <c r="BS16" s="5">
        <v>29.81</v>
      </c>
      <c r="BT16" s="5">
        <v>17.13</v>
      </c>
      <c r="BU16" s="4">
        <f t="shared" si="9"/>
        <v>20.5</v>
      </c>
      <c r="BV16" s="4">
        <f t="shared" si="10"/>
        <v>-1.3</v>
      </c>
      <c r="BW16" s="4">
        <f t="shared" si="11"/>
        <v>21.15</v>
      </c>
      <c r="BX16" s="4">
        <f t="shared" si="12"/>
        <v>19.850000000000001</v>
      </c>
      <c r="BY16" s="2">
        <v>9</v>
      </c>
      <c r="BZ16" s="5"/>
      <c r="CA16" s="5"/>
      <c r="CB16" s="4" t="str">
        <f t="shared" si="13"/>
        <v/>
      </c>
      <c r="CC16" s="4" t="str">
        <f t="shared" si="14"/>
        <v/>
      </c>
      <c r="CD16" s="4" t="str">
        <f t="shared" si="15"/>
        <v/>
      </c>
      <c r="CE16" s="4" t="str">
        <f t="shared" si="16"/>
        <v/>
      </c>
    </row>
    <row r="17" spans="2:83" x14ac:dyDescent="0.2">
      <c r="B17" s="2">
        <v>10</v>
      </c>
      <c r="C17" s="5">
        <v>28.88</v>
      </c>
      <c r="D17" s="5">
        <v>7.9</v>
      </c>
      <c r="E17" s="3">
        <v>281</v>
      </c>
      <c r="F17" s="2">
        <v>297</v>
      </c>
      <c r="G17" s="2">
        <v>10</v>
      </c>
      <c r="H17" s="5">
        <v>29.34</v>
      </c>
      <c r="I17" s="5">
        <v>8.27</v>
      </c>
      <c r="J17" s="3">
        <v>283</v>
      </c>
      <c r="K17" s="2">
        <v>296</v>
      </c>
      <c r="L17" s="2">
        <v>10</v>
      </c>
      <c r="M17" s="5">
        <v>22.91</v>
      </c>
      <c r="N17" s="5">
        <v>11.67</v>
      </c>
      <c r="O17" s="4">
        <v>16</v>
      </c>
      <c r="P17" s="2">
        <v>16.399999999999999</v>
      </c>
      <c r="Q17" s="2">
        <v>10</v>
      </c>
      <c r="R17" s="5">
        <v>31.44</v>
      </c>
      <c r="S17" s="5">
        <v>15.27</v>
      </c>
      <c r="T17" s="4">
        <v>24</v>
      </c>
      <c r="U17" s="4">
        <v>12</v>
      </c>
      <c r="V17" s="2">
        <v>10</v>
      </c>
      <c r="W17" s="5">
        <v>26.28</v>
      </c>
      <c r="X17" s="5">
        <v>17.09</v>
      </c>
      <c r="Y17" s="4">
        <v>269</v>
      </c>
      <c r="Z17" s="4">
        <v>5</v>
      </c>
      <c r="AA17" s="4">
        <v>266.5</v>
      </c>
      <c r="AB17" s="4">
        <v>271.5</v>
      </c>
      <c r="AC17" s="2">
        <v>10</v>
      </c>
      <c r="AD17" s="5">
        <v>29.02</v>
      </c>
      <c r="AE17" s="5">
        <v>11.37</v>
      </c>
      <c r="AF17" s="4">
        <f t="shared" si="0"/>
        <v>289.39999999999998</v>
      </c>
      <c r="AG17" s="4">
        <f t="shared" si="1"/>
        <v>44.9</v>
      </c>
      <c r="AH17" s="4">
        <v>311.84999999999997</v>
      </c>
      <c r="AI17" s="4">
        <v>266.95</v>
      </c>
      <c r="AJ17" s="2">
        <v>10</v>
      </c>
      <c r="AK17" s="5">
        <v>19.66</v>
      </c>
      <c r="AL17" s="5">
        <v>9.25</v>
      </c>
      <c r="AM17" s="4">
        <f t="shared" si="2"/>
        <v>15.7</v>
      </c>
      <c r="AN17" s="4">
        <v>-0.9</v>
      </c>
      <c r="AO17" s="4">
        <v>15.25</v>
      </c>
      <c r="AP17" s="4">
        <v>16.149999999999999</v>
      </c>
      <c r="AQ17" s="2">
        <v>10</v>
      </c>
      <c r="AR17" s="5">
        <v>20.86</v>
      </c>
      <c r="AS17" s="5">
        <v>15.97</v>
      </c>
      <c r="AT17" s="4">
        <f t="shared" si="3"/>
        <v>18.5</v>
      </c>
      <c r="AU17" s="4">
        <v>-12.4</v>
      </c>
      <c r="AV17" s="4">
        <v>12.3</v>
      </c>
      <c r="AW17" s="4">
        <v>24.700000000000003</v>
      </c>
      <c r="AX17" s="2">
        <v>10</v>
      </c>
      <c r="AY17" s="5">
        <v>26.42</v>
      </c>
      <c r="AZ17" s="5">
        <v>8.83</v>
      </c>
      <c r="BA17" s="4">
        <v>253.6</v>
      </c>
      <c r="BB17" s="4">
        <v>286.5</v>
      </c>
      <c r="BC17" s="2">
        <v>10</v>
      </c>
      <c r="BD17" s="5">
        <v>18.149999999999999</v>
      </c>
      <c r="BE17" s="5">
        <v>10.52</v>
      </c>
      <c r="BF17" s="4">
        <v>11.4</v>
      </c>
      <c r="BG17" s="4">
        <f t="shared" si="4"/>
        <v>19</v>
      </c>
      <c r="BH17" s="2">
        <v>10</v>
      </c>
      <c r="BI17" s="5">
        <v>29.75</v>
      </c>
      <c r="BJ17" s="5">
        <v>6.58</v>
      </c>
      <c r="BK17" s="4">
        <f t="shared" si="5"/>
        <v>224.2</v>
      </c>
      <c r="BL17" s="4">
        <f t="shared" si="6"/>
        <v>246.4</v>
      </c>
      <c r="BM17" s="2">
        <v>10</v>
      </c>
      <c r="BN17" s="5"/>
      <c r="BO17" s="5"/>
      <c r="BP17" s="4" t="str">
        <f t="shared" si="7"/>
        <v/>
      </c>
      <c r="BQ17" s="4" t="str">
        <f t="shared" si="8"/>
        <v/>
      </c>
      <c r="BR17" s="2">
        <v>10</v>
      </c>
      <c r="BS17" s="5">
        <v>17.829999999999998</v>
      </c>
      <c r="BT17" s="5">
        <v>14.48</v>
      </c>
      <c r="BU17" s="4">
        <f t="shared" si="9"/>
        <v>12.1</v>
      </c>
      <c r="BV17" s="4">
        <f t="shared" si="10"/>
        <v>1.5</v>
      </c>
      <c r="BW17" s="4">
        <f t="shared" si="11"/>
        <v>11.35</v>
      </c>
      <c r="BX17" s="4">
        <f t="shared" si="12"/>
        <v>12.85</v>
      </c>
      <c r="BY17" s="2">
        <v>10</v>
      </c>
      <c r="BZ17" s="5"/>
      <c r="CA17" s="5"/>
      <c r="CB17" s="4" t="str">
        <f t="shared" si="13"/>
        <v/>
      </c>
      <c r="CC17" s="4" t="str">
        <f t="shared" si="14"/>
        <v/>
      </c>
      <c r="CD17" s="4" t="str">
        <f t="shared" si="15"/>
        <v/>
      </c>
      <c r="CE17" s="4" t="str">
        <f t="shared" si="16"/>
        <v/>
      </c>
    </row>
    <row r="18" spans="2:83" x14ac:dyDescent="0.2">
      <c r="B18" s="2">
        <v>11</v>
      </c>
      <c r="C18" s="5">
        <v>29.9</v>
      </c>
      <c r="D18" s="5">
        <v>7.88</v>
      </c>
      <c r="E18" s="3">
        <v>295</v>
      </c>
      <c r="F18" s="2">
        <v>298</v>
      </c>
      <c r="G18" s="2">
        <v>11</v>
      </c>
      <c r="H18" s="5">
        <v>30.05</v>
      </c>
      <c r="I18" s="5">
        <v>8.2100000000000009</v>
      </c>
      <c r="J18" s="3">
        <v>293</v>
      </c>
      <c r="K18" s="2">
        <v>298</v>
      </c>
      <c r="L18" s="2">
        <v>11</v>
      </c>
      <c r="M18" s="5">
        <v>16.36</v>
      </c>
      <c r="N18" s="5">
        <v>13.85</v>
      </c>
      <c r="O18" s="4">
        <v>10</v>
      </c>
      <c r="P18" s="2">
        <v>13.2</v>
      </c>
      <c r="Q18" s="2">
        <v>11</v>
      </c>
      <c r="R18" s="5">
        <v>32.51</v>
      </c>
      <c r="S18" s="5">
        <v>12.42</v>
      </c>
      <c r="T18" s="4">
        <v>25</v>
      </c>
      <c r="U18" s="4">
        <v>16</v>
      </c>
      <c r="V18" s="2">
        <v>11</v>
      </c>
      <c r="W18" s="5">
        <v>26.23</v>
      </c>
      <c r="X18" s="5">
        <v>18.170000000000002</v>
      </c>
      <c r="Y18" s="4">
        <v>268.60000000000002</v>
      </c>
      <c r="Z18" s="4">
        <v>-3</v>
      </c>
      <c r="AA18" s="4">
        <v>270.10000000000002</v>
      </c>
      <c r="AB18" s="4">
        <v>267.10000000000002</v>
      </c>
      <c r="AC18" s="2">
        <v>11</v>
      </c>
      <c r="AD18" s="5">
        <v>28.78</v>
      </c>
      <c r="AE18" s="5">
        <v>7.96</v>
      </c>
      <c r="AF18" s="4">
        <f t="shared" si="0"/>
        <v>287.8</v>
      </c>
      <c r="AG18" s="4">
        <f t="shared" si="1"/>
        <v>69.599999999999994</v>
      </c>
      <c r="AH18" s="4">
        <v>322.60000000000002</v>
      </c>
      <c r="AI18" s="4">
        <v>253.00000000000003</v>
      </c>
      <c r="AJ18" s="2">
        <v>11</v>
      </c>
      <c r="AK18" s="5">
        <v>19.440000000000001</v>
      </c>
      <c r="AL18" s="5">
        <v>10.19</v>
      </c>
      <c r="AM18" s="4">
        <f t="shared" si="2"/>
        <v>15.5</v>
      </c>
      <c r="AN18" s="4">
        <v>-2.4</v>
      </c>
      <c r="AO18" s="4">
        <v>14.3</v>
      </c>
      <c r="AP18" s="4">
        <v>16.7</v>
      </c>
      <c r="AQ18" s="2">
        <v>11</v>
      </c>
      <c r="AR18" s="5">
        <v>19.93</v>
      </c>
      <c r="AS18" s="5">
        <v>17.38</v>
      </c>
      <c r="AT18" s="4">
        <f t="shared" si="3"/>
        <v>17.3</v>
      </c>
      <c r="AU18" s="4">
        <v>-14.9</v>
      </c>
      <c r="AV18" s="4">
        <v>9.8500000000000014</v>
      </c>
      <c r="AW18" s="4">
        <v>24.75</v>
      </c>
      <c r="AX18" s="2">
        <v>11</v>
      </c>
      <c r="AY18" s="5">
        <v>27.06</v>
      </c>
      <c r="AZ18" s="5">
        <v>8.24</v>
      </c>
      <c r="BA18" s="4">
        <v>261.3</v>
      </c>
      <c r="BB18" s="4">
        <v>296.8</v>
      </c>
      <c r="BC18" s="2">
        <v>11</v>
      </c>
      <c r="BD18" s="5">
        <v>22.59</v>
      </c>
      <c r="BE18" s="5">
        <v>10.42</v>
      </c>
      <c r="BF18" s="4">
        <v>15.5</v>
      </c>
      <c r="BG18" s="4">
        <f t="shared" si="4"/>
        <v>19.100000000000001</v>
      </c>
      <c r="BH18" s="2">
        <v>11</v>
      </c>
      <c r="BI18" s="5">
        <v>32.6</v>
      </c>
      <c r="BJ18" s="5">
        <v>4.45</v>
      </c>
      <c r="BK18" s="4">
        <f t="shared" si="5"/>
        <v>251</v>
      </c>
      <c r="BL18" s="4">
        <f t="shared" si="6"/>
        <v>276.7</v>
      </c>
      <c r="BM18" s="2">
        <v>11</v>
      </c>
      <c r="BN18" s="5"/>
      <c r="BO18" s="5"/>
      <c r="BP18" s="4" t="str">
        <f t="shared" si="7"/>
        <v/>
      </c>
      <c r="BQ18" s="4" t="str">
        <f t="shared" si="8"/>
        <v/>
      </c>
      <c r="BR18" s="2">
        <v>11</v>
      </c>
      <c r="BS18" s="5">
        <v>14.93</v>
      </c>
      <c r="BT18" s="5">
        <v>11.64</v>
      </c>
      <c r="BU18" s="4">
        <f t="shared" si="9"/>
        <v>10.1</v>
      </c>
      <c r="BV18" s="4">
        <f t="shared" si="10"/>
        <v>4.4000000000000004</v>
      </c>
      <c r="BW18" s="4">
        <f t="shared" si="11"/>
        <v>7.8999999999999995</v>
      </c>
      <c r="BX18" s="4">
        <f t="shared" si="12"/>
        <v>12.3</v>
      </c>
      <c r="BY18" s="2">
        <v>11</v>
      </c>
      <c r="BZ18" s="5"/>
      <c r="CA18" s="5"/>
      <c r="CB18" s="4" t="str">
        <f t="shared" si="13"/>
        <v/>
      </c>
      <c r="CC18" s="4" t="str">
        <f t="shared" si="14"/>
        <v/>
      </c>
      <c r="CD18" s="4" t="str">
        <f t="shared" si="15"/>
        <v/>
      </c>
      <c r="CE18" s="4" t="str">
        <f t="shared" si="16"/>
        <v/>
      </c>
    </row>
    <row r="19" spans="2:83" x14ac:dyDescent="0.2">
      <c r="B19" s="2">
        <v>12</v>
      </c>
      <c r="C19" s="5">
        <v>30.27</v>
      </c>
      <c r="D19" s="5">
        <v>4.75</v>
      </c>
      <c r="E19" s="3">
        <v>300</v>
      </c>
      <c r="F19" s="2">
        <v>359</v>
      </c>
      <c r="G19" s="2">
        <v>12</v>
      </c>
      <c r="H19" s="5">
        <v>30.75</v>
      </c>
      <c r="I19" s="5">
        <v>5.16</v>
      </c>
      <c r="J19" s="3">
        <v>302</v>
      </c>
      <c r="K19" s="2">
        <v>359</v>
      </c>
      <c r="L19" s="2">
        <v>12</v>
      </c>
      <c r="M19" s="5">
        <v>12.02</v>
      </c>
      <c r="N19" s="5">
        <v>21.82</v>
      </c>
      <c r="O19" s="4">
        <v>6</v>
      </c>
      <c r="P19" s="2">
        <v>1.6</v>
      </c>
      <c r="Q19" s="2">
        <v>12</v>
      </c>
      <c r="R19" s="5">
        <v>25</v>
      </c>
      <c r="S19" s="5">
        <v>11.71</v>
      </c>
      <c r="T19" s="4">
        <v>18</v>
      </c>
      <c r="U19" s="4">
        <v>17</v>
      </c>
      <c r="V19" s="2">
        <v>12</v>
      </c>
      <c r="W19" s="5">
        <v>25.01</v>
      </c>
      <c r="X19" s="5">
        <v>19.64</v>
      </c>
      <c r="Y19" s="4">
        <v>260.2</v>
      </c>
      <c r="Z19" s="4">
        <v>-13.8</v>
      </c>
      <c r="AA19" s="4">
        <v>267.09999999999997</v>
      </c>
      <c r="AB19" s="4">
        <v>253.29999999999995</v>
      </c>
      <c r="AC19" s="2">
        <v>12</v>
      </c>
      <c r="AD19" s="5">
        <v>31.33</v>
      </c>
      <c r="AE19" s="5">
        <v>6.93</v>
      </c>
      <c r="AF19" s="4">
        <f t="shared" si="0"/>
        <v>305.39999999999998</v>
      </c>
      <c r="AG19" s="4">
        <f t="shared" si="1"/>
        <v>77</v>
      </c>
      <c r="AH19" s="4">
        <v>343.9</v>
      </c>
      <c r="AI19" s="4">
        <v>266.89999999999998</v>
      </c>
      <c r="AJ19" s="2">
        <v>12</v>
      </c>
      <c r="AK19" s="5">
        <v>17.95</v>
      </c>
      <c r="AL19" s="5">
        <v>11.03</v>
      </c>
      <c r="AM19" s="4">
        <f t="shared" si="2"/>
        <v>13.5</v>
      </c>
      <c r="AN19" s="4">
        <v>-3.9</v>
      </c>
      <c r="AO19" s="4">
        <v>11.55</v>
      </c>
      <c r="AP19" s="4">
        <v>15.450000000000001</v>
      </c>
      <c r="AQ19" s="2">
        <v>12</v>
      </c>
      <c r="AR19" s="5">
        <v>18.12</v>
      </c>
      <c r="AS19" s="5">
        <v>19.2</v>
      </c>
      <c r="AT19" s="4">
        <f t="shared" si="3"/>
        <v>14.9</v>
      </c>
      <c r="AU19" s="4">
        <v>-18.100000000000001</v>
      </c>
      <c r="AV19" s="4">
        <v>5.85</v>
      </c>
      <c r="AW19" s="4">
        <v>23.950000000000003</v>
      </c>
      <c r="AX19" s="2">
        <v>12</v>
      </c>
      <c r="AY19" s="5">
        <v>27.59</v>
      </c>
      <c r="AZ19" s="5">
        <v>8.44</v>
      </c>
      <c r="BA19" s="4">
        <v>267.8</v>
      </c>
      <c r="BB19" s="4">
        <v>293.3</v>
      </c>
      <c r="BC19" s="2">
        <v>12</v>
      </c>
      <c r="BD19" s="5">
        <v>27.33</v>
      </c>
      <c r="BE19" s="5">
        <v>11.78</v>
      </c>
      <c r="BF19" s="4">
        <v>19.8</v>
      </c>
      <c r="BG19" s="4">
        <f t="shared" si="4"/>
        <v>17.3</v>
      </c>
      <c r="BH19" s="2">
        <v>12</v>
      </c>
      <c r="BI19" s="5">
        <v>33.17</v>
      </c>
      <c r="BJ19" s="5">
        <v>4.34</v>
      </c>
      <c r="BK19" s="4">
        <f t="shared" si="5"/>
        <v>256.39999999999998</v>
      </c>
      <c r="BL19" s="4">
        <f t="shared" si="6"/>
        <v>278.3</v>
      </c>
      <c r="BM19" s="2">
        <v>12</v>
      </c>
      <c r="BN19" s="5"/>
      <c r="BO19" s="5"/>
      <c r="BP19" s="4" t="str">
        <f t="shared" si="7"/>
        <v/>
      </c>
      <c r="BQ19" s="4" t="str">
        <f t="shared" si="8"/>
        <v/>
      </c>
      <c r="BR19" s="2">
        <v>12</v>
      </c>
      <c r="BS19" s="5">
        <v>19.41</v>
      </c>
      <c r="BT19" s="5">
        <v>10.73</v>
      </c>
      <c r="BU19" s="4">
        <f t="shared" si="9"/>
        <v>13.2</v>
      </c>
      <c r="BV19" s="4">
        <f t="shared" si="10"/>
        <v>5.3</v>
      </c>
      <c r="BW19" s="4">
        <f t="shared" si="11"/>
        <v>10.549999999999999</v>
      </c>
      <c r="BX19" s="4">
        <f t="shared" si="12"/>
        <v>15.85</v>
      </c>
      <c r="BY19" s="2">
        <v>12</v>
      </c>
      <c r="BZ19" s="5"/>
      <c r="CA19" s="5"/>
      <c r="CB19" s="4" t="str">
        <f t="shared" si="13"/>
        <v/>
      </c>
      <c r="CC19" s="4" t="str">
        <f t="shared" si="14"/>
        <v/>
      </c>
      <c r="CD19" s="4" t="str">
        <f t="shared" si="15"/>
        <v/>
      </c>
      <c r="CE19" s="4" t="str">
        <f t="shared" si="16"/>
        <v/>
      </c>
    </row>
    <row r="20" spans="2:83" x14ac:dyDescent="0.2">
      <c r="B20" s="2">
        <v>13</v>
      </c>
      <c r="C20" s="5">
        <v>31.33</v>
      </c>
      <c r="D20" s="5">
        <v>4.0599999999999996</v>
      </c>
      <c r="E20" s="3">
        <v>313</v>
      </c>
      <c r="F20" s="2">
        <v>373</v>
      </c>
      <c r="G20" s="2">
        <v>13</v>
      </c>
      <c r="H20" s="5">
        <v>31.92</v>
      </c>
      <c r="I20" s="5">
        <v>4.5</v>
      </c>
      <c r="J20" s="3">
        <v>318</v>
      </c>
      <c r="K20" s="2">
        <v>372</v>
      </c>
      <c r="L20" s="2">
        <v>13</v>
      </c>
      <c r="M20" s="5"/>
      <c r="N20" s="5"/>
      <c r="O20" s="4" t="s">
        <v>58</v>
      </c>
      <c r="P20" s="2" t="s">
        <v>58</v>
      </c>
      <c r="Q20" s="2">
        <v>13</v>
      </c>
      <c r="R20" s="5">
        <v>26.08</v>
      </c>
      <c r="S20" s="5">
        <v>8.8800000000000008</v>
      </c>
      <c r="T20" s="4">
        <v>19</v>
      </c>
      <c r="U20" s="4">
        <v>21</v>
      </c>
      <c r="V20" s="2">
        <v>13</v>
      </c>
      <c r="W20" s="5"/>
      <c r="X20" s="5"/>
      <c r="Y20" s="4" t="s">
        <v>58</v>
      </c>
      <c r="Z20" s="4" t="s">
        <v>58</v>
      </c>
      <c r="AC20" s="2">
        <v>13</v>
      </c>
      <c r="AD20" s="5"/>
      <c r="AE20" s="5"/>
      <c r="AF20" s="4" t="str">
        <f t="shared" si="0"/>
        <v/>
      </c>
      <c r="AG20" s="4" t="str">
        <f t="shared" si="1"/>
        <v/>
      </c>
      <c r="AJ20" s="2">
        <v>13</v>
      </c>
      <c r="AK20" s="5"/>
      <c r="AL20" s="5"/>
      <c r="AM20" s="4" t="str">
        <f t="shared" si="2"/>
        <v/>
      </c>
      <c r="AN20" s="4" t="s">
        <v>58</v>
      </c>
      <c r="AQ20" s="2">
        <v>13</v>
      </c>
      <c r="AR20" s="5"/>
      <c r="AS20" s="5"/>
      <c r="AT20" s="4" t="str">
        <f t="shared" si="3"/>
        <v/>
      </c>
      <c r="AU20" s="4" t="s">
        <v>58</v>
      </c>
      <c r="AX20" s="2">
        <v>13</v>
      </c>
      <c r="AY20" s="5">
        <v>33.28</v>
      </c>
      <c r="AZ20" s="5">
        <v>6.98</v>
      </c>
      <c r="BA20" s="4">
        <v>336.9</v>
      </c>
      <c r="BB20" s="4">
        <v>318.7</v>
      </c>
      <c r="BC20" s="2">
        <v>13</v>
      </c>
      <c r="BD20" s="5">
        <v>28.16</v>
      </c>
      <c r="BE20" s="5">
        <v>12.19</v>
      </c>
      <c r="BF20" s="4">
        <v>20.6</v>
      </c>
      <c r="BG20" s="4">
        <f t="shared" si="4"/>
        <v>16.8</v>
      </c>
      <c r="BH20" s="2">
        <v>13</v>
      </c>
      <c r="BI20" s="5">
        <v>33.29</v>
      </c>
      <c r="BJ20" s="5">
        <v>4.29</v>
      </c>
      <c r="BK20" s="4">
        <f t="shared" si="5"/>
        <v>257.5</v>
      </c>
      <c r="BL20" s="4">
        <f t="shared" si="6"/>
        <v>279</v>
      </c>
      <c r="BM20" s="2">
        <v>13</v>
      </c>
      <c r="BN20" s="5"/>
      <c r="BO20" s="5"/>
      <c r="BP20" s="4" t="str">
        <f t="shared" si="7"/>
        <v/>
      </c>
      <c r="BQ20" s="4" t="str">
        <f t="shared" si="8"/>
        <v/>
      </c>
      <c r="BR20" s="2">
        <v>13</v>
      </c>
      <c r="BS20" s="5">
        <v>24.36</v>
      </c>
      <c r="BT20" s="5">
        <v>13.15</v>
      </c>
      <c r="BU20" s="4">
        <f t="shared" si="9"/>
        <v>16.7</v>
      </c>
      <c r="BV20" s="4">
        <f t="shared" si="10"/>
        <v>2.8</v>
      </c>
      <c r="BW20" s="4">
        <f t="shared" si="11"/>
        <v>15.299999999999999</v>
      </c>
      <c r="BX20" s="4">
        <f t="shared" si="12"/>
        <v>18.099999999999998</v>
      </c>
      <c r="BY20" s="2">
        <v>13</v>
      </c>
      <c r="BZ20" s="5"/>
      <c r="CA20" s="5"/>
      <c r="CB20" s="4" t="str">
        <f t="shared" si="13"/>
        <v/>
      </c>
      <c r="CC20" s="4" t="str">
        <f t="shared" si="14"/>
        <v/>
      </c>
      <c r="CD20" s="4" t="str">
        <f t="shared" si="15"/>
        <v/>
      </c>
      <c r="CE20" s="4" t="str">
        <f t="shared" si="16"/>
        <v/>
      </c>
    </row>
    <row r="21" spans="2:83" x14ac:dyDescent="0.2">
      <c r="B21" s="2">
        <v>14</v>
      </c>
      <c r="C21" s="5"/>
      <c r="D21" s="5"/>
      <c r="E21" s="3" t="s">
        <v>58</v>
      </c>
      <c r="F21" s="2" t="s">
        <v>58</v>
      </c>
      <c r="G21" s="2">
        <v>14</v>
      </c>
      <c r="H21" s="5"/>
      <c r="I21" s="5"/>
      <c r="J21" s="3" t="s">
        <v>58</v>
      </c>
      <c r="K21" s="2" t="s">
        <v>58</v>
      </c>
      <c r="L21" s="2">
        <v>14</v>
      </c>
      <c r="M21" s="5"/>
      <c r="N21" s="5"/>
      <c r="O21" s="4" t="s">
        <v>58</v>
      </c>
      <c r="P21" s="2" t="s">
        <v>58</v>
      </c>
      <c r="Q21" s="2">
        <v>14</v>
      </c>
      <c r="R21" s="5"/>
      <c r="S21" s="5"/>
      <c r="T21" s="4" t="s">
        <v>58</v>
      </c>
      <c r="U21" s="4" t="s">
        <v>58</v>
      </c>
      <c r="V21" s="2">
        <v>14</v>
      </c>
      <c r="W21" s="5"/>
      <c r="X21" s="5"/>
      <c r="Y21" s="4" t="s">
        <v>58</v>
      </c>
      <c r="Z21" s="4" t="s">
        <v>58</v>
      </c>
      <c r="AC21" s="2">
        <v>14</v>
      </c>
      <c r="AD21" s="5"/>
      <c r="AE21" s="5"/>
      <c r="AF21" s="4" t="str">
        <f t="shared" si="0"/>
        <v/>
      </c>
      <c r="AG21" s="4" t="str">
        <f t="shared" si="1"/>
        <v/>
      </c>
      <c r="AJ21" s="2">
        <v>14</v>
      </c>
      <c r="AK21" s="5"/>
      <c r="AL21" s="5"/>
      <c r="AM21" s="4" t="str">
        <f t="shared" si="2"/>
        <v/>
      </c>
      <c r="AN21" s="4" t="s">
        <v>58</v>
      </c>
      <c r="AQ21" s="2">
        <v>14</v>
      </c>
      <c r="AR21" s="5"/>
      <c r="AS21" s="5"/>
      <c r="AT21" s="4" t="str">
        <f t="shared" si="3"/>
        <v/>
      </c>
      <c r="AU21" s="4" t="s">
        <v>58</v>
      </c>
      <c r="AX21" s="2">
        <v>14</v>
      </c>
      <c r="AY21" s="5">
        <v>32.76</v>
      </c>
      <c r="AZ21" s="5">
        <v>5.19</v>
      </c>
      <c r="BA21" s="4">
        <v>330.5</v>
      </c>
      <c r="BB21" s="4">
        <v>349.9</v>
      </c>
      <c r="BC21" s="2">
        <v>14</v>
      </c>
      <c r="BD21" s="5">
        <v>29.86</v>
      </c>
      <c r="BE21" s="5">
        <v>13.25</v>
      </c>
      <c r="BF21" s="4">
        <v>22.2</v>
      </c>
      <c r="BG21" s="4">
        <f t="shared" si="4"/>
        <v>15.4</v>
      </c>
      <c r="BH21" s="2">
        <v>14</v>
      </c>
      <c r="BI21" s="5">
        <v>34.53</v>
      </c>
      <c r="BJ21" s="5">
        <v>4.33</v>
      </c>
      <c r="BK21" s="4">
        <f t="shared" si="5"/>
        <v>269.10000000000002</v>
      </c>
      <c r="BL21" s="4">
        <f t="shared" si="6"/>
        <v>278.39999999999998</v>
      </c>
      <c r="BM21" s="2">
        <v>14</v>
      </c>
      <c r="BN21" s="5"/>
      <c r="BO21" s="5"/>
      <c r="BP21" s="4" t="str">
        <f t="shared" si="7"/>
        <v/>
      </c>
      <c r="BQ21" s="4" t="str">
        <f t="shared" si="8"/>
        <v/>
      </c>
      <c r="BR21" s="2">
        <v>14</v>
      </c>
      <c r="BS21" s="5">
        <v>20.72</v>
      </c>
      <c r="BT21" s="5">
        <v>13.53</v>
      </c>
      <c r="BU21" s="4">
        <f t="shared" si="9"/>
        <v>14.1</v>
      </c>
      <c r="BV21" s="4">
        <f t="shared" si="10"/>
        <v>2.4</v>
      </c>
      <c r="BW21" s="4">
        <f t="shared" si="11"/>
        <v>12.9</v>
      </c>
      <c r="BX21" s="4">
        <f t="shared" si="12"/>
        <v>15.299999999999999</v>
      </c>
      <c r="BY21" s="2">
        <v>14</v>
      </c>
      <c r="BZ21" s="5"/>
      <c r="CA21" s="5"/>
      <c r="CB21" s="4" t="str">
        <f t="shared" si="13"/>
        <v/>
      </c>
      <c r="CC21" s="4" t="str">
        <f t="shared" si="14"/>
        <v/>
      </c>
      <c r="CD21" s="4" t="str">
        <f t="shared" si="15"/>
        <v/>
      </c>
      <c r="CE21" s="4" t="str">
        <f t="shared" si="16"/>
        <v/>
      </c>
    </row>
    <row r="22" spans="2:83" x14ac:dyDescent="0.2">
      <c r="B22" s="2">
        <v>15</v>
      </c>
      <c r="C22" s="5"/>
      <c r="D22" s="5"/>
      <c r="E22" s="3" t="s">
        <v>58</v>
      </c>
      <c r="F22" s="2" t="s">
        <v>58</v>
      </c>
      <c r="G22" s="2">
        <v>15</v>
      </c>
      <c r="H22" s="5"/>
      <c r="I22" s="5"/>
      <c r="J22" s="3" t="s">
        <v>58</v>
      </c>
      <c r="K22" s="2" t="s">
        <v>58</v>
      </c>
      <c r="L22" s="2">
        <v>15</v>
      </c>
      <c r="M22" s="5"/>
      <c r="N22" s="5"/>
      <c r="O22" s="4" t="s">
        <v>58</v>
      </c>
      <c r="P22" s="2" t="s">
        <v>58</v>
      </c>
      <c r="Q22" s="2">
        <v>15</v>
      </c>
      <c r="R22" s="5"/>
      <c r="S22" s="5"/>
      <c r="T22" s="4" t="s">
        <v>58</v>
      </c>
      <c r="U22" s="4" t="s">
        <v>58</v>
      </c>
      <c r="V22" s="2">
        <v>15</v>
      </c>
      <c r="W22" s="5"/>
      <c r="X22" s="5"/>
      <c r="Y22" s="4" t="s">
        <v>58</v>
      </c>
      <c r="Z22" s="4" t="s">
        <v>58</v>
      </c>
      <c r="AC22" s="2">
        <v>15</v>
      </c>
      <c r="AD22" s="5"/>
      <c r="AE22" s="5"/>
      <c r="AF22" s="4" t="str">
        <f t="shared" si="0"/>
        <v/>
      </c>
      <c r="AG22" s="4" t="str">
        <f t="shared" si="1"/>
        <v/>
      </c>
      <c r="AJ22" s="2">
        <v>15</v>
      </c>
      <c r="AK22" s="5"/>
      <c r="AL22" s="5"/>
      <c r="AM22" s="4" t="str">
        <f t="shared" si="2"/>
        <v/>
      </c>
      <c r="AN22" s="4" t="s">
        <v>58</v>
      </c>
      <c r="AQ22" s="2">
        <v>15</v>
      </c>
      <c r="AR22" s="5"/>
      <c r="AS22" s="5"/>
      <c r="AT22" s="4" t="str">
        <f t="shared" si="3"/>
        <v/>
      </c>
      <c r="AU22" s="4" t="s">
        <v>58</v>
      </c>
      <c r="AX22" s="2">
        <v>15</v>
      </c>
      <c r="AY22" s="5"/>
      <c r="AZ22" s="5"/>
      <c r="BA22" s="4" t="s">
        <v>58</v>
      </c>
      <c r="BB22" s="4" t="s">
        <v>58</v>
      </c>
      <c r="BC22" s="2">
        <v>15</v>
      </c>
      <c r="BD22" s="5"/>
      <c r="BE22" s="5"/>
      <c r="BF22" s="4" t="s">
        <v>58</v>
      </c>
      <c r="BG22" s="4" t="str">
        <f t="shared" si="4"/>
        <v/>
      </c>
      <c r="BH22" s="2">
        <v>15</v>
      </c>
      <c r="BI22" s="5">
        <v>34.97</v>
      </c>
      <c r="BJ22" s="5">
        <v>3.95</v>
      </c>
      <c r="BK22" s="4">
        <f t="shared" si="5"/>
        <v>273.2</v>
      </c>
      <c r="BL22" s="4">
        <f t="shared" si="6"/>
        <v>283.8</v>
      </c>
      <c r="BM22" s="2">
        <v>15</v>
      </c>
      <c r="BN22" s="5"/>
      <c r="BO22" s="5"/>
      <c r="BP22" s="4" t="str">
        <f t="shared" si="7"/>
        <v/>
      </c>
      <c r="BQ22" s="4" t="str">
        <f t="shared" si="8"/>
        <v/>
      </c>
      <c r="BR22" s="2">
        <v>15</v>
      </c>
      <c r="BS22" s="5">
        <v>21.4</v>
      </c>
      <c r="BT22" s="5">
        <v>13.56</v>
      </c>
      <c r="BU22" s="4">
        <f t="shared" si="9"/>
        <v>14.6</v>
      </c>
      <c r="BV22" s="4">
        <f t="shared" si="10"/>
        <v>2.4</v>
      </c>
      <c r="BW22" s="4">
        <f t="shared" si="11"/>
        <v>13.4</v>
      </c>
      <c r="BX22" s="4">
        <f t="shared" si="12"/>
        <v>15.799999999999999</v>
      </c>
      <c r="BY22" s="2">
        <v>15</v>
      </c>
      <c r="BZ22" s="5"/>
      <c r="CA22" s="5"/>
      <c r="CB22" s="4" t="str">
        <f t="shared" si="13"/>
        <v/>
      </c>
      <c r="CC22" s="4" t="str">
        <f t="shared" si="14"/>
        <v/>
      </c>
      <c r="CD22" s="4" t="str">
        <f t="shared" si="15"/>
        <v/>
      </c>
      <c r="CE22" s="4" t="str">
        <f t="shared" si="16"/>
        <v/>
      </c>
    </row>
    <row r="23" spans="2:83" x14ac:dyDescent="0.2">
      <c r="B23" s="2">
        <v>16</v>
      </c>
      <c r="C23" s="5"/>
      <c r="D23" s="5"/>
      <c r="E23" s="3" t="s">
        <v>58</v>
      </c>
      <c r="F23" s="2" t="s">
        <v>58</v>
      </c>
      <c r="G23" s="2">
        <v>16</v>
      </c>
      <c r="H23" s="5"/>
      <c r="I23" s="5"/>
      <c r="J23" s="3" t="s">
        <v>58</v>
      </c>
      <c r="K23" s="2" t="s">
        <v>58</v>
      </c>
      <c r="L23" s="2">
        <v>16</v>
      </c>
      <c r="M23" s="5"/>
      <c r="N23" s="5"/>
      <c r="O23" s="4" t="s">
        <v>58</v>
      </c>
      <c r="P23" s="2" t="s">
        <v>58</v>
      </c>
      <c r="Q23" s="2">
        <v>16</v>
      </c>
      <c r="R23" s="5"/>
      <c r="S23" s="5"/>
      <c r="T23" s="4" t="s">
        <v>58</v>
      </c>
      <c r="U23" s="4" t="s">
        <v>58</v>
      </c>
      <c r="V23" s="2">
        <v>16</v>
      </c>
      <c r="W23" s="5"/>
      <c r="X23" s="5"/>
      <c r="Y23" s="4" t="s">
        <v>58</v>
      </c>
      <c r="Z23" s="4" t="s">
        <v>58</v>
      </c>
      <c r="AC23" s="2">
        <v>16</v>
      </c>
      <c r="AD23" s="5"/>
      <c r="AE23" s="5"/>
      <c r="AF23" s="4" t="str">
        <f t="shared" si="0"/>
        <v/>
      </c>
      <c r="AG23" s="4" t="str">
        <f t="shared" si="1"/>
        <v/>
      </c>
      <c r="AJ23" s="2">
        <v>16</v>
      </c>
      <c r="AK23" s="5"/>
      <c r="AL23" s="5"/>
      <c r="AM23" s="4" t="str">
        <f t="shared" si="2"/>
        <v/>
      </c>
      <c r="AN23" s="4" t="s">
        <v>58</v>
      </c>
      <c r="AQ23" s="2">
        <v>16</v>
      </c>
      <c r="AR23" s="5"/>
      <c r="AS23" s="5"/>
      <c r="AT23" s="4" t="str">
        <f t="shared" si="3"/>
        <v/>
      </c>
      <c r="AU23" s="4" t="s">
        <v>58</v>
      </c>
      <c r="AX23" s="2">
        <v>16</v>
      </c>
      <c r="AY23" s="5"/>
      <c r="AZ23" s="5"/>
      <c r="BA23" s="4" t="s">
        <v>58</v>
      </c>
      <c r="BB23" s="4" t="s">
        <v>58</v>
      </c>
      <c r="BC23" s="2">
        <v>16</v>
      </c>
      <c r="BD23" s="5"/>
      <c r="BE23" s="5"/>
      <c r="BF23" s="4" t="s">
        <v>58</v>
      </c>
      <c r="BG23" s="4" t="str">
        <f t="shared" si="4"/>
        <v/>
      </c>
      <c r="BH23" s="2">
        <v>16</v>
      </c>
      <c r="BI23" s="5"/>
      <c r="BJ23" s="5"/>
      <c r="BK23" s="4" t="str">
        <f t="shared" si="5"/>
        <v/>
      </c>
      <c r="BL23" s="4" t="str">
        <f t="shared" si="6"/>
        <v/>
      </c>
      <c r="BM23" s="2">
        <v>16</v>
      </c>
      <c r="BN23" s="5"/>
      <c r="BO23" s="5"/>
      <c r="BP23" s="4" t="str">
        <f t="shared" si="7"/>
        <v/>
      </c>
      <c r="BQ23" s="4" t="str">
        <f t="shared" si="8"/>
        <v/>
      </c>
      <c r="BR23" s="2">
        <v>16</v>
      </c>
      <c r="BS23" s="5"/>
      <c r="BT23" s="5"/>
      <c r="BU23" s="4" t="str">
        <f t="shared" si="9"/>
        <v/>
      </c>
      <c r="BV23" s="4" t="str">
        <f t="shared" si="10"/>
        <v/>
      </c>
      <c r="BW23" s="4" t="str">
        <f t="shared" si="11"/>
        <v/>
      </c>
      <c r="BX23" s="4" t="str">
        <f t="shared" si="12"/>
        <v/>
      </c>
      <c r="BY23" s="2">
        <v>16</v>
      </c>
      <c r="BZ23" s="5"/>
      <c r="CA23" s="5"/>
      <c r="CB23" s="4" t="str">
        <f t="shared" si="13"/>
        <v/>
      </c>
      <c r="CC23" s="4" t="str">
        <f t="shared" si="14"/>
        <v/>
      </c>
      <c r="CD23" s="4" t="str">
        <f t="shared" si="15"/>
        <v/>
      </c>
      <c r="CE23" s="4" t="str">
        <f t="shared" si="16"/>
        <v/>
      </c>
    </row>
    <row r="24" spans="2:83" x14ac:dyDescent="0.2">
      <c r="B24" s="2">
        <v>17</v>
      </c>
      <c r="C24" s="5"/>
      <c r="D24" s="5"/>
      <c r="E24" s="3" t="s">
        <v>58</v>
      </c>
      <c r="F24" s="2" t="s">
        <v>58</v>
      </c>
      <c r="G24" s="2">
        <v>17</v>
      </c>
      <c r="H24" s="5"/>
      <c r="I24" s="5"/>
      <c r="J24" s="3" t="s">
        <v>58</v>
      </c>
      <c r="K24" s="2" t="s">
        <v>58</v>
      </c>
      <c r="L24" s="2">
        <v>17</v>
      </c>
      <c r="M24" s="5"/>
      <c r="N24" s="5"/>
      <c r="O24" s="4" t="s">
        <v>58</v>
      </c>
      <c r="P24" s="2" t="s">
        <v>58</v>
      </c>
      <c r="Q24" s="2">
        <v>17</v>
      </c>
      <c r="R24" s="5"/>
      <c r="S24" s="5"/>
      <c r="T24" s="4" t="s">
        <v>58</v>
      </c>
      <c r="U24" s="4" t="s">
        <v>58</v>
      </c>
      <c r="V24" s="2">
        <v>17</v>
      </c>
      <c r="W24" s="5"/>
      <c r="X24" s="5"/>
      <c r="Y24" s="4" t="s">
        <v>58</v>
      </c>
      <c r="Z24" s="4" t="s">
        <v>58</v>
      </c>
      <c r="AC24" s="2">
        <v>17</v>
      </c>
      <c r="AD24" s="5"/>
      <c r="AE24" s="5"/>
      <c r="AF24" s="4" t="str">
        <f t="shared" si="0"/>
        <v/>
      </c>
      <c r="AG24" s="4" t="str">
        <f t="shared" si="1"/>
        <v/>
      </c>
      <c r="AJ24" s="2">
        <v>17</v>
      </c>
      <c r="AK24" s="5"/>
      <c r="AL24" s="5"/>
      <c r="AM24" s="4" t="str">
        <f t="shared" si="2"/>
        <v/>
      </c>
      <c r="AN24" s="4" t="s">
        <v>58</v>
      </c>
      <c r="AQ24" s="2">
        <v>17</v>
      </c>
      <c r="AR24" s="5"/>
      <c r="AS24" s="5"/>
      <c r="AT24" s="4" t="str">
        <f t="shared" si="3"/>
        <v/>
      </c>
      <c r="AU24" s="4" t="s">
        <v>58</v>
      </c>
      <c r="AX24" s="2">
        <v>17</v>
      </c>
      <c r="AY24" s="5"/>
      <c r="AZ24" s="5"/>
      <c r="BA24" s="4" t="s">
        <v>58</v>
      </c>
      <c r="BB24" s="4" t="s">
        <v>58</v>
      </c>
      <c r="BC24" s="2">
        <v>17</v>
      </c>
      <c r="BD24" s="5"/>
      <c r="BE24" s="5"/>
      <c r="BF24" s="4" t="s">
        <v>58</v>
      </c>
      <c r="BG24" s="4" t="str">
        <f t="shared" si="4"/>
        <v/>
      </c>
      <c r="BH24" s="2">
        <v>17</v>
      </c>
      <c r="BI24" s="5"/>
      <c r="BJ24" s="5"/>
      <c r="BK24" s="4" t="str">
        <f t="shared" si="5"/>
        <v/>
      </c>
      <c r="BL24" s="4" t="str">
        <f t="shared" si="6"/>
        <v/>
      </c>
      <c r="BM24" s="2">
        <v>17</v>
      </c>
      <c r="BN24" s="5"/>
      <c r="BO24" s="5"/>
      <c r="BP24" s="4" t="str">
        <f t="shared" si="7"/>
        <v/>
      </c>
      <c r="BQ24" s="4" t="str">
        <f t="shared" si="8"/>
        <v/>
      </c>
      <c r="BR24" s="2">
        <v>17</v>
      </c>
      <c r="BS24" s="5"/>
      <c r="BT24" s="5"/>
      <c r="BU24" s="4" t="str">
        <f t="shared" si="9"/>
        <v/>
      </c>
      <c r="BV24" s="4" t="str">
        <f t="shared" si="10"/>
        <v/>
      </c>
      <c r="BW24" s="4" t="str">
        <f t="shared" si="11"/>
        <v/>
      </c>
      <c r="BX24" s="4" t="str">
        <f t="shared" si="12"/>
        <v/>
      </c>
      <c r="BY24" s="2">
        <v>17</v>
      </c>
      <c r="BZ24" s="5"/>
      <c r="CA24" s="5"/>
      <c r="CB24" s="4" t="str">
        <f t="shared" si="13"/>
        <v/>
      </c>
      <c r="CC24" s="4" t="str">
        <f t="shared" si="14"/>
        <v/>
      </c>
      <c r="CD24" s="4" t="str">
        <f t="shared" si="15"/>
        <v/>
      </c>
      <c r="CE24" s="4" t="str">
        <f t="shared" si="16"/>
        <v/>
      </c>
    </row>
    <row r="25" spans="2:83" x14ac:dyDescent="0.2">
      <c r="B25" s="2">
        <v>18</v>
      </c>
      <c r="C25" s="5"/>
      <c r="D25" s="5"/>
      <c r="E25" s="3" t="s">
        <v>58</v>
      </c>
      <c r="F25" s="2" t="s">
        <v>58</v>
      </c>
      <c r="G25" s="2">
        <v>18</v>
      </c>
      <c r="H25" s="5"/>
      <c r="I25" s="5"/>
      <c r="J25" s="3" t="s">
        <v>58</v>
      </c>
      <c r="K25" s="2" t="s">
        <v>58</v>
      </c>
      <c r="L25" s="2">
        <v>18</v>
      </c>
      <c r="M25" s="5"/>
      <c r="N25" s="5"/>
      <c r="O25" s="4" t="s">
        <v>58</v>
      </c>
      <c r="P25" s="2" t="s">
        <v>58</v>
      </c>
      <c r="Q25" s="2">
        <v>18</v>
      </c>
      <c r="R25" s="5"/>
      <c r="S25" s="5"/>
      <c r="T25" s="4" t="s">
        <v>58</v>
      </c>
      <c r="U25" s="4" t="s">
        <v>58</v>
      </c>
      <c r="V25" s="2">
        <v>18</v>
      </c>
      <c r="W25" s="5"/>
      <c r="X25" s="5"/>
      <c r="Y25" s="4" t="s">
        <v>58</v>
      </c>
      <c r="Z25" s="4" t="s">
        <v>58</v>
      </c>
      <c r="AC25" s="2">
        <v>18</v>
      </c>
      <c r="AD25" s="5"/>
      <c r="AE25" s="5"/>
      <c r="AF25" s="4" t="str">
        <f t="shared" si="0"/>
        <v/>
      </c>
      <c r="AG25" s="4" t="str">
        <f t="shared" si="1"/>
        <v/>
      </c>
      <c r="AJ25" s="2">
        <v>18</v>
      </c>
      <c r="AK25" s="5"/>
      <c r="AL25" s="5"/>
      <c r="AM25" s="4" t="str">
        <f t="shared" si="2"/>
        <v/>
      </c>
      <c r="AN25" s="4" t="s">
        <v>58</v>
      </c>
      <c r="AQ25" s="2">
        <v>18</v>
      </c>
      <c r="AR25" s="5"/>
      <c r="AS25" s="5"/>
      <c r="AT25" s="4" t="str">
        <f t="shared" si="3"/>
        <v/>
      </c>
      <c r="AU25" s="4" t="s">
        <v>58</v>
      </c>
      <c r="AX25" s="2">
        <v>18</v>
      </c>
      <c r="AY25" s="5"/>
      <c r="AZ25" s="5"/>
      <c r="BA25" s="4" t="s">
        <v>58</v>
      </c>
      <c r="BB25" s="4" t="s">
        <v>58</v>
      </c>
      <c r="BC25" s="2">
        <v>18</v>
      </c>
      <c r="BD25" s="5"/>
      <c r="BE25" s="5"/>
      <c r="BF25" s="4" t="s">
        <v>58</v>
      </c>
      <c r="BG25" s="4" t="str">
        <f t="shared" si="4"/>
        <v/>
      </c>
      <c r="BH25" s="2">
        <v>18</v>
      </c>
      <c r="BI25" s="5"/>
      <c r="BJ25" s="5"/>
      <c r="BK25" s="4" t="str">
        <f t="shared" si="5"/>
        <v/>
      </c>
      <c r="BL25" s="4" t="str">
        <f t="shared" si="6"/>
        <v/>
      </c>
      <c r="BM25" s="2">
        <v>18</v>
      </c>
      <c r="BN25" s="5"/>
      <c r="BO25" s="5"/>
      <c r="BP25" s="4" t="str">
        <f t="shared" si="7"/>
        <v/>
      </c>
      <c r="BQ25" s="4" t="str">
        <f t="shared" si="8"/>
        <v/>
      </c>
      <c r="BR25" s="2">
        <v>18</v>
      </c>
      <c r="BS25" s="5"/>
      <c r="BT25" s="5"/>
      <c r="BU25" s="4" t="str">
        <f t="shared" si="9"/>
        <v/>
      </c>
      <c r="BV25" s="4" t="str">
        <f t="shared" si="10"/>
        <v/>
      </c>
      <c r="BW25" s="4" t="str">
        <f t="shared" si="11"/>
        <v/>
      </c>
      <c r="BX25" s="4" t="str">
        <f t="shared" si="12"/>
        <v/>
      </c>
      <c r="BY25" s="2">
        <v>18</v>
      </c>
      <c r="BZ25" s="5"/>
      <c r="CA25" s="5"/>
      <c r="CB25" s="4" t="str">
        <f t="shared" si="13"/>
        <v/>
      </c>
      <c r="CC25" s="4" t="str">
        <f t="shared" si="14"/>
        <v/>
      </c>
      <c r="CD25" s="4" t="str">
        <f t="shared" si="15"/>
        <v/>
      </c>
      <c r="CE25" s="4" t="str">
        <f t="shared" si="16"/>
        <v/>
      </c>
    </row>
    <row r="26" spans="2:83" x14ac:dyDescent="0.2">
      <c r="B26" s="2">
        <v>19</v>
      </c>
      <c r="C26" s="5"/>
      <c r="D26" s="5"/>
      <c r="E26" s="3" t="s">
        <v>58</v>
      </c>
      <c r="F26" s="2" t="s">
        <v>58</v>
      </c>
      <c r="G26" s="2">
        <v>19</v>
      </c>
      <c r="H26" s="5"/>
      <c r="I26" s="5"/>
      <c r="J26" s="3" t="s">
        <v>58</v>
      </c>
      <c r="K26" s="2" t="s">
        <v>58</v>
      </c>
      <c r="L26" s="2">
        <v>19</v>
      </c>
      <c r="M26" s="5"/>
      <c r="N26" s="5"/>
      <c r="O26" s="4" t="s">
        <v>58</v>
      </c>
      <c r="P26" s="2" t="s">
        <v>58</v>
      </c>
      <c r="Q26" s="2">
        <v>19</v>
      </c>
      <c r="R26" s="5"/>
      <c r="S26" s="5"/>
      <c r="T26" s="4" t="s">
        <v>58</v>
      </c>
      <c r="U26" s="4" t="s">
        <v>58</v>
      </c>
      <c r="V26" s="2">
        <v>19</v>
      </c>
      <c r="W26" s="5"/>
      <c r="X26" s="5"/>
      <c r="Y26" s="4" t="s">
        <v>58</v>
      </c>
      <c r="Z26" s="4" t="s">
        <v>58</v>
      </c>
      <c r="AC26" s="2">
        <v>19</v>
      </c>
      <c r="AD26" s="5"/>
      <c r="AE26" s="5"/>
      <c r="AF26" s="4" t="str">
        <f t="shared" si="0"/>
        <v/>
      </c>
      <c r="AG26" s="4" t="str">
        <f t="shared" si="1"/>
        <v/>
      </c>
      <c r="AJ26" s="2">
        <v>19</v>
      </c>
      <c r="AK26" s="5"/>
      <c r="AL26" s="5"/>
      <c r="AM26" s="4" t="str">
        <f t="shared" si="2"/>
        <v/>
      </c>
      <c r="AN26" s="4" t="s">
        <v>58</v>
      </c>
      <c r="AQ26" s="2">
        <v>19</v>
      </c>
      <c r="AR26" s="5"/>
      <c r="AS26" s="5"/>
      <c r="AT26" s="4" t="str">
        <f t="shared" si="3"/>
        <v/>
      </c>
      <c r="AU26" s="4" t="s">
        <v>58</v>
      </c>
      <c r="AX26" s="2">
        <v>19</v>
      </c>
      <c r="AY26" s="5"/>
      <c r="AZ26" s="5"/>
      <c r="BA26" s="4" t="s">
        <v>58</v>
      </c>
      <c r="BB26" s="4" t="s">
        <v>58</v>
      </c>
      <c r="BC26" s="2">
        <v>19</v>
      </c>
      <c r="BD26" s="5"/>
      <c r="BE26" s="5"/>
      <c r="BF26" s="4" t="s">
        <v>58</v>
      </c>
      <c r="BG26" s="4" t="str">
        <f t="shared" si="4"/>
        <v/>
      </c>
      <c r="BH26" s="2">
        <v>19</v>
      </c>
      <c r="BI26" s="5"/>
      <c r="BJ26" s="5"/>
      <c r="BK26" s="4" t="str">
        <f t="shared" si="5"/>
        <v/>
      </c>
      <c r="BL26" s="4" t="str">
        <f t="shared" si="6"/>
        <v/>
      </c>
      <c r="BM26" s="2">
        <v>19</v>
      </c>
      <c r="BN26" s="5"/>
      <c r="BO26" s="5"/>
      <c r="BP26" s="4" t="str">
        <f t="shared" si="7"/>
        <v/>
      </c>
      <c r="BQ26" s="4" t="str">
        <f t="shared" si="8"/>
        <v/>
      </c>
      <c r="BR26" s="2">
        <v>19</v>
      </c>
      <c r="BS26" s="5"/>
      <c r="BT26" s="5"/>
      <c r="BU26" s="4" t="str">
        <f t="shared" si="9"/>
        <v/>
      </c>
      <c r="BV26" s="4" t="str">
        <f t="shared" si="10"/>
        <v/>
      </c>
      <c r="BW26" s="4" t="str">
        <f t="shared" si="11"/>
        <v/>
      </c>
      <c r="BX26" s="4" t="str">
        <f t="shared" si="12"/>
        <v/>
      </c>
      <c r="BY26" s="2">
        <v>19</v>
      </c>
      <c r="BZ26" s="5"/>
      <c r="CA26" s="5"/>
      <c r="CB26" s="4" t="str">
        <f t="shared" si="13"/>
        <v/>
      </c>
      <c r="CC26" s="4" t="str">
        <f t="shared" si="14"/>
        <v/>
      </c>
      <c r="CD26" s="4" t="str">
        <f t="shared" si="15"/>
        <v/>
      </c>
      <c r="CE26" s="4" t="str">
        <f t="shared" si="16"/>
        <v/>
      </c>
    </row>
    <row r="27" spans="2:83" x14ac:dyDescent="0.2">
      <c r="B27" s="2">
        <v>20</v>
      </c>
      <c r="C27" s="5"/>
      <c r="D27" s="5"/>
      <c r="E27" s="3" t="s">
        <v>58</v>
      </c>
      <c r="F27" s="2" t="s">
        <v>58</v>
      </c>
      <c r="G27" s="2">
        <v>20</v>
      </c>
      <c r="H27" s="5"/>
      <c r="I27" s="5"/>
      <c r="J27" s="3" t="s">
        <v>58</v>
      </c>
      <c r="K27" s="2" t="s">
        <v>58</v>
      </c>
      <c r="L27" s="2">
        <v>20</v>
      </c>
      <c r="M27" s="5"/>
      <c r="N27" s="5"/>
      <c r="O27" s="4" t="s">
        <v>58</v>
      </c>
      <c r="P27" s="2" t="s">
        <v>58</v>
      </c>
      <c r="Q27" s="2">
        <v>20</v>
      </c>
      <c r="R27" s="5"/>
      <c r="S27" s="5"/>
      <c r="T27" s="4" t="s">
        <v>58</v>
      </c>
      <c r="U27" s="4" t="s">
        <v>58</v>
      </c>
      <c r="V27" s="2">
        <v>20</v>
      </c>
      <c r="W27" s="5"/>
      <c r="X27" s="5"/>
      <c r="Y27" s="4" t="s">
        <v>58</v>
      </c>
      <c r="Z27" s="4" t="s">
        <v>58</v>
      </c>
      <c r="AC27" s="2">
        <v>20</v>
      </c>
      <c r="AD27" s="5"/>
      <c r="AE27" s="5"/>
      <c r="AF27" s="4" t="str">
        <f t="shared" si="0"/>
        <v/>
      </c>
      <c r="AG27" s="4" t="str">
        <f t="shared" si="1"/>
        <v/>
      </c>
      <c r="AJ27" s="2">
        <v>20</v>
      </c>
      <c r="AK27" s="5"/>
      <c r="AL27" s="5"/>
      <c r="AM27" s="4" t="str">
        <f t="shared" si="2"/>
        <v/>
      </c>
      <c r="AN27" s="4" t="s">
        <v>58</v>
      </c>
      <c r="AQ27" s="2">
        <v>20</v>
      </c>
      <c r="AR27" s="5"/>
      <c r="AS27" s="5"/>
      <c r="AT27" s="4" t="str">
        <f t="shared" si="3"/>
        <v/>
      </c>
      <c r="AU27" s="4" t="s">
        <v>58</v>
      </c>
      <c r="AX27" s="2">
        <v>20</v>
      </c>
      <c r="AY27" s="5"/>
      <c r="AZ27" s="5"/>
      <c r="BA27" s="4" t="s">
        <v>58</v>
      </c>
      <c r="BB27" s="4" t="s">
        <v>58</v>
      </c>
      <c r="BC27" s="2">
        <v>20</v>
      </c>
      <c r="BD27" s="5"/>
      <c r="BE27" s="5"/>
      <c r="BF27" s="4" t="s">
        <v>58</v>
      </c>
      <c r="BG27" s="4" t="str">
        <f t="shared" si="4"/>
        <v/>
      </c>
      <c r="BH27" s="2">
        <v>20</v>
      </c>
      <c r="BI27" s="5"/>
      <c r="BJ27" s="5"/>
      <c r="BK27" s="4" t="str">
        <f t="shared" si="5"/>
        <v/>
      </c>
      <c r="BL27" s="4" t="str">
        <f t="shared" si="6"/>
        <v/>
      </c>
      <c r="BM27" s="2">
        <v>20</v>
      </c>
      <c r="BN27" s="5"/>
      <c r="BO27" s="5"/>
      <c r="BP27" s="4" t="str">
        <f t="shared" si="7"/>
        <v/>
      </c>
      <c r="BQ27" s="4" t="str">
        <f t="shared" si="8"/>
        <v/>
      </c>
      <c r="BR27" s="2">
        <v>20</v>
      </c>
      <c r="BS27" s="5"/>
      <c r="BT27" s="5"/>
      <c r="BU27" s="4" t="str">
        <f t="shared" si="9"/>
        <v/>
      </c>
      <c r="BV27" s="4" t="str">
        <f t="shared" si="10"/>
        <v/>
      </c>
      <c r="BW27" s="4" t="str">
        <f t="shared" si="11"/>
        <v/>
      </c>
      <c r="BX27" s="4" t="str">
        <f t="shared" si="12"/>
        <v/>
      </c>
      <c r="BY27" s="2">
        <v>20</v>
      </c>
      <c r="BZ27" s="5"/>
      <c r="CA27" s="5"/>
      <c r="CB27" s="4" t="str">
        <f t="shared" si="13"/>
        <v/>
      </c>
      <c r="CC27" s="4" t="str">
        <f t="shared" si="14"/>
        <v/>
      </c>
      <c r="CD27" s="4" t="str">
        <f t="shared" si="15"/>
        <v/>
      </c>
      <c r="CE27" s="4" t="str">
        <f t="shared" si="16"/>
        <v/>
      </c>
    </row>
    <row r="28" spans="2:83" x14ac:dyDescent="0.2">
      <c r="AF28" s="4" t="s">
        <v>123</v>
      </c>
      <c r="AG28" s="4" t="s">
        <v>124</v>
      </c>
      <c r="BW28" s="4" t="s">
        <v>129</v>
      </c>
      <c r="BX28" s="4" t="s">
        <v>130</v>
      </c>
    </row>
  </sheetData>
  <mergeCells count="42">
    <mergeCell ref="V2:W2"/>
    <mergeCell ref="X2:Y2"/>
    <mergeCell ref="L1:P1"/>
    <mergeCell ref="L2:M2"/>
    <mergeCell ref="N2:O2"/>
    <mergeCell ref="Q1:U1"/>
    <mergeCell ref="Q2:R2"/>
    <mergeCell ref="S2:T2"/>
    <mergeCell ref="V1:AB1"/>
    <mergeCell ref="B2:C2"/>
    <mergeCell ref="D2:E2"/>
    <mergeCell ref="B1:F1"/>
    <mergeCell ref="G1:K1"/>
    <mergeCell ref="G2:H2"/>
    <mergeCell ref="I2:J2"/>
    <mergeCell ref="AC1:AI1"/>
    <mergeCell ref="AC2:AD2"/>
    <mergeCell ref="AE2:AF2"/>
    <mergeCell ref="AJ1:AP1"/>
    <mergeCell ref="AJ2:AK2"/>
    <mergeCell ref="AL2:AM2"/>
    <mergeCell ref="BC1:BG1"/>
    <mergeCell ref="BC2:BD2"/>
    <mergeCell ref="BE2:BF2"/>
    <mergeCell ref="AQ1:AW1"/>
    <mergeCell ref="AQ2:AR2"/>
    <mergeCell ref="AS2:AT2"/>
    <mergeCell ref="AX1:BB1"/>
    <mergeCell ref="AX2:AY2"/>
    <mergeCell ref="AZ2:BA2"/>
    <mergeCell ref="BH1:BL1"/>
    <mergeCell ref="BM1:BQ1"/>
    <mergeCell ref="BH2:BI2"/>
    <mergeCell ref="BJ2:BK2"/>
    <mergeCell ref="BM2:BN2"/>
    <mergeCell ref="BO2:BP2"/>
    <mergeCell ref="BR1:BX1"/>
    <mergeCell ref="BY1:CE1"/>
    <mergeCell ref="BR2:BS2"/>
    <mergeCell ref="BT2:BU2"/>
    <mergeCell ref="BY2:BZ2"/>
    <mergeCell ref="CA2:CB2"/>
  </mergeCells>
  <pageMargins left="0.7" right="0.7" top="0.78740157499999996" bottom="0.78740157499999996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Arbeitsblätter</vt:lpstr>
      </vt:variant>
      <vt:variant>
        <vt:i4>20</vt:i4>
      </vt:variant>
      <vt:variant>
        <vt:lpstr>Benannte Bereiche</vt:lpstr>
      </vt:variant>
      <vt:variant>
        <vt:i4>1</vt:i4>
      </vt:variant>
    </vt:vector>
  </HeadingPairs>
  <TitlesOfParts>
    <vt:vector size="21" baseType="lpstr">
      <vt:lpstr>Table</vt:lpstr>
      <vt:lpstr>data</vt:lpstr>
      <vt:lpstr>Vanhatalo 07 WT</vt:lpstr>
      <vt:lpstr>Vanhatalo 07 1T</vt:lpstr>
      <vt:lpstr>Baker 11 1T 180</vt:lpstr>
      <vt:lpstr>Baker 11 1T 90</vt:lpstr>
      <vt:lpstr>Karsten 13 WT</vt:lpstr>
      <vt:lpstr>Karsten 13 1T</vt:lpstr>
      <vt:lpstr>Dekerle 13 1T 100</vt:lpstr>
      <vt:lpstr>Dekerle 13 1T 60</vt:lpstr>
      <vt:lpstr>Clark 16 WT</vt:lpstr>
      <vt:lpstr>Clark 16 1T</vt:lpstr>
      <vt:lpstr>Bartram 17 WT</vt:lpstr>
      <vt:lpstr>Wright 17 1T iso</vt:lpstr>
      <vt:lpstr>Wright 17 1T lin</vt:lpstr>
      <vt:lpstr>Clark 19 mix fat</vt:lpstr>
      <vt:lpstr>Goulding 21 mix up</vt:lpstr>
      <vt:lpstr>Goulding 21 mix sup</vt:lpstr>
      <vt:lpstr>new (2)</vt:lpstr>
      <vt:lpstr>Fig-Tool</vt:lpstr>
      <vt:lpstr>Table!Druckbereich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Author</dc:creator>
  <cp:lastModifiedBy>Author</cp:lastModifiedBy>
  <cp:lastPrinted>2026-06-29T17:52:33Z</cp:lastPrinted>
  <dcterms:created xsi:type="dcterms:W3CDTF">2026-01-09T17:37:17Z</dcterms:created>
  <dcterms:modified xsi:type="dcterms:W3CDTF">2026-06-29T21:46:55Z</dcterms:modified>
</cp:coreProperties>
</file>