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ham-my.sharepoint.com/personal/kxm574_student_bham_ac_uk/Documents/Paper_Volume/Supplementary/"/>
    </mc:Choice>
  </mc:AlternateContent>
  <xr:revisionPtr revIDLastSave="2576" documentId="13_ncr:1_{D6459BDD-7302-4E22-A96B-6553ACF61966}" xr6:coauthVersionLast="47" xr6:coauthVersionMax="47" xr10:uidLastSave="{72C5626E-7AAC-42B7-94DA-4914130AA2D1}"/>
  <bookViews>
    <workbookView xWindow="-120" yWindow="-120" windowWidth="20730" windowHeight="11040" tabRatio="598" xr2:uid="{527F1AF9-3F68-4CD8-B869-2D4ED017FB49}"/>
  </bookViews>
  <sheets>
    <sheet name="Info" sheetId="13" r:id="rId1"/>
    <sheet name="Height" sheetId="9" r:id="rId2"/>
    <sheet name="Volume and Surface Area" sheetId="7" r:id="rId3"/>
    <sheet name="Mass (Upper bound)" sheetId="11" r:id="rId4"/>
    <sheet name="Mass (Lower bound)" sheetId="15" r:id="rId5"/>
    <sheet name="Post-Collapse Mass Calculations" sheetId="14" r:id="rId6"/>
    <sheet name="Loading (Upper bound)" sheetId="16" r:id="rId7"/>
    <sheet name="Loading (Lower bound)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2" l="1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" i="12"/>
  <c r="O2" i="12"/>
  <c r="O41" i="12"/>
  <c r="O42" i="12"/>
  <c r="O40" i="12"/>
  <c r="O39" i="12"/>
  <c r="O38" i="12"/>
  <c r="N42" i="12"/>
  <c r="N41" i="12"/>
  <c r="N36" i="12"/>
  <c r="N35" i="12"/>
  <c r="N34" i="12"/>
  <c r="N33" i="12"/>
  <c r="N32" i="12"/>
  <c r="K42" i="12"/>
  <c r="K41" i="12"/>
  <c r="K40" i="12"/>
  <c r="K39" i="12"/>
  <c r="K38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" i="12"/>
  <c r="K2" i="12"/>
  <c r="J42" i="12"/>
  <c r="J41" i="12"/>
  <c r="J36" i="12"/>
  <c r="J35" i="12"/>
  <c r="J34" i="12"/>
  <c r="J33" i="12"/>
  <c r="J32" i="12"/>
  <c r="G42" i="12"/>
  <c r="G41" i="12"/>
  <c r="G40" i="12"/>
  <c r="G39" i="12"/>
  <c r="G38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2" i="12"/>
  <c r="G42" i="16"/>
  <c r="F42" i="16"/>
  <c r="E42" i="16"/>
  <c r="D42" i="16"/>
  <c r="G41" i="16"/>
  <c r="F41" i="16"/>
  <c r="E41" i="16"/>
  <c r="D41" i="16"/>
  <c r="G40" i="16"/>
  <c r="F40" i="16"/>
  <c r="E40" i="16"/>
  <c r="D40" i="16"/>
  <c r="J39" i="16"/>
  <c r="J40" i="16" s="1"/>
  <c r="J41" i="16" s="1"/>
  <c r="J42" i="16" s="1"/>
  <c r="G39" i="16"/>
  <c r="F39" i="16"/>
  <c r="E39" i="16"/>
  <c r="D39" i="16"/>
  <c r="G38" i="16"/>
  <c r="N38" i="16" s="1"/>
  <c r="N39" i="16" s="1"/>
  <c r="N40" i="16" s="1"/>
  <c r="N41" i="16" s="1"/>
  <c r="N42" i="16" s="1"/>
  <c r="F38" i="16"/>
  <c r="E38" i="16"/>
  <c r="D38" i="16"/>
  <c r="G36" i="16"/>
  <c r="F36" i="16"/>
  <c r="E36" i="16"/>
  <c r="D36" i="16"/>
  <c r="G35" i="16"/>
  <c r="F35" i="16"/>
  <c r="E35" i="16"/>
  <c r="G34" i="16"/>
  <c r="F34" i="16"/>
  <c r="E34" i="16"/>
  <c r="G33" i="16"/>
  <c r="F33" i="16"/>
  <c r="E33" i="16"/>
  <c r="D33" i="16"/>
  <c r="N32" i="16"/>
  <c r="N33" i="16" s="1"/>
  <c r="N34" i="16" s="1"/>
  <c r="N35" i="16" s="1"/>
  <c r="N36" i="16" s="1"/>
  <c r="G32" i="16"/>
  <c r="F32" i="16"/>
  <c r="E32" i="16"/>
  <c r="D32" i="16"/>
  <c r="N31" i="16"/>
  <c r="J31" i="16"/>
  <c r="J32" i="16" s="1"/>
  <c r="J33" i="16" s="1"/>
  <c r="J34" i="16" s="1"/>
  <c r="J35" i="16" s="1"/>
  <c r="J36" i="16" s="1"/>
  <c r="G31" i="16"/>
  <c r="F31" i="16"/>
  <c r="E31" i="16"/>
  <c r="D31" i="16"/>
  <c r="N30" i="16"/>
  <c r="J30" i="16"/>
  <c r="G30" i="16"/>
  <c r="F30" i="16"/>
  <c r="E30" i="16"/>
  <c r="D30" i="16"/>
  <c r="N29" i="16"/>
  <c r="J29" i="16"/>
  <c r="G29" i="16"/>
  <c r="F29" i="16"/>
  <c r="E29" i="16"/>
  <c r="D29" i="16"/>
  <c r="N28" i="16"/>
  <c r="J28" i="16"/>
  <c r="G28" i="16"/>
  <c r="F28" i="16"/>
  <c r="E28" i="16"/>
  <c r="D28" i="16"/>
  <c r="N27" i="16"/>
  <c r="J27" i="16"/>
  <c r="G27" i="16"/>
  <c r="F27" i="16"/>
  <c r="E27" i="16"/>
  <c r="D27" i="16"/>
  <c r="N26" i="16"/>
  <c r="J26" i="16"/>
  <c r="G26" i="16"/>
  <c r="F26" i="16"/>
  <c r="E26" i="16"/>
  <c r="D26" i="16"/>
  <c r="N25" i="16"/>
  <c r="J25" i="16"/>
  <c r="G25" i="16"/>
  <c r="F25" i="16"/>
  <c r="E25" i="16"/>
  <c r="D25" i="16"/>
  <c r="N24" i="16"/>
  <c r="J24" i="16"/>
  <c r="G24" i="16"/>
  <c r="F24" i="16"/>
  <c r="E24" i="16"/>
  <c r="D24" i="16"/>
  <c r="N23" i="16"/>
  <c r="J23" i="16"/>
  <c r="G23" i="16"/>
  <c r="F23" i="16"/>
  <c r="E23" i="16"/>
  <c r="D23" i="16"/>
  <c r="N22" i="16"/>
  <c r="J22" i="16"/>
  <c r="G22" i="16"/>
  <c r="F22" i="16"/>
  <c r="E22" i="16"/>
  <c r="D22" i="16"/>
  <c r="N21" i="16"/>
  <c r="J21" i="16"/>
  <c r="G21" i="16"/>
  <c r="F21" i="16"/>
  <c r="E21" i="16"/>
  <c r="D21" i="16"/>
  <c r="N20" i="16"/>
  <c r="J20" i="16"/>
  <c r="G20" i="16"/>
  <c r="F20" i="16"/>
  <c r="E20" i="16"/>
  <c r="D20" i="16"/>
  <c r="N19" i="16"/>
  <c r="J19" i="16"/>
  <c r="G19" i="16"/>
  <c r="F19" i="16"/>
  <c r="E19" i="16"/>
  <c r="D19" i="16"/>
  <c r="N18" i="16"/>
  <c r="J18" i="16"/>
  <c r="G18" i="16"/>
  <c r="F18" i="16"/>
  <c r="E18" i="16"/>
  <c r="D18" i="16"/>
  <c r="N17" i="16"/>
  <c r="J17" i="16"/>
  <c r="G17" i="16"/>
  <c r="F17" i="16"/>
  <c r="E17" i="16"/>
  <c r="D17" i="16"/>
  <c r="N16" i="16"/>
  <c r="J16" i="16"/>
  <c r="G16" i="16"/>
  <c r="F16" i="16"/>
  <c r="E16" i="16"/>
  <c r="D16" i="16"/>
  <c r="N15" i="16"/>
  <c r="J15" i="16"/>
  <c r="G15" i="16"/>
  <c r="F15" i="16"/>
  <c r="E15" i="16"/>
  <c r="D15" i="16"/>
  <c r="N14" i="16"/>
  <c r="J14" i="16"/>
  <c r="G14" i="16"/>
  <c r="F14" i="16"/>
  <c r="E14" i="16"/>
  <c r="D14" i="16"/>
  <c r="N13" i="16"/>
  <c r="J13" i="16"/>
  <c r="G13" i="16"/>
  <c r="F13" i="16"/>
  <c r="E13" i="16"/>
  <c r="D13" i="16"/>
  <c r="N12" i="16"/>
  <c r="J12" i="16"/>
  <c r="G12" i="16"/>
  <c r="F12" i="16"/>
  <c r="E12" i="16"/>
  <c r="D12" i="16"/>
  <c r="N11" i="16"/>
  <c r="J11" i="16"/>
  <c r="G11" i="16"/>
  <c r="F11" i="16"/>
  <c r="E11" i="16"/>
  <c r="D11" i="16"/>
  <c r="N10" i="16"/>
  <c r="J10" i="16"/>
  <c r="G10" i="16"/>
  <c r="F10" i="16"/>
  <c r="E10" i="16"/>
  <c r="D10" i="16"/>
  <c r="N9" i="16"/>
  <c r="J9" i="16"/>
  <c r="G9" i="16"/>
  <c r="F9" i="16"/>
  <c r="E9" i="16"/>
  <c r="D9" i="16"/>
  <c r="N8" i="16"/>
  <c r="J8" i="16"/>
  <c r="G8" i="16"/>
  <c r="F8" i="16"/>
  <c r="E8" i="16"/>
  <c r="D8" i="16"/>
  <c r="N7" i="16"/>
  <c r="J7" i="16"/>
  <c r="G7" i="16"/>
  <c r="F7" i="16"/>
  <c r="E7" i="16"/>
  <c r="D7" i="16"/>
  <c r="N6" i="16"/>
  <c r="J6" i="16"/>
  <c r="G6" i="16"/>
  <c r="F6" i="16"/>
  <c r="E6" i="16"/>
  <c r="D6" i="16"/>
  <c r="N5" i="16"/>
  <c r="J5" i="16"/>
  <c r="G5" i="16"/>
  <c r="F5" i="16"/>
  <c r="E5" i="16"/>
  <c r="D5" i="16"/>
  <c r="N4" i="16"/>
  <c r="J4" i="16"/>
  <c r="G4" i="16"/>
  <c r="F4" i="16"/>
  <c r="E4" i="16"/>
  <c r="D4" i="16"/>
  <c r="N3" i="16"/>
  <c r="J3" i="16"/>
  <c r="G3" i="16"/>
  <c r="F3" i="16"/>
  <c r="E3" i="16"/>
  <c r="D3" i="16"/>
  <c r="N2" i="16"/>
  <c r="J2" i="16"/>
  <c r="G2" i="16"/>
  <c r="F2" i="16"/>
  <c r="E2" i="16"/>
  <c r="D2" i="16"/>
  <c r="F38" i="15"/>
  <c r="C38" i="14"/>
  <c r="B31" i="14"/>
  <c r="B32" i="14" s="1"/>
  <c r="B26" i="14"/>
  <c r="B25" i="14"/>
  <c r="B24" i="14"/>
  <c r="C24" i="14"/>
  <c r="C25" i="14"/>
  <c r="C27" i="14" s="1"/>
  <c r="C26" i="14"/>
  <c r="B38" i="14"/>
  <c r="C36" i="14"/>
  <c r="C30" i="14"/>
  <c r="G38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5" i="15"/>
  <c r="G4" i="15"/>
  <c r="G3" i="15"/>
  <c r="G2" i="15"/>
  <c r="F36" i="15"/>
  <c r="F35" i="15"/>
  <c r="F34" i="15"/>
  <c r="F33" i="15"/>
  <c r="F32" i="15"/>
  <c r="J42" i="15"/>
  <c r="K42" i="15" s="1"/>
  <c r="E42" i="15"/>
  <c r="D42" i="15"/>
  <c r="K41" i="15"/>
  <c r="J41" i="15"/>
  <c r="E41" i="15"/>
  <c r="D41" i="15"/>
  <c r="K40" i="15"/>
  <c r="J40" i="15"/>
  <c r="E40" i="15"/>
  <c r="D40" i="15"/>
  <c r="J39" i="15"/>
  <c r="K39" i="15" s="1"/>
  <c r="E39" i="15"/>
  <c r="F39" i="15" s="1"/>
  <c r="H39" i="15" s="1"/>
  <c r="D39" i="15"/>
  <c r="E38" i="15"/>
  <c r="F40" i="15" s="1"/>
  <c r="F41" i="15" s="1"/>
  <c r="D38" i="15"/>
  <c r="J36" i="15"/>
  <c r="K36" i="15" s="1"/>
  <c r="E36" i="15"/>
  <c r="D36" i="15"/>
  <c r="K35" i="15"/>
  <c r="J35" i="15"/>
  <c r="E35" i="15"/>
  <c r="K34" i="15"/>
  <c r="J34" i="15"/>
  <c r="E34" i="15"/>
  <c r="K33" i="15"/>
  <c r="J33" i="15"/>
  <c r="E33" i="15"/>
  <c r="D33" i="15"/>
  <c r="J32" i="15"/>
  <c r="K32" i="15" s="1"/>
  <c r="E32" i="15"/>
  <c r="D32" i="15"/>
  <c r="J31" i="15"/>
  <c r="K31" i="15" s="1"/>
  <c r="E31" i="15"/>
  <c r="F31" i="15" s="1"/>
  <c r="H31" i="15" s="1"/>
  <c r="D31" i="15"/>
  <c r="J30" i="15"/>
  <c r="K30" i="15" s="1"/>
  <c r="E30" i="15"/>
  <c r="F30" i="15" s="1"/>
  <c r="H30" i="15" s="1"/>
  <c r="D30" i="15"/>
  <c r="K29" i="15"/>
  <c r="L29" i="15" s="1"/>
  <c r="J29" i="15"/>
  <c r="F29" i="15"/>
  <c r="H29" i="15" s="1"/>
  <c r="E29" i="15"/>
  <c r="D29" i="15"/>
  <c r="K28" i="15"/>
  <c r="J28" i="15"/>
  <c r="H28" i="15"/>
  <c r="L28" i="15" s="1"/>
  <c r="F28" i="15"/>
  <c r="E28" i="15"/>
  <c r="D28" i="15"/>
  <c r="F27" i="15"/>
  <c r="E27" i="15"/>
  <c r="D27" i="15"/>
  <c r="J26" i="15"/>
  <c r="K26" i="15" s="1"/>
  <c r="E26" i="15"/>
  <c r="F26" i="15" s="1"/>
  <c r="D26" i="15"/>
  <c r="E25" i="15"/>
  <c r="F25" i="15" s="1"/>
  <c r="D25" i="15"/>
  <c r="J24" i="15"/>
  <c r="K24" i="15" s="1"/>
  <c r="E24" i="15"/>
  <c r="F24" i="15" s="1"/>
  <c r="H24" i="15" s="1"/>
  <c r="D24" i="15"/>
  <c r="K23" i="15"/>
  <c r="J23" i="15"/>
  <c r="F23" i="15"/>
  <c r="H23" i="15" s="1"/>
  <c r="E23" i="15"/>
  <c r="D23" i="15"/>
  <c r="F22" i="15"/>
  <c r="H22" i="15" s="1"/>
  <c r="E22" i="15"/>
  <c r="D22" i="15"/>
  <c r="K21" i="15"/>
  <c r="J21" i="15"/>
  <c r="H21" i="15"/>
  <c r="F21" i="15"/>
  <c r="E21" i="15"/>
  <c r="D21" i="15"/>
  <c r="F20" i="15"/>
  <c r="E20" i="15"/>
  <c r="D20" i="15"/>
  <c r="J19" i="15"/>
  <c r="K19" i="15" s="1"/>
  <c r="E19" i="15"/>
  <c r="F19" i="15" s="1"/>
  <c r="D19" i="15"/>
  <c r="J18" i="15"/>
  <c r="K18" i="15" s="1"/>
  <c r="E18" i="15"/>
  <c r="F18" i="15" s="1"/>
  <c r="H18" i="15" s="1"/>
  <c r="D18" i="15"/>
  <c r="K17" i="15"/>
  <c r="J17" i="15"/>
  <c r="F17" i="15"/>
  <c r="E17" i="15"/>
  <c r="D17" i="15"/>
  <c r="J16" i="15"/>
  <c r="K16" i="15" s="1"/>
  <c r="E16" i="15"/>
  <c r="F16" i="15" s="1"/>
  <c r="H16" i="15" s="1"/>
  <c r="D16" i="15"/>
  <c r="E15" i="15"/>
  <c r="F15" i="15" s="1"/>
  <c r="D15" i="15"/>
  <c r="E14" i="15"/>
  <c r="F14" i="15" s="1"/>
  <c r="H14" i="15" s="1"/>
  <c r="D14" i="15"/>
  <c r="E13" i="15"/>
  <c r="F13" i="15" s="1"/>
  <c r="D13" i="15"/>
  <c r="J12" i="15"/>
  <c r="K12" i="15" s="1"/>
  <c r="E12" i="15"/>
  <c r="F12" i="15" s="1"/>
  <c r="H12" i="15" s="1"/>
  <c r="D12" i="15"/>
  <c r="J11" i="15"/>
  <c r="K11" i="15" s="1"/>
  <c r="E11" i="15"/>
  <c r="F11" i="15" s="1"/>
  <c r="H11" i="15" s="1"/>
  <c r="D11" i="15"/>
  <c r="K10" i="15"/>
  <c r="J10" i="15"/>
  <c r="F10" i="15"/>
  <c r="E10" i="15"/>
  <c r="D10" i="15"/>
  <c r="J9" i="15"/>
  <c r="K9" i="15" s="1"/>
  <c r="E9" i="15"/>
  <c r="F9" i="15" s="1"/>
  <c r="H9" i="15" s="1"/>
  <c r="D9" i="15"/>
  <c r="E8" i="15"/>
  <c r="F8" i="15" s="1"/>
  <c r="D8" i="15"/>
  <c r="E7" i="15"/>
  <c r="F7" i="15" s="1"/>
  <c r="H7" i="15" s="1"/>
  <c r="D7" i="15"/>
  <c r="J6" i="15"/>
  <c r="K6" i="15" s="1"/>
  <c r="E6" i="15"/>
  <c r="F6" i="15" s="1"/>
  <c r="D6" i="15"/>
  <c r="E5" i="15"/>
  <c r="F5" i="15" s="1"/>
  <c r="H5" i="15" s="1"/>
  <c r="D5" i="15"/>
  <c r="E4" i="15"/>
  <c r="F4" i="15" s="1"/>
  <c r="H4" i="15" s="1"/>
  <c r="D4" i="15"/>
  <c r="J3" i="15"/>
  <c r="K3" i="15" s="1"/>
  <c r="L3" i="15" s="1"/>
  <c r="M3" i="15" s="1"/>
  <c r="E3" i="15"/>
  <c r="F3" i="15" s="1"/>
  <c r="D3" i="15"/>
  <c r="K2" i="15"/>
  <c r="E2" i="15"/>
  <c r="F2" i="15" s="1"/>
  <c r="D2" i="15"/>
  <c r="F42" i="15" l="1"/>
  <c r="G42" i="15" s="1"/>
  <c r="G41" i="15"/>
  <c r="G39" i="15"/>
  <c r="L39" i="15"/>
  <c r="G40" i="15"/>
  <c r="C37" i="14"/>
  <c r="C32" i="14"/>
  <c r="C31" i="14" s="1"/>
  <c r="B27" i="14"/>
  <c r="H19" i="15"/>
  <c r="H20" i="15"/>
  <c r="L12" i="15"/>
  <c r="H17" i="15"/>
  <c r="L19" i="15"/>
  <c r="L24" i="15"/>
  <c r="H26" i="15"/>
  <c r="H27" i="15"/>
  <c r="H40" i="15"/>
  <c r="H41" i="15"/>
  <c r="H6" i="15"/>
  <c r="L11" i="15"/>
  <c r="L16" i="15"/>
  <c r="L18" i="15"/>
  <c r="L23" i="15"/>
  <c r="L26" i="15"/>
  <c r="L31" i="15"/>
  <c r="H32" i="15"/>
  <c r="L41" i="15"/>
  <c r="H10" i="15"/>
  <c r="L9" i="15"/>
  <c r="H3" i="15"/>
  <c r="I3" i="15" s="1"/>
  <c r="H8" i="15"/>
  <c r="L10" i="15"/>
  <c r="H13" i="15"/>
  <c r="H15" i="15"/>
  <c r="L17" i="15"/>
  <c r="H25" i="15"/>
  <c r="L30" i="15"/>
  <c r="L21" i="15"/>
  <c r="C17" i="14"/>
  <c r="C11" i="14"/>
  <c r="B19" i="14"/>
  <c r="C19" i="14" s="1"/>
  <c r="J39" i="12"/>
  <c r="J40" i="12" s="1"/>
  <c r="N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2" i="12"/>
  <c r="J30" i="12"/>
  <c r="J31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2" i="12"/>
  <c r="E3" i="11"/>
  <c r="E41" i="11"/>
  <c r="F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8" i="12"/>
  <c r="F39" i="12"/>
  <c r="F40" i="12"/>
  <c r="F41" i="12"/>
  <c r="F42" i="12"/>
  <c r="F2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8" i="12"/>
  <c r="E39" i="12"/>
  <c r="E40" i="12"/>
  <c r="E41" i="12"/>
  <c r="E42" i="12"/>
  <c r="E2" i="12"/>
  <c r="E39" i="11"/>
  <c r="E40" i="11"/>
  <c r="E42" i="11"/>
  <c r="E38" i="11"/>
  <c r="B7" i="14" s="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B5" i="14" s="1"/>
  <c r="E32" i="11"/>
  <c r="E33" i="11"/>
  <c r="E34" i="11"/>
  <c r="E35" i="11"/>
  <c r="E36" i="11"/>
  <c r="B6" i="14" s="1"/>
  <c r="E2" i="11"/>
  <c r="J7" i="7"/>
  <c r="D41" i="12"/>
  <c r="D41" i="11"/>
  <c r="F41" i="7"/>
  <c r="F42" i="7"/>
  <c r="H41" i="7"/>
  <c r="H42" i="7"/>
  <c r="C74" i="9"/>
  <c r="D41" i="7"/>
  <c r="M9" i="15" l="1"/>
  <c r="M10" i="15" s="1"/>
  <c r="M11" i="15" s="1"/>
  <c r="M12" i="15" s="1"/>
  <c r="M16" i="15" s="1"/>
  <c r="M17" i="15" s="1"/>
  <c r="M18" i="15" s="1"/>
  <c r="M19" i="15" s="1"/>
  <c r="M21" i="15" s="1"/>
  <c r="M23" i="15" s="1"/>
  <c r="M24" i="15" s="1"/>
  <c r="M26" i="15" s="1"/>
  <c r="M28" i="15" s="1"/>
  <c r="M29" i="15" s="1"/>
  <c r="M30" i="15" s="1"/>
  <c r="M31" i="15" s="1"/>
  <c r="H42" i="15"/>
  <c r="L40" i="15"/>
  <c r="I6" i="15"/>
  <c r="I9" i="15" s="1"/>
  <c r="I10" i="15" s="1"/>
  <c r="I11" i="15" s="1"/>
  <c r="I12" i="15" s="1"/>
  <c r="I16" i="15" s="1"/>
  <c r="I17" i="15" s="1"/>
  <c r="I18" i="15" s="1"/>
  <c r="I19" i="15" s="1"/>
  <c r="I21" i="15" s="1"/>
  <c r="I23" i="15" s="1"/>
  <c r="I24" i="15" s="1"/>
  <c r="I26" i="15" s="1"/>
  <c r="I28" i="15" s="1"/>
  <c r="I29" i="15" s="1"/>
  <c r="I30" i="15" s="1"/>
  <c r="I31" i="15" s="1"/>
  <c r="I32" i="15" s="1"/>
  <c r="L6" i="15"/>
  <c r="M6" i="15" s="1"/>
  <c r="H33" i="15"/>
  <c r="L32" i="15"/>
  <c r="B12" i="14"/>
  <c r="B13" i="14" s="1"/>
  <c r="C13" i="14" s="1"/>
  <c r="C12" i="14" s="1"/>
  <c r="F38" i="11" s="1"/>
  <c r="C18" i="14"/>
  <c r="B8" i="14"/>
  <c r="C57" i="9"/>
  <c r="D42" i="12"/>
  <c r="D40" i="12"/>
  <c r="D39" i="12"/>
  <c r="D38" i="12"/>
  <c r="D36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  <c r="K2" i="11"/>
  <c r="I33" i="15" l="1"/>
  <c r="L33" i="15"/>
  <c r="M33" i="15" s="1"/>
  <c r="H34" i="15"/>
  <c r="M32" i="15"/>
  <c r="L42" i="15"/>
  <c r="C7" i="14"/>
  <c r="N38" i="12"/>
  <c r="N39" i="12" s="1"/>
  <c r="N40" i="12" s="1"/>
  <c r="H35" i="15" l="1"/>
  <c r="I34" i="15"/>
  <c r="L34" i="15"/>
  <c r="M34" i="15" s="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2" i="11"/>
  <c r="C73" i="9"/>
  <c r="C72" i="9"/>
  <c r="C75" i="9"/>
  <c r="H36" i="15" l="1"/>
  <c r="H38" i="15"/>
  <c r="I35" i="15"/>
  <c r="L35" i="15"/>
  <c r="M35" i="15" s="1"/>
  <c r="C5" i="14"/>
  <c r="F40" i="11"/>
  <c r="F32" i="11"/>
  <c r="F39" i="11"/>
  <c r="H28" i="11"/>
  <c r="H24" i="11"/>
  <c r="H20" i="11"/>
  <c r="H16" i="11"/>
  <c r="H12" i="11"/>
  <c r="H8" i="11"/>
  <c r="H4" i="11"/>
  <c r="H30" i="11"/>
  <c r="H26" i="11"/>
  <c r="H22" i="11"/>
  <c r="H18" i="11"/>
  <c r="H14" i="11"/>
  <c r="H10" i="11"/>
  <c r="H6" i="11"/>
  <c r="H29" i="11"/>
  <c r="H25" i="11"/>
  <c r="H21" i="11"/>
  <c r="H17" i="11"/>
  <c r="H13" i="11"/>
  <c r="H9" i="11"/>
  <c r="H5" i="11"/>
  <c r="H31" i="11"/>
  <c r="H27" i="11"/>
  <c r="H23" i="11"/>
  <c r="H19" i="11"/>
  <c r="H15" i="11"/>
  <c r="H11" i="11"/>
  <c r="H7" i="11"/>
  <c r="H3" i="11"/>
  <c r="I3" i="11" s="1"/>
  <c r="D42" i="11"/>
  <c r="D40" i="11"/>
  <c r="D39" i="11"/>
  <c r="D38" i="11"/>
  <c r="D36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H3" i="7"/>
  <c r="I3" i="7" s="1"/>
  <c r="D8" i="7"/>
  <c r="D32" i="7"/>
  <c r="I36" i="15" l="1"/>
  <c r="I39" i="15" s="1"/>
  <c r="I40" i="15" s="1"/>
  <c r="L36" i="15"/>
  <c r="M36" i="15" s="1"/>
  <c r="M39" i="15" s="1"/>
  <c r="M40" i="15" s="1"/>
  <c r="M41" i="15" s="1"/>
  <c r="M42" i="15" s="1"/>
  <c r="F33" i="11"/>
  <c r="F41" i="11"/>
  <c r="H41" i="11" s="1"/>
  <c r="H39" i="11"/>
  <c r="H40" i="11"/>
  <c r="I6" i="11"/>
  <c r="F36" i="7"/>
  <c r="F38" i="7"/>
  <c r="H40" i="7"/>
  <c r="H35" i="7"/>
  <c r="H36" i="7"/>
  <c r="H38" i="7"/>
  <c r="F39" i="7"/>
  <c r="H39" i="7"/>
  <c r="F40" i="7"/>
  <c r="H31" i="7"/>
  <c r="H27" i="7"/>
  <c r="H23" i="7"/>
  <c r="H19" i="7"/>
  <c r="H15" i="7"/>
  <c r="H11" i="7"/>
  <c r="H7" i="7"/>
  <c r="F23" i="7"/>
  <c r="F19" i="7"/>
  <c r="F15" i="7"/>
  <c r="F11" i="7"/>
  <c r="F4" i="7"/>
  <c r="H33" i="7"/>
  <c r="H29" i="7"/>
  <c r="H25" i="7"/>
  <c r="H21" i="7"/>
  <c r="H17" i="7"/>
  <c r="H13" i="7"/>
  <c r="H9" i="7"/>
  <c r="H32" i="7"/>
  <c r="H28" i="7"/>
  <c r="H24" i="7"/>
  <c r="H20" i="7"/>
  <c r="H16" i="7"/>
  <c r="H12" i="7"/>
  <c r="H8" i="7"/>
  <c r="H4" i="7"/>
  <c r="H5" i="7"/>
  <c r="H6" i="7"/>
  <c r="H34" i="7"/>
  <c r="H30" i="7"/>
  <c r="H26" i="7"/>
  <c r="H22" i="7"/>
  <c r="H18" i="7"/>
  <c r="H14" i="7"/>
  <c r="H10" i="7"/>
  <c r="F32" i="7"/>
  <c r="F28" i="7"/>
  <c r="F24" i="7"/>
  <c r="F20" i="7"/>
  <c r="F16" i="7"/>
  <c r="F12" i="7"/>
  <c r="F8" i="7"/>
  <c r="F33" i="7"/>
  <c r="F29" i="7"/>
  <c r="F25" i="7"/>
  <c r="F21" i="7"/>
  <c r="F17" i="7"/>
  <c r="F13" i="7"/>
  <c r="F9" i="7"/>
  <c r="F6" i="7"/>
  <c r="F5" i="7"/>
  <c r="F31" i="7"/>
  <c r="F27" i="7"/>
  <c r="F34" i="7"/>
  <c r="F30" i="7"/>
  <c r="F26" i="7"/>
  <c r="F22" i="7"/>
  <c r="F18" i="7"/>
  <c r="F14" i="7"/>
  <c r="F10" i="7"/>
  <c r="F3" i="7"/>
  <c r="F35" i="7"/>
  <c r="F7" i="7"/>
  <c r="C8" i="9"/>
  <c r="C2" i="9"/>
  <c r="C3" i="9"/>
  <c r="C38" i="9"/>
  <c r="C62" i="9"/>
  <c r="C20" i="9"/>
  <c r="I41" i="15" l="1"/>
  <c r="I42" i="15"/>
  <c r="F42" i="11"/>
  <c r="H42" i="11" s="1"/>
  <c r="F34" i="11"/>
  <c r="I9" i="11"/>
  <c r="I10" i="11" s="1"/>
  <c r="I11" i="11" s="1"/>
  <c r="I12" i="11" s="1"/>
  <c r="I16" i="11" s="1"/>
  <c r="I17" i="11" s="1"/>
  <c r="I6" i="7"/>
  <c r="I9" i="7" s="1"/>
  <c r="I10" i="7" s="1"/>
  <c r="I11" i="7" s="1"/>
  <c r="I12" i="7" s="1"/>
  <c r="I16" i="7" s="1"/>
  <c r="I17" i="7" s="1"/>
  <c r="I18" i="7" s="1"/>
  <c r="I19" i="7" s="1"/>
  <c r="I21" i="7" s="1"/>
  <c r="I23" i="7" s="1"/>
  <c r="I24" i="7" s="1"/>
  <c r="I26" i="7" s="1"/>
  <c r="I28" i="7" s="1"/>
  <c r="I29" i="7" s="1"/>
  <c r="I30" i="7" s="1"/>
  <c r="I31" i="7" s="1"/>
  <c r="I32" i="7" s="1"/>
  <c r="C71" i="9"/>
  <c r="C70" i="9"/>
  <c r="C69" i="9"/>
  <c r="C67" i="9"/>
  <c r="C64" i="9"/>
  <c r="C60" i="9"/>
  <c r="C58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19" i="9"/>
  <c r="C18" i="9"/>
  <c r="C17" i="9"/>
  <c r="C16" i="9"/>
  <c r="C15" i="9"/>
  <c r="C14" i="9"/>
  <c r="C13" i="9"/>
  <c r="C12" i="9"/>
  <c r="C11" i="9"/>
  <c r="C10" i="9"/>
  <c r="C9" i="9"/>
  <c r="C7" i="9"/>
  <c r="C6" i="9"/>
  <c r="C5" i="9"/>
  <c r="C4" i="9"/>
  <c r="F35" i="11" l="1"/>
  <c r="H34" i="11"/>
  <c r="I18" i="11"/>
  <c r="I19" i="11" s="1"/>
  <c r="I21" i="11" s="1"/>
  <c r="I23" i="11" s="1"/>
  <c r="I24" i="11" s="1"/>
  <c r="I26" i="11" s="1"/>
  <c r="I28" i="11" s="1"/>
  <c r="I29" i="11" s="1"/>
  <c r="I30" i="11" s="1"/>
  <c r="I31" i="11" s="1"/>
  <c r="I33" i="7"/>
  <c r="I34" i="7" s="1"/>
  <c r="I35" i="7" s="1"/>
  <c r="I36" i="7" s="1"/>
  <c r="I39" i="7" s="1"/>
  <c r="I40" i="7" s="1"/>
  <c r="I41" i="7" s="1"/>
  <c r="I42" i="7" s="1"/>
  <c r="H35" i="11" l="1"/>
  <c r="D42" i="7" l="1"/>
  <c r="D40" i="7"/>
  <c r="D39" i="7"/>
  <c r="D38" i="7"/>
  <c r="D36" i="7"/>
  <c r="D33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7" i="7"/>
  <c r="D6" i="7"/>
  <c r="D5" i="7"/>
  <c r="D4" i="7"/>
  <c r="D3" i="7"/>
  <c r="D2" i="7"/>
  <c r="J4" i="7" l="1"/>
  <c r="J13" i="7"/>
  <c r="L13" i="7" s="1"/>
  <c r="J15" i="7"/>
  <c r="L15" i="7" s="1"/>
  <c r="J25" i="7"/>
  <c r="L25" i="7" s="1"/>
  <c r="J27" i="7"/>
  <c r="L27" i="7" s="1"/>
  <c r="J14" i="7"/>
  <c r="L14" i="7" s="1"/>
  <c r="J20" i="7"/>
  <c r="L20" i="7" s="1"/>
  <c r="J22" i="7"/>
  <c r="L22" i="7" s="1"/>
  <c r="N3" i="7" l="1"/>
  <c r="O3" i="7" s="1"/>
  <c r="J3" i="11" s="1"/>
  <c r="K3" i="11" s="1"/>
  <c r="L3" i="11" s="1"/>
  <c r="M3" i="11" s="1"/>
  <c r="N41" i="7"/>
  <c r="O41" i="7" s="1"/>
  <c r="N36" i="7"/>
  <c r="O36" i="7" s="1"/>
  <c r="J36" i="11" s="1"/>
  <c r="K36" i="11" s="1"/>
  <c r="N42" i="7"/>
  <c r="O42" i="7" s="1"/>
  <c r="J42" i="11" s="1"/>
  <c r="K42" i="11" s="1"/>
  <c r="L42" i="11" s="1"/>
  <c r="N35" i="7"/>
  <c r="O35" i="7" s="1"/>
  <c r="J35" i="11" s="1"/>
  <c r="K35" i="11" s="1"/>
  <c r="L35" i="11" s="1"/>
  <c r="N40" i="7"/>
  <c r="O40" i="7" s="1"/>
  <c r="J40" i="11" s="1"/>
  <c r="K40" i="11" s="1"/>
  <c r="L40" i="11" s="1"/>
  <c r="N39" i="7"/>
  <c r="O39" i="7" s="1"/>
  <c r="J39" i="11" s="1"/>
  <c r="K39" i="11" s="1"/>
  <c r="L39" i="11" s="1"/>
  <c r="N33" i="7"/>
  <c r="O33" i="7" s="1"/>
  <c r="J33" i="11" s="1"/>
  <c r="K33" i="11" s="1"/>
  <c r="N31" i="7"/>
  <c r="O31" i="7" s="1"/>
  <c r="J31" i="11" s="1"/>
  <c r="K31" i="11" s="1"/>
  <c r="L31" i="11" s="1"/>
  <c r="N23" i="7"/>
  <c r="O23" i="7" s="1"/>
  <c r="J23" i="11" s="1"/>
  <c r="K23" i="11" s="1"/>
  <c r="L23" i="11" s="1"/>
  <c r="N19" i="7"/>
  <c r="O19" i="7" s="1"/>
  <c r="J19" i="11" s="1"/>
  <c r="K19" i="11" s="1"/>
  <c r="L19" i="11" s="1"/>
  <c r="N6" i="7"/>
  <c r="O6" i="7" s="1"/>
  <c r="J6" i="11" s="1"/>
  <c r="K6" i="11" s="1"/>
  <c r="L6" i="11" s="1"/>
  <c r="M6" i="11" s="1"/>
  <c r="M9" i="11" s="1"/>
  <c r="N2" i="7"/>
  <c r="O2" i="7" s="1"/>
  <c r="N34" i="7"/>
  <c r="O34" i="7" s="1"/>
  <c r="J34" i="11" s="1"/>
  <c r="K34" i="11" s="1"/>
  <c r="L34" i="11" s="1"/>
  <c r="N30" i="7"/>
  <c r="O30" i="7" s="1"/>
  <c r="J30" i="11" s="1"/>
  <c r="K30" i="11" s="1"/>
  <c r="L30" i="11" s="1"/>
  <c r="N26" i="7"/>
  <c r="O26" i="7" s="1"/>
  <c r="J26" i="11" s="1"/>
  <c r="K26" i="11" s="1"/>
  <c r="L26" i="11" s="1"/>
  <c r="N18" i="7"/>
  <c r="O18" i="7" s="1"/>
  <c r="J18" i="11" s="1"/>
  <c r="K18" i="11" s="1"/>
  <c r="L18" i="11" s="1"/>
  <c r="N10" i="7"/>
  <c r="O10" i="7" s="1"/>
  <c r="N29" i="7"/>
  <c r="O29" i="7" s="1"/>
  <c r="J29" i="11" s="1"/>
  <c r="K29" i="11" s="1"/>
  <c r="L29" i="11" s="1"/>
  <c r="N21" i="7"/>
  <c r="O21" i="7" s="1"/>
  <c r="J21" i="11" s="1"/>
  <c r="K21" i="11" s="1"/>
  <c r="L21" i="11" s="1"/>
  <c r="N17" i="7"/>
  <c r="O17" i="7" s="1"/>
  <c r="J17" i="11" s="1"/>
  <c r="K17" i="11" s="1"/>
  <c r="L17" i="11" s="1"/>
  <c r="N11" i="7"/>
  <c r="O11" i="7" s="1"/>
  <c r="J11" i="11" s="1"/>
  <c r="K11" i="11" s="1"/>
  <c r="L11" i="11" s="1"/>
  <c r="N9" i="7"/>
  <c r="O9" i="7" s="1"/>
  <c r="J9" i="11" s="1"/>
  <c r="K9" i="11" s="1"/>
  <c r="L9" i="11" s="1"/>
  <c r="N4" i="7"/>
  <c r="O4" i="7" s="1"/>
  <c r="N32" i="7"/>
  <c r="O32" i="7" s="1"/>
  <c r="J32" i="11" s="1"/>
  <c r="K32" i="11" s="1"/>
  <c r="N28" i="7"/>
  <c r="O28" i="7" s="1"/>
  <c r="J28" i="11" s="1"/>
  <c r="K28" i="11" s="1"/>
  <c r="L28" i="11" s="1"/>
  <c r="N24" i="7"/>
  <c r="O24" i="7" s="1"/>
  <c r="J24" i="11" s="1"/>
  <c r="K24" i="11" s="1"/>
  <c r="L24" i="11" s="1"/>
  <c r="N16" i="7"/>
  <c r="O16" i="7" s="1"/>
  <c r="J16" i="11" s="1"/>
  <c r="K16" i="11" s="1"/>
  <c r="L16" i="11" s="1"/>
  <c r="N12" i="7"/>
  <c r="O12" i="7" s="1"/>
  <c r="J12" i="11" s="1"/>
  <c r="K12" i="11" s="1"/>
  <c r="L12" i="11" s="1"/>
  <c r="P10" i="7" l="1"/>
  <c r="J10" i="11"/>
  <c r="K10" i="11" s="1"/>
  <c r="L10" i="11" s="1"/>
  <c r="M10" i="11" s="1"/>
  <c r="M11" i="11" s="1"/>
  <c r="M12" i="11" s="1"/>
  <c r="M16" i="11" s="1"/>
  <c r="M17" i="11" s="1"/>
  <c r="M18" i="11" s="1"/>
  <c r="M19" i="11" s="1"/>
  <c r="M21" i="11" s="1"/>
  <c r="M23" i="11" s="1"/>
  <c r="M24" i="11" s="1"/>
  <c r="M26" i="11" s="1"/>
  <c r="M28" i="11" s="1"/>
  <c r="M29" i="11" s="1"/>
  <c r="M30" i="11" s="1"/>
  <c r="M31" i="11" s="1"/>
  <c r="P41" i="7"/>
  <c r="J41" i="11"/>
  <c r="K41" i="11" s="1"/>
  <c r="L41" i="11" s="1"/>
  <c r="P12" i="7"/>
  <c r="P17" i="7"/>
  <c r="P18" i="7"/>
  <c r="P31" i="7"/>
  <c r="P16" i="7"/>
  <c r="P21" i="7"/>
  <c r="P35" i="7"/>
  <c r="P24" i="7"/>
  <c r="P9" i="7"/>
  <c r="P29" i="7"/>
  <c r="P30" i="7"/>
  <c r="P19" i="7"/>
  <c r="P33" i="7"/>
  <c r="P42" i="7"/>
  <c r="P32" i="7"/>
  <c r="P40" i="7"/>
  <c r="P26" i="7"/>
  <c r="P28" i="7"/>
  <c r="P11" i="7"/>
  <c r="P34" i="7"/>
  <c r="P23" i="7"/>
  <c r="P39" i="7"/>
  <c r="P36" i="7"/>
  <c r="P3" i="7"/>
  <c r="P6" i="7"/>
  <c r="Q3" i="7" l="1"/>
  <c r="Q6" i="7" s="1"/>
  <c r="Q9" i="7" s="1"/>
  <c r="Q10" i="7" s="1"/>
  <c r="Q11" i="7" s="1"/>
  <c r="Q12" i="7" s="1"/>
  <c r="Q16" i="7" s="1"/>
  <c r="Q17" i="7" s="1"/>
  <c r="Q18" i="7" s="1"/>
  <c r="Q19" i="7" s="1"/>
  <c r="Q21" i="7" l="1"/>
  <c r="Q23" i="7" s="1"/>
  <c r="Q24" i="7" s="1"/>
  <c r="Q26" i="7" l="1"/>
  <c r="Q28" i="7" s="1"/>
  <c r="Q29" i="7" s="1"/>
  <c r="Q30" i="7" s="1"/>
  <c r="Q31" i="7" s="1"/>
  <c r="Q32" i="7" l="1"/>
  <c r="Q33" i="7" s="1"/>
  <c r="Q34" i="7" s="1"/>
  <c r="Q35" i="7" s="1"/>
  <c r="Q36" i="7" s="1"/>
  <c r="Q39" i="7" l="1"/>
  <c r="Q40" i="7" s="1"/>
  <c r="Q41" i="7" s="1"/>
  <c r="Q42" i="7" s="1"/>
  <c r="F36" i="11" l="1"/>
  <c r="C6" i="14" l="1"/>
  <c r="C8" i="14" s="1"/>
  <c r="H36" i="11"/>
  <c r="H38" i="11"/>
  <c r="L36" i="11" l="1"/>
  <c r="H32" i="11"/>
  <c r="I32" i="11" s="1"/>
  <c r="H33" i="11"/>
  <c r="L33" i="11" s="1"/>
  <c r="I33" i="11" l="1"/>
  <c r="I34" i="11" s="1"/>
  <c r="I35" i="11" s="1"/>
  <c r="I36" i="11" s="1"/>
  <c r="I39" i="11" s="1"/>
  <c r="I40" i="11" s="1"/>
  <c r="L32" i="11"/>
  <c r="M32" i="11" s="1"/>
  <c r="M33" i="11" s="1"/>
  <c r="M34" i="11" s="1"/>
  <c r="M35" i="11" s="1"/>
  <c r="M36" i="11" s="1"/>
  <c r="M39" i="11" s="1"/>
  <c r="M40" i="11" s="1"/>
  <c r="M41" i="11" s="1"/>
  <c r="M42" i="11" s="1"/>
  <c r="I42" i="11" l="1"/>
  <c r="I41" i="11"/>
</calcChain>
</file>

<file path=xl/sharedStrings.xml><?xml version="1.0" encoding="utf-8"?>
<sst xmlns="http://schemas.openxmlformats.org/spreadsheetml/2006/main" count="508" uniqueCount="194">
  <si>
    <t>Forecasting future instability hazards at Anak Krakatau volcano, Indonesia, using archival reconstructions of edifice evolution</t>
  </si>
  <si>
    <r>
      <t>1</t>
    </r>
    <r>
      <rPr>
        <sz val="11"/>
        <color rgb="FF000000"/>
        <rFont val="Arial"/>
        <family val="2"/>
      </rPr>
      <t xml:space="preserve"> School of Geography, Earth and Environmental Sciences, University of Birmingham, Edgbaston, Birmingham, UK</t>
    </r>
  </si>
  <si>
    <r>
      <t>2</t>
    </r>
    <r>
      <rPr>
        <sz val="11"/>
        <color rgb="FF000000"/>
        <rFont val="Arial"/>
        <family val="2"/>
      </rPr>
      <t xml:space="preserve"> Research Center for Geological Disaster, National Research and Innovation Agency (BRIN), Bandung, Indonesia</t>
    </r>
  </si>
  <si>
    <r>
      <t>3</t>
    </r>
    <r>
      <rPr>
        <sz val="11"/>
        <color rgb="FF000000"/>
        <rFont val="Arial"/>
        <family val="2"/>
      </rPr>
      <t xml:space="preserve"> Department of Geosciences, Penn State University, Pennsylvania, USA </t>
    </r>
  </si>
  <si>
    <r>
      <t>4</t>
    </r>
    <r>
      <rPr>
        <sz val="11"/>
        <color rgb="FF000000"/>
        <rFont val="Arial"/>
        <family val="2"/>
      </rPr>
      <t xml:space="preserve"> Faculty of Earth Sciences and Technology, Bandung Institute of Technology, Bandung, Indonesia</t>
    </r>
  </si>
  <si>
    <t>Development Stage</t>
  </si>
  <si>
    <t>Date of survey or observation</t>
  </si>
  <si>
    <t>Island Max Height (m)</t>
  </si>
  <si>
    <t>Vent Height (m)</t>
  </si>
  <si>
    <t xml:space="preserve">Comment </t>
  </si>
  <si>
    <t>DEM File Name</t>
  </si>
  <si>
    <t xml:space="preserve">Citation </t>
  </si>
  <si>
    <t>(1) Initiation of volcanism</t>
  </si>
  <si>
    <t xml:space="preserve">Submarine </t>
  </si>
  <si>
    <t xml:space="preserve">First sighting of activity, although reports possibly extend back to August 1913. </t>
  </si>
  <si>
    <t>Anon., 1915; Stehn, 1929</t>
  </si>
  <si>
    <t>Submarine</t>
  </si>
  <si>
    <t>Stehn, 1929</t>
  </si>
  <si>
    <r>
      <t xml:space="preserve">Crater rim emerged as a low elongated island (175 m long) - </t>
    </r>
    <r>
      <rPr>
        <b/>
        <sz val="11"/>
        <color theme="1"/>
        <rFont val="Arial"/>
        <family val="2"/>
      </rPr>
      <t>Anak Krakatau I</t>
    </r>
    <r>
      <rPr>
        <sz val="11"/>
        <color theme="1"/>
        <rFont val="Arial"/>
        <family val="2"/>
      </rPr>
      <t xml:space="preserve">. On 02/02/1928 another portion of the crater rim emerged as an island to the west. </t>
    </r>
  </si>
  <si>
    <t xml:space="preserve">Erosion resulted in reduction of island to below sea level. Measurements on 28/02/1928 indicate crater floor was at 34.5 m below sea level. </t>
  </si>
  <si>
    <t>Crater wall was measured at 26 m below sea level and crater floor was 27.8 m.</t>
  </si>
  <si>
    <r>
      <t xml:space="preserve">Emergence of the easterly crater rim, rapidly increased in height and size - </t>
    </r>
    <r>
      <rPr>
        <b/>
        <sz val="11"/>
        <color theme="1"/>
        <rFont val="Arial"/>
        <family val="2"/>
      </rPr>
      <t>Anak Krakatau II</t>
    </r>
    <r>
      <rPr>
        <sz val="11"/>
        <color theme="1"/>
        <rFont val="Arial"/>
        <family val="2"/>
      </rPr>
      <t>. There was also an additional appearance (lasting &lt;1 day) of the crater rim on 20/01/1929.</t>
    </r>
  </si>
  <si>
    <t>Stehn, 1929; Stehn, 1929 (Bulletin No. 17)</t>
  </si>
  <si>
    <t>Stehn, 1929 (Bulletin No. 17)</t>
  </si>
  <si>
    <t xml:space="preserve">Island shaped like a 'sickle' with an opening to the SW, and 275 m (NW-SE). Western part of the crater rim was not visible above the water for the most part, however at lowest tide crater rim could be seen as a complete closed ring. </t>
  </si>
  <si>
    <t>1929_April</t>
  </si>
  <si>
    <t>Stehn, 1929 (Bulletin No. 20-21); Neumann van Padang, 1933</t>
  </si>
  <si>
    <t>Stehn, 1929 (Bulletin No. 25); Neumann van Padang, 1933</t>
  </si>
  <si>
    <t>Neumann van Padang, 1933</t>
  </si>
  <si>
    <r>
      <t xml:space="preserve">Island became subaerial from this point, exact island height on this date is not specified - </t>
    </r>
    <r>
      <rPr>
        <b/>
        <sz val="11"/>
        <color theme="1"/>
        <rFont val="Arial"/>
        <family val="2"/>
      </rPr>
      <t>Anak Krakatau III</t>
    </r>
    <r>
      <rPr>
        <sz val="11"/>
        <color theme="1"/>
        <rFont val="Arial"/>
        <family val="2"/>
      </rPr>
      <t xml:space="preserve">. Reports suggest the island was 1 km in length by late June. </t>
    </r>
  </si>
  <si>
    <t>1930_July</t>
  </si>
  <si>
    <t>Stehn, 1930 (Bulletin No. 35-36)</t>
  </si>
  <si>
    <t>Island destroyed (for just a few days) due to violet activity.</t>
  </si>
  <si>
    <t>(2) Phreatomagmatic dominated</t>
  </si>
  <si>
    <r>
      <t xml:space="preserve">Island remerged - </t>
    </r>
    <r>
      <rPr>
        <b/>
        <sz val="11"/>
        <color theme="1"/>
        <rFont val="Arial"/>
        <family val="2"/>
      </rPr>
      <t>Anak Krakatau IV</t>
    </r>
    <r>
      <rPr>
        <sz val="11"/>
        <color theme="1"/>
        <rFont val="Arial"/>
        <family val="2"/>
      </rPr>
      <t xml:space="preserve">. </t>
    </r>
  </si>
  <si>
    <t xml:space="preserve">Stehn, 1929 </t>
  </si>
  <si>
    <t>1930_Aug</t>
  </si>
  <si>
    <t xml:space="preserve">Neumann van Padang, 1933; Sudradjat, 1983 </t>
  </si>
  <si>
    <t xml:space="preserve">Stehn, 1932 (Bulletin No. 55-56) </t>
  </si>
  <si>
    <t>Stehn, 1933 (Bulletin No. 60); Sudradjat, 1983</t>
  </si>
  <si>
    <t>Stehn, 1933 (Bulletin No. 60)</t>
  </si>
  <si>
    <t>Stehn, 1933 (Bulletin No. 61); Neumann van Padang, 1933</t>
  </si>
  <si>
    <t>1933_March</t>
  </si>
  <si>
    <t>Stehn, 1933 (Bulletin No. 62)</t>
  </si>
  <si>
    <t>Stehn, 1933 (Bulletin No. 63)</t>
  </si>
  <si>
    <t>Stehn, 1933 (Bulletin No. 63); Sudradjat, 1983</t>
  </si>
  <si>
    <t>Stehn, 1934 (Bulletin No. 66)</t>
  </si>
  <si>
    <t>1933_Oct</t>
  </si>
  <si>
    <t>Stehn, 1933 (Bulletin No. 65)</t>
  </si>
  <si>
    <r>
      <rPr>
        <sz val="11"/>
        <color rgb="FFFF0000"/>
        <rFont val="Arial"/>
        <family val="2"/>
      </rPr>
      <t>Exact date unknown.</t>
    </r>
    <r>
      <rPr>
        <sz val="11"/>
        <color theme="1"/>
        <rFont val="Arial"/>
        <family val="2"/>
      </rPr>
      <t xml:space="preserve"> Activity reports suggest eruptions ended by 09/06/1934.</t>
    </r>
  </si>
  <si>
    <t>Sudradjat, 1983</t>
  </si>
  <si>
    <t>1935_Feb</t>
  </si>
  <si>
    <t xml:space="preserve">Stehn, 1935 (Bulletin No. 73) </t>
  </si>
  <si>
    <t>1935_Aug</t>
  </si>
  <si>
    <t>1935_Dec</t>
  </si>
  <si>
    <t xml:space="preserve">Stehn, 1936 (Bulletin No. 74) </t>
  </si>
  <si>
    <t>1936_June</t>
  </si>
  <si>
    <t xml:space="preserve">Stehn, 1936 (Bulletin No. 76) </t>
  </si>
  <si>
    <t>1936_Aug</t>
  </si>
  <si>
    <t xml:space="preserve">Stehn, 1936 (Bulletin No. 77) </t>
  </si>
  <si>
    <t>1936_Dec</t>
  </si>
  <si>
    <t xml:space="preserve">Stehn, 1936 (Bulletin No. 78) </t>
  </si>
  <si>
    <t>1937_Feb</t>
  </si>
  <si>
    <t xml:space="preserve">Stehn, 1937 (Bulletin No. 79) </t>
  </si>
  <si>
    <t>1937_Dec</t>
  </si>
  <si>
    <t xml:space="preserve">Stehn, 1938 (Bulletin No. 82) </t>
  </si>
  <si>
    <t>1938_June</t>
  </si>
  <si>
    <t>Neumann Van Padang, 1938 (Bulletin No. 84)</t>
  </si>
  <si>
    <t>1938_Aug</t>
  </si>
  <si>
    <t>Neumann Van Padang, 1939 (Bulletin No. 85)</t>
  </si>
  <si>
    <t>1938_Oct</t>
  </si>
  <si>
    <t>Stehn, 1939 (Bulletin No. 86)</t>
  </si>
  <si>
    <t>1939_June</t>
  </si>
  <si>
    <t>Stehn, 1939 (Bulletin No. 87 and 88)</t>
  </si>
  <si>
    <t>1939_Aug</t>
  </si>
  <si>
    <t>Stehn, 1940 (Bulletin No. 89)</t>
  </si>
  <si>
    <t>1940_Dec</t>
  </si>
  <si>
    <t>Van Bemmelen, 1941 (Bulletin No. 91-94)</t>
  </si>
  <si>
    <t>1941_Oct</t>
  </si>
  <si>
    <t xml:space="preserve">De Neve, 1951 </t>
  </si>
  <si>
    <t>1947_Aug</t>
  </si>
  <si>
    <t>1950_Sept</t>
  </si>
  <si>
    <t>De Neve, 1951; Decker and Hadikusumo, 1961</t>
  </si>
  <si>
    <t>1952_Oct</t>
  </si>
  <si>
    <t xml:space="preserve"> Hadikusumo, 1950-57 (Bulletin No. 100); Decker and Hadikusumo, 1961</t>
  </si>
  <si>
    <t>1953_Oct</t>
  </si>
  <si>
    <t>Decker, 1961</t>
  </si>
  <si>
    <t>(3) Transition to Strombolian dominated</t>
  </si>
  <si>
    <t>1960_Jan</t>
  </si>
  <si>
    <t>Decker and Hadikusumo, 1961</t>
  </si>
  <si>
    <t>1963_March</t>
  </si>
  <si>
    <t>Zen and Hadikusumo, 1964</t>
  </si>
  <si>
    <t>Zen, 1970; Sudradjat, 1983</t>
  </si>
  <si>
    <t>Exact date is unknown.</t>
  </si>
  <si>
    <t>Sudradjat, 1983; Global Volcanism Programme, 1978</t>
  </si>
  <si>
    <t>Global Volcanism Program, 1978</t>
  </si>
  <si>
    <t>1985_Aug</t>
  </si>
  <si>
    <t>Thornton and Rosengren, 1988</t>
  </si>
  <si>
    <t>Partomihardjo et al., 1992</t>
  </si>
  <si>
    <t>DEMNAS</t>
  </si>
  <si>
    <t>Geospatial Information Agency of Indonesia (BIG) &lt;https://tanahair.indonesia.go.id/demnas/#/#Info&gt;</t>
  </si>
  <si>
    <t>2018_Dec_Pre-Col</t>
  </si>
  <si>
    <t>Gouhier and Paris, 2019; Grilli et al., 2021</t>
  </si>
  <si>
    <t>Collapse 22/12/2018 between 13:55-13:57 (UTC)</t>
  </si>
  <si>
    <t>(4) Intense phreatomagmatic regrowth</t>
  </si>
  <si>
    <t xml:space="preserve">Collapse </t>
  </si>
  <si>
    <t>2018_Dec_Post-Col</t>
  </si>
  <si>
    <t>Clipped using Sentinel-1 IW-DV [dB] orthorectified satellite image captured on 22/12/2018 at 22:33:44 (UTC)</t>
  </si>
  <si>
    <t>2019_Jan</t>
  </si>
  <si>
    <t>Gouhier and Paris, 2019</t>
  </si>
  <si>
    <t>Drone survey.</t>
  </si>
  <si>
    <t>2019_Aug</t>
  </si>
  <si>
    <t>BRIN / ITB</t>
  </si>
  <si>
    <t>Crater lake visible in satellite imagery.</t>
  </si>
  <si>
    <t xml:space="preserve">Sentinel-2 L2A (via EO Hub) </t>
  </si>
  <si>
    <t xml:space="preserve">(5) Return to Strombolian activity </t>
  </si>
  <si>
    <t xml:space="preserve">Satellite imagery on the 30/12/2019 suggests the infilling of the crater lake following eruptions on 30th and 31st. Confirmed by photos on 06/01/2020 and satellite imagery on the 23/01/2020. </t>
  </si>
  <si>
    <t>Sentinel-2 L2A (via EO Hub) and Dove Classic (PS2) (via Planet Labs)</t>
  </si>
  <si>
    <t>2021_June</t>
  </si>
  <si>
    <t>2023_June</t>
  </si>
  <si>
    <t>Fieldwork 2023</t>
  </si>
  <si>
    <t xml:space="preserve">Development Stage </t>
  </si>
  <si>
    <t xml:space="preserve">Date of survey or observation </t>
  </si>
  <si>
    <r>
      <t>Surface Area (km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</si>
  <si>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Surface Area change (km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</si>
  <si>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Volume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</si>
  <si>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Volume change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</si>
  <si>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r>
      <t>Cumulative Growth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</si>
  <si>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r>
      <t>Absolute erosion rate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/yr) </t>
    </r>
  </si>
  <si>
    <t>Shoreline extent of tuff cone (m)</t>
  </si>
  <si>
    <r>
      <t>Erosion rate per extent of tuff cone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/yr/m)</t>
    </r>
  </si>
  <si>
    <t xml:space="preserve">Comment on erosion </t>
  </si>
  <si>
    <r>
      <t>Representative erosion rate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/yr) </t>
    </r>
  </si>
  <si>
    <r>
      <t>Lost volume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</si>
  <si>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r>
      <t>Erosion corrected growth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</si>
  <si>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r>
      <t>Corrected Cumulative Growth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</si>
  <si>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Island not fully established</t>
  </si>
  <si>
    <t>Short period, early in development history, less representative of long-term</t>
  </si>
  <si>
    <t xml:space="preserve">Very short period, change dominated by surface erosion post eruption (gullying), less representative of long-term </t>
  </si>
  <si>
    <t>Short period, continued to gained height</t>
  </si>
  <si>
    <t>Representative of long-term?</t>
  </si>
  <si>
    <t>Unknown</t>
  </si>
  <si>
    <t>Tuff cone shoreline remained the same</t>
  </si>
  <si>
    <t xml:space="preserve">(4) Intense phreatomagmatic regrowth </t>
  </si>
  <si>
    <t>Collapse N/A</t>
  </si>
  <si>
    <r>
      <t>Volume (m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</si>
  <si>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 xml:space="preserve">Calculated mass (kg) </t>
  </si>
  <si>
    <t>Mass change (kg)</t>
  </si>
  <si>
    <t>Cumulative mass growth (kg)</t>
  </si>
  <si>
    <r>
      <t>Lost volume (m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</si>
  <si>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Lost mass, tuff only (kg)</t>
  </si>
  <si>
    <t>Erosion corrected mass growth (kg)</t>
  </si>
  <si>
    <t>Corrected cumulative mass growth (kg)</t>
  </si>
  <si>
    <t xml:space="preserve">Pre-Collapse </t>
  </si>
  <si>
    <t xml:space="preserve">Total Edifice </t>
  </si>
  <si>
    <t xml:space="preserve">Mass (kg) </t>
  </si>
  <si>
    <t xml:space="preserve">January 1960 </t>
  </si>
  <si>
    <t xml:space="preserve">December 2018 </t>
  </si>
  <si>
    <t xml:space="preserve">Pre-collapse 2018 </t>
  </si>
  <si>
    <t>Post-collapse 2018</t>
  </si>
  <si>
    <t xml:space="preserve">NE of the collapse scar </t>
  </si>
  <si>
    <t>1960 (tuff only)</t>
  </si>
  <si>
    <t>Pre-collapse 2018 (tuff + lava)</t>
  </si>
  <si>
    <t xml:space="preserve">SW of the collapse scar </t>
  </si>
  <si>
    <t xml:space="preserve">Post-Collapse </t>
  </si>
  <si>
    <t>June 2023</t>
  </si>
  <si>
    <t xml:space="preserve">Development stage </t>
  </si>
  <si>
    <t>DEM Name</t>
  </si>
  <si>
    <r>
      <t>Total Surface Area (km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</si>
  <si>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Total Volume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</si>
  <si>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t>Total Mass (kg)</t>
  </si>
  <si>
    <r>
      <t>SW Surface Area (km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</si>
  <si>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SW Volume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) </t>
    </r>
  </si>
  <si>
    <t>SW Mass (kg)</t>
  </si>
  <si>
    <r>
      <t>NE Surface Area (km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</si>
  <si>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NE Volume (km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</si>
  <si>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NE Mass (kg)</t>
  </si>
  <si>
    <r>
      <t>Kerys Meredew*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Sebastian F.L. Watt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Mike Cassidy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Achmad Fakhrus Shomim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Muhammad Edo Nurshal</t>
    </r>
    <r>
      <rPr>
        <vertAlign val="superscript"/>
        <sz val="11"/>
        <color rgb="FF000000"/>
        <rFont val="Arial"/>
        <family val="2"/>
      </rPr>
      <t>3, 4</t>
    </r>
    <r>
      <rPr>
        <sz val="11"/>
        <color rgb="FF000000"/>
        <rFont val="Arial"/>
        <family val="2"/>
      </rPr>
      <t>, Mirzam Abdurrachman</t>
    </r>
    <r>
      <rPr>
        <vertAlign val="superscript"/>
        <sz val="11"/>
        <color rgb="FF000000"/>
        <rFont val="Arial"/>
        <family val="2"/>
      </rPr>
      <t>4</t>
    </r>
    <r>
      <rPr>
        <sz val="11"/>
        <color rgb="FF000000"/>
        <rFont val="Arial"/>
        <family val="2"/>
      </rPr>
      <t>, Muhammad Hanif</t>
    </r>
    <r>
      <rPr>
        <vertAlign val="superscript"/>
        <sz val="11"/>
        <color rgb="FF000000"/>
        <rFont val="Arial"/>
        <family val="2"/>
      </rPr>
      <t>2, 5</t>
    </r>
    <r>
      <rPr>
        <sz val="11"/>
        <color rgb="FF000000"/>
        <rFont val="Arial"/>
        <family val="2"/>
      </rPr>
      <t>, Wilfridus F.S.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Dini Nurfiani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Samantha Engwell</t>
    </r>
    <r>
      <rPr>
        <vertAlign val="superscript"/>
        <sz val="11"/>
        <color rgb="FF000000"/>
        <rFont val="Arial"/>
        <family val="2"/>
      </rPr>
      <t>6</t>
    </r>
    <r>
      <rPr>
        <sz val="11"/>
        <color rgb="FF000000"/>
        <rFont val="Arial"/>
        <family val="2"/>
      </rPr>
      <t>, Victoria C. Smith</t>
    </r>
    <r>
      <rPr>
        <vertAlign val="superscript"/>
        <sz val="11"/>
        <color rgb="FF000000"/>
        <rFont val="Arial"/>
        <family val="2"/>
      </rPr>
      <t>7</t>
    </r>
    <r>
      <rPr>
        <sz val="11"/>
        <color rgb="FF000000"/>
        <rFont val="Arial"/>
        <family val="2"/>
      </rPr>
      <t>, Chiara M. Petrone</t>
    </r>
    <r>
      <rPr>
        <vertAlign val="superscript"/>
        <sz val="11"/>
        <color rgb="FF000000"/>
        <rFont val="Arial"/>
        <family val="2"/>
      </rPr>
      <t>8</t>
    </r>
    <r>
      <rPr>
        <sz val="11"/>
        <color rgb="FF000000"/>
        <rFont val="Arial"/>
        <family val="2"/>
      </rPr>
      <t>, Carl T.E. Stevenson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and Devy Kamil Syahbana</t>
    </r>
    <r>
      <rPr>
        <vertAlign val="superscript"/>
        <sz val="11"/>
        <color rgb="FF000000"/>
        <rFont val="Arial"/>
        <family val="2"/>
      </rPr>
      <t>9</t>
    </r>
  </si>
  <si>
    <r>
      <t xml:space="preserve">5 </t>
    </r>
    <r>
      <rPr>
        <sz val="11"/>
        <color rgb="FF000000"/>
        <rFont val="Arial"/>
        <family val="2"/>
      </rPr>
      <t>Geospatial Imaging and Information Research Group (GI2RG), Faculty of Built Environment and Surveying, Universiti Teknologi Malaysia, Malaysia</t>
    </r>
  </si>
  <si>
    <r>
      <t>6</t>
    </r>
    <r>
      <rPr>
        <sz val="11"/>
        <color rgb="FF000000"/>
        <rFont val="Arial"/>
        <family val="2"/>
      </rPr>
      <t xml:space="preserve"> British Geological Survey, The Lyell Centre, Edinburgh, UK</t>
    </r>
  </si>
  <si>
    <r>
      <t>7</t>
    </r>
    <r>
      <rPr>
        <sz val="11"/>
        <color rgb="FF000000"/>
        <rFont val="Arial"/>
        <family val="2"/>
      </rPr>
      <t xml:space="preserve"> Research Laboratory for Archaeology and the History of Art, School of Archaeology, University of Oxford, Oxford, UK</t>
    </r>
  </si>
  <si>
    <r>
      <t>8</t>
    </r>
    <r>
      <rPr>
        <sz val="11"/>
        <color rgb="FF000000"/>
        <rFont val="Arial"/>
        <family val="2"/>
      </rPr>
      <t xml:space="preserve"> Volcano Petrology Group, Natural History Museum, Cromwell Road, London, UK</t>
    </r>
  </si>
  <si>
    <r>
      <t xml:space="preserve">9 </t>
    </r>
    <r>
      <rPr>
        <sz val="11"/>
        <color rgb="FF000000"/>
        <rFont val="Arial"/>
        <family val="2"/>
      </rPr>
      <t>Center for Volcanology and Geological Hazard Mitigation, Geological Agency, Ministry of Energy and Mineral Resources of Indonesia, Bandung, Indonesia</t>
    </r>
  </si>
  <si>
    <t>*kxm574@student.bham.ac.uk [corresponding author]</t>
  </si>
  <si>
    <r>
      <t xml:space="preserve">The DEMs used within the main paper can be downloaded here: </t>
    </r>
    <r>
      <rPr>
        <u/>
        <sz val="11"/>
        <color theme="1"/>
        <rFont val="Arial"/>
        <family val="2"/>
      </rPr>
      <t>https://doi.org/10.5281/zenodo.17284993</t>
    </r>
  </si>
  <si>
    <t>Calculated mass (kg - scientific format)</t>
  </si>
  <si>
    <t xml:space="preserve">SW Mass (kg - scientific format) </t>
  </si>
  <si>
    <t>NE Mass (kg- scientific format)</t>
  </si>
  <si>
    <r>
      <t>Upper Bound (2315.102 kg/m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</si>
  <si>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Lower Bound (2080.00 kg/m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</si>
  <si>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 xml:space="preserve">2018 - 1960 (lava only) </t>
  </si>
  <si>
    <t xml:space="preserve">2018 -1960 (lava only) </t>
  </si>
  <si>
    <r>
      <t xml:space="preserve">Note: </t>
    </r>
    <r>
      <rPr>
        <i/>
        <sz val="11"/>
        <color theme="1"/>
        <rFont val="Arial"/>
        <family val="2"/>
      </rPr>
      <t>Calculating initial post-collapse mass based on the pre-collapse proportion of tuff to lava in the remnant portion of the edifice. All material emplaced pre-1960 is assumed to be represented by tuff (density of 1690.323 kg/m3), all material emplaced between 1960-2018 is assumed to be represented by lava, but is calculated using two bounds: an upper bound of entirely lava (density of 2315.102 kg/m3) and a lower bound using a 75:25 ratio of lava:pyroclastic cone (density of 2080.00 kg/m</t>
    </r>
    <r>
      <rPr>
        <i/>
        <vertAlign val="superscript"/>
        <sz val="11"/>
        <color theme="1"/>
        <rFont val="Arial"/>
        <family val="2"/>
      </rPr>
      <t>3</t>
    </r>
    <r>
      <rPr>
        <i/>
        <sz val="11"/>
        <color theme="1"/>
        <rFont val="Arial"/>
        <family val="2"/>
      </rPr>
      <t>). All material to the SW of the collapse scar was removed by the December 2018 failure.</t>
    </r>
  </si>
  <si>
    <t>Online Resource 4: Reconstructed Structural Development of Anak Krakatau (1927-2023)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</si>
</sst>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00000"/>
    <numFmt numFmtId="165" formatCode="0.000000000"/>
    <numFmt numFmtId="166" formatCode="0.000000"/>
    <numFmt numFmtId="167" formatCode="0.0000"/>
    <numFmt numFmtId="168" formatCode="0.0000000"/>
    <numFmt numFmtId="169" formatCode="0.00000"/>
    <numFmt numFmtId="170" formatCode="0.00000000000000"/>
    <numFmt numFmtId="171" formatCode="0.0000000000000"/>
    <numFmt numFmtId="172" formatCode="0.000000000000000000"/>
    <numFmt numFmtId="173" formatCode="0.000000000000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vertAlign val="superscript"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name val="Arial"/>
      <family val="2"/>
    </font>
    <font>
      <b/>
      <sz val="11"/>
      <color rgb="FF0030B8"/>
      <name val="Arial"/>
      <family val="2"/>
    </font>
    <font>
      <sz val="11"/>
      <color theme="1"/>
      <name val="Arial"/>
      <family val="2"/>
    </font>
    <font>
      <sz val="11"/>
      <color theme="1"/>
      <name val="Courier New"/>
      <family val="3"/>
    </font>
    <font>
      <u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DEFC"/>
        <bgColor indexed="64"/>
      </patternFill>
    </fill>
    <fill>
      <patternFill patternType="solid">
        <fgColor rgb="FFA6BAF8"/>
        <bgColor indexed="64"/>
      </patternFill>
    </fill>
    <fill>
      <patternFill patternType="solid">
        <fgColor rgb="FFFFDDA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30B8"/>
      </top>
      <bottom/>
      <diagonal/>
    </border>
    <border>
      <left style="thin">
        <color indexed="64"/>
      </left>
      <right style="medium">
        <color rgb="FF0030B8"/>
      </right>
      <top style="medium">
        <color rgb="FF0030B8"/>
      </top>
      <bottom/>
      <diagonal/>
    </border>
    <border>
      <left style="thin">
        <color indexed="64"/>
      </left>
      <right style="medium">
        <color rgb="FF0030B8"/>
      </right>
      <top style="thin">
        <color indexed="64"/>
      </top>
      <bottom style="thin">
        <color indexed="64"/>
      </bottom>
      <diagonal/>
    </border>
    <border>
      <left style="medium">
        <color rgb="FF0030B8"/>
      </left>
      <right style="thin">
        <color indexed="64"/>
      </right>
      <top style="medium">
        <color rgb="FF0030B8"/>
      </top>
      <bottom/>
      <diagonal/>
    </border>
    <border>
      <left style="medium">
        <color rgb="FF0030B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0B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30B8"/>
      </right>
      <top/>
      <bottom style="thin">
        <color indexed="64"/>
      </bottom>
      <diagonal/>
    </border>
    <border>
      <left style="medium">
        <color rgb="FF0030B8"/>
      </left>
      <right style="thin">
        <color indexed="64"/>
      </right>
      <top/>
      <bottom style="medium">
        <color rgb="FF0030B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30B8"/>
      </bottom>
      <diagonal/>
    </border>
    <border>
      <left style="thin">
        <color indexed="64"/>
      </left>
      <right style="medium">
        <color rgb="FF0030B8"/>
      </right>
      <top style="thin">
        <color indexed="64"/>
      </top>
      <bottom style="medium">
        <color rgb="FF0030B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17" fontId="3" fillId="0" borderId="1" xfId="0" applyNumberFormat="1" applyFont="1" applyBorder="1" applyAlignment="1">
      <alignment horizontal="left" vertical="top"/>
    </xf>
    <xf numFmtId="17" fontId="3" fillId="0" borderId="1" xfId="0" applyNumberFormat="1" applyFont="1" applyBorder="1" applyAlignment="1">
      <alignment vertical="top"/>
    </xf>
    <xf numFmtId="0" fontId="3" fillId="0" borderId="0" xfId="0" applyFont="1" applyAlignment="1">
      <alignment horizontal="left" vertical="top"/>
    </xf>
    <xf numFmtId="14" fontId="3" fillId="0" borderId="1" xfId="0" applyNumberFormat="1" applyFont="1" applyBorder="1" applyAlignment="1">
      <alignment horizontal="center" vertical="top"/>
    </xf>
    <xf numFmtId="17" fontId="3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2" fontId="3" fillId="0" borderId="0" xfId="0" applyNumberFormat="1" applyFont="1"/>
    <xf numFmtId="165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/>
    </xf>
    <xf numFmtId="168" fontId="3" fillId="0" borderId="0" xfId="0" applyNumberFormat="1" applyFont="1"/>
    <xf numFmtId="0" fontId="3" fillId="0" borderId="0" xfId="0" applyFont="1" applyAlignment="1">
      <alignment horizontal="right"/>
    </xf>
    <xf numFmtId="0" fontId="9" fillId="0" borderId="0" xfId="0" applyFont="1" applyAlignment="1">
      <alignment vertical="top"/>
    </xf>
    <xf numFmtId="165" fontId="3" fillId="0" borderId="0" xfId="0" applyNumberFormat="1" applyFont="1"/>
    <xf numFmtId="164" fontId="3" fillId="0" borderId="0" xfId="0" applyNumberFormat="1" applyFont="1"/>
    <xf numFmtId="0" fontId="7" fillId="0" borderId="0" xfId="0" applyFont="1"/>
    <xf numFmtId="168" fontId="7" fillId="0" borderId="0" xfId="0" applyNumberFormat="1" applyFont="1"/>
    <xf numFmtId="0" fontId="12" fillId="0" borderId="0" xfId="0" applyFont="1"/>
    <xf numFmtId="166" fontId="3" fillId="0" borderId="0" xfId="0" applyNumberFormat="1" applyFont="1"/>
    <xf numFmtId="0" fontId="10" fillId="0" borderId="0" xfId="0" applyFont="1" applyAlignment="1">
      <alignment horizontal="right"/>
    </xf>
    <xf numFmtId="0" fontId="13" fillId="0" borderId="0" xfId="0" applyFont="1"/>
    <xf numFmtId="0" fontId="10" fillId="0" borderId="0" xfId="0" applyFont="1"/>
    <xf numFmtId="0" fontId="7" fillId="2" borderId="1" xfId="0" applyFont="1" applyFill="1" applyBorder="1" applyAlignment="1">
      <alignment horizontal="left" vertical="top"/>
    </xf>
    <xf numFmtId="0" fontId="3" fillId="0" borderId="1" xfId="0" applyFont="1" applyBorder="1"/>
    <xf numFmtId="2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vertical="top" wrapText="1"/>
    </xf>
    <xf numFmtId="2" fontId="9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/>
    <xf numFmtId="164" fontId="9" fillId="0" borderId="1" xfId="0" applyNumberFormat="1" applyFont="1" applyBorder="1" applyAlignment="1">
      <alignment vertical="top"/>
    </xf>
    <xf numFmtId="168" fontId="3" fillId="0" borderId="1" xfId="0" applyNumberFormat="1" applyFont="1" applyBorder="1"/>
    <xf numFmtId="2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/>
    <xf numFmtId="1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vertical="top" wrapText="1"/>
    </xf>
    <xf numFmtId="167" fontId="9" fillId="0" borderId="1" xfId="0" applyNumberFormat="1" applyFont="1" applyBorder="1" applyAlignment="1">
      <alignment vertical="top"/>
    </xf>
    <xf numFmtId="167" fontId="10" fillId="0" borderId="1" xfId="0" applyNumberFormat="1" applyFont="1" applyBorder="1" applyAlignment="1">
      <alignment vertical="top"/>
    </xf>
    <xf numFmtId="168" fontId="3" fillId="0" borderId="1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vertical="top" wrapText="1"/>
    </xf>
    <xf numFmtId="167" fontId="9" fillId="0" borderId="1" xfId="0" applyNumberFormat="1" applyFont="1" applyBorder="1" applyAlignment="1">
      <alignment vertical="top" wrapText="1"/>
    </xf>
    <xf numFmtId="167" fontId="10" fillId="0" borderId="1" xfId="0" applyNumberFormat="1" applyFont="1" applyBorder="1" applyAlignment="1">
      <alignment vertical="top" wrapText="1"/>
    </xf>
    <xf numFmtId="168" fontId="3" fillId="0" borderId="1" xfId="0" applyNumberFormat="1" applyFont="1" applyBorder="1" applyAlignment="1">
      <alignment vertical="top" wrapText="1"/>
    </xf>
    <xf numFmtId="165" fontId="3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165" fontId="14" fillId="0" borderId="1" xfId="0" applyNumberFormat="1" applyFont="1" applyBorder="1" applyAlignment="1">
      <alignment vertical="top"/>
    </xf>
    <xf numFmtId="165" fontId="14" fillId="0" borderId="1" xfId="0" applyNumberFormat="1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169" fontId="3" fillId="0" borderId="1" xfId="0" applyNumberFormat="1" applyFont="1" applyBorder="1"/>
    <xf numFmtId="167" fontId="3" fillId="0" borderId="1" xfId="0" applyNumberFormat="1" applyFont="1" applyBorder="1"/>
    <xf numFmtId="169" fontId="3" fillId="0" borderId="1" xfId="0" applyNumberFormat="1" applyFont="1" applyBorder="1" applyAlignment="1">
      <alignment vertical="top"/>
    </xf>
    <xf numFmtId="169" fontId="3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vertical="top"/>
    </xf>
    <xf numFmtId="167" fontId="9" fillId="0" borderId="1" xfId="0" applyNumberFormat="1" applyFont="1" applyBorder="1"/>
    <xf numFmtId="0" fontId="16" fillId="0" borderId="1" xfId="0" applyFont="1" applyBorder="1" applyAlignment="1">
      <alignment vertical="top"/>
    </xf>
    <xf numFmtId="165" fontId="7" fillId="0" borderId="0" xfId="0" applyNumberFormat="1" applyFont="1"/>
    <xf numFmtId="2" fontId="9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2" fontId="3" fillId="0" borderId="1" xfId="1" applyNumberFormat="1" applyFont="1" applyFill="1" applyBorder="1"/>
    <xf numFmtId="2" fontId="10" fillId="0" borderId="1" xfId="0" applyNumberFormat="1" applyFont="1" applyBorder="1"/>
    <xf numFmtId="2" fontId="9" fillId="0" borderId="1" xfId="0" applyNumberFormat="1" applyFont="1" applyBorder="1"/>
    <xf numFmtId="2" fontId="7" fillId="0" borderId="1" xfId="0" applyNumberFormat="1" applyFont="1" applyBorder="1"/>
    <xf numFmtId="165" fontId="7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top"/>
    </xf>
    <xf numFmtId="166" fontId="3" fillId="0" borderId="0" xfId="0" applyNumberFormat="1" applyFont="1" applyAlignment="1">
      <alignment horizontal="right" vertical="top"/>
    </xf>
    <xf numFmtId="11" fontId="3" fillId="0" borderId="0" xfId="0" applyNumberFormat="1" applyFont="1"/>
    <xf numFmtId="0" fontId="10" fillId="0" borderId="1" xfId="0" applyFont="1" applyBorder="1" applyAlignment="1">
      <alignment horizontal="right" vertical="top"/>
    </xf>
    <xf numFmtId="0" fontId="18" fillId="0" borderId="0" xfId="0" applyFont="1"/>
    <xf numFmtId="2" fontId="18" fillId="0" borderId="0" xfId="0" applyNumberFormat="1" applyFont="1"/>
    <xf numFmtId="169" fontId="3" fillId="0" borderId="0" xfId="0" applyNumberFormat="1" applyFont="1"/>
    <xf numFmtId="167" fontId="3" fillId="0" borderId="0" xfId="0" applyNumberFormat="1" applyFont="1"/>
    <xf numFmtId="0" fontId="19" fillId="0" borderId="0" xfId="0" applyFont="1"/>
    <xf numFmtId="1" fontId="3" fillId="0" borderId="0" xfId="0" applyNumberFormat="1" applyFont="1"/>
    <xf numFmtId="170" fontId="3" fillId="0" borderId="0" xfId="0" applyNumberFormat="1" applyFont="1"/>
    <xf numFmtId="171" fontId="3" fillId="0" borderId="0" xfId="0" applyNumberFormat="1" applyFont="1"/>
    <xf numFmtId="2" fontId="3" fillId="0" borderId="0" xfId="0" applyNumberFormat="1" applyFont="1" applyAlignment="1">
      <alignment horizontal="right"/>
    </xf>
    <xf numFmtId="172" fontId="3" fillId="0" borderId="0" xfId="0" applyNumberFormat="1" applyFont="1"/>
    <xf numFmtId="173" fontId="3" fillId="0" borderId="0" xfId="0" applyNumberFormat="1" applyFont="1"/>
    <xf numFmtId="0" fontId="3" fillId="0" borderId="2" xfId="0" applyFont="1" applyBorder="1"/>
    <xf numFmtId="0" fontId="3" fillId="0" borderId="6" xfId="0" applyFont="1" applyBorder="1"/>
    <xf numFmtId="2" fontId="3" fillId="0" borderId="4" xfId="0" applyNumberFormat="1" applyFont="1" applyBorder="1"/>
    <xf numFmtId="2" fontId="3" fillId="0" borderId="8" xfId="0" applyNumberFormat="1" applyFont="1" applyBorder="1"/>
    <xf numFmtId="0" fontId="18" fillId="0" borderId="1" xfId="0" applyFont="1" applyBorder="1"/>
    <xf numFmtId="2" fontId="3" fillId="0" borderId="10" xfId="0" applyNumberFormat="1" applyFont="1" applyBorder="1"/>
    <xf numFmtId="0" fontId="3" fillId="0" borderId="11" xfId="0" applyFont="1" applyBorder="1"/>
    <xf numFmtId="2" fontId="3" fillId="0" borderId="12" xfId="0" applyNumberFormat="1" applyFont="1" applyBorder="1"/>
    <xf numFmtId="0" fontId="3" fillId="0" borderId="4" xfId="0" applyFont="1" applyBorder="1"/>
    <xf numFmtId="2" fontId="3" fillId="0" borderId="13" xfId="0" applyNumberFormat="1" applyFont="1" applyBorder="1"/>
    <xf numFmtId="2" fontId="18" fillId="0" borderId="1" xfId="0" applyNumberFormat="1" applyFont="1" applyBorder="1"/>
    <xf numFmtId="2" fontId="3" fillId="0" borderId="16" xfId="0" applyNumberFormat="1" applyFont="1" applyBorder="1"/>
    <xf numFmtId="0" fontId="3" fillId="0" borderId="18" xfId="0" applyFont="1" applyBorder="1" applyAlignment="1">
      <alignment horizontal="left"/>
    </xf>
    <xf numFmtId="0" fontId="18" fillId="0" borderId="19" xfId="0" applyFont="1" applyBorder="1"/>
    <xf numFmtId="2" fontId="3" fillId="0" borderId="20" xfId="0" applyNumberFormat="1" applyFont="1" applyBorder="1"/>
    <xf numFmtId="0" fontId="18" fillId="0" borderId="18" xfId="0" applyFont="1" applyBorder="1"/>
    <xf numFmtId="0" fontId="18" fillId="0" borderId="21" xfId="0" applyFont="1" applyBorder="1"/>
    <xf numFmtId="2" fontId="18" fillId="0" borderId="22" xfId="0" applyNumberFormat="1" applyFont="1" applyBorder="1"/>
    <xf numFmtId="2" fontId="3" fillId="0" borderId="23" xfId="0" applyNumberFormat="1" applyFont="1" applyBorder="1"/>
    <xf numFmtId="0" fontId="7" fillId="2" borderId="17" xfId="0" applyFont="1" applyFill="1" applyBorder="1"/>
    <xf numFmtId="0" fontId="7" fillId="2" borderId="14" xfId="0" applyFont="1" applyFill="1" applyBorder="1" applyAlignment="1">
      <alignment horizontal="right"/>
    </xf>
    <xf numFmtId="0" fontId="7" fillId="2" borderId="15" xfId="0" applyFont="1" applyFill="1" applyBorder="1" applyAlignment="1">
      <alignment horizontal="right"/>
    </xf>
    <xf numFmtId="0" fontId="7" fillId="2" borderId="5" xfId="0" applyFont="1" applyFill="1" applyBorder="1"/>
    <xf numFmtId="0" fontId="7" fillId="2" borderId="9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49" fontId="3" fillId="0" borderId="0" xfId="0" applyNumberFormat="1" applyFont="1" applyAlignment="1">
      <alignment horizontal="left" vertical="center"/>
    </xf>
    <xf numFmtId="11" fontId="3" fillId="0" borderId="1" xfId="0" applyNumberFormat="1" applyFont="1" applyBorder="1"/>
    <xf numFmtId="11" fontId="9" fillId="0" borderId="1" xfId="0" applyNumberFormat="1" applyFont="1" applyBorder="1"/>
    <xf numFmtId="11" fontId="3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 wrapText="1" readingOrder="1"/>
    </xf>
    <xf numFmtId="0" fontId="7" fillId="6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center"/>
    </xf>
  </cellXfs>
  <cellStyles count="3">
    <cellStyle name="Comma" xfId="1" builtinId="3"/>
    <cellStyle name="Comma 2" xfId="2" xr:uid="{27025171-72AA-47C3-ADA2-3EE67BB25E9B}"/>
    <cellStyle name="Normal" xfId="0" builtinId="0"/>
  </cellStyles>
  <dxfs count="0"/>
  <tableStyles count="0" defaultTableStyle="TableStyleMedium2" defaultPivotStyle="PivotStyleLight16"/>
  <colors>
    <mruColors>
      <color rgb="FFFA8282"/>
      <color rgb="FFFF7C80"/>
      <color rgb="FF0030B8"/>
      <color rgb="FFFFDDA7"/>
      <color rgb="FF99D987"/>
      <color rgb="FFA6BAF8"/>
      <color rgb="FFD4DEFC"/>
      <color rgb="FFAFF197"/>
      <color rgb="FF1E8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47943</xdr:colOff>
      <xdr:row>4</xdr:row>
      <xdr:rowOff>51079</xdr:rowOff>
    </xdr:from>
    <xdr:to>
      <xdr:col>8</xdr:col>
      <xdr:colOff>476250</xdr:colOff>
      <xdr:row>20</xdr:row>
      <xdr:rowOff>2892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F29FD3E-ED70-CF25-EF0F-B18F3701DD5F}"/>
            </a:ext>
          </a:extLst>
        </xdr:cNvPr>
        <xdr:cNvGrpSpPr/>
      </xdr:nvGrpSpPr>
      <xdr:grpSpPr>
        <a:xfrm>
          <a:off x="5067618" y="1451254"/>
          <a:ext cx="2866707" cy="2952188"/>
          <a:chOff x="5677218" y="1232179"/>
          <a:chExt cx="2866707" cy="2952188"/>
        </a:xfrm>
      </xdr:grpSpPr>
      <xdr:pic>
        <xdr:nvPicPr>
          <xdr:cNvPr id="22" name="Picture 2051989506">
            <a:extLst>
              <a:ext uri="{FF2B5EF4-FFF2-40B4-BE49-F238E27FC236}">
                <a16:creationId xmlns:a16="http://schemas.microsoft.com/office/drawing/2014/main" id="{15878FFC-E996-C78E-28E2-7FCD5DB1F57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77218" y="1232179"/>
            <a:ext cx="2866707" cy="295218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E4A951D7-47CC-4CA5-8EB3-36E5073E3B61}"/>
              </a:ext>
            </a:extLst>
          </xdr:cNvPr>
          <xdr:cNvSpPr txBox="1"/>
        </xdr:nvSpPr>
        <xdr:spPr>
          <a:xfrm>
            <a:off x="7429500" y="1419224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NE of collapse scar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B15D499A-E75F-4CEC-A85F-7F386341353C}"/>
              </a:ext>
            </a:extLst>
          </xdr:cNvPr>
          <xdr:cNvSpPr txBox="1"/>
        </xdr:nvSpPr>
        <xdr:spPr>
          <a:xfrm>
            <a:off x="5800725" y="36766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SW of collapse scar</a:t>
            </a: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5A079D6B-3CF3-4F79-B27D-840F49104FB8}"/>
              </a:ext>
            </a:extLst>
          </xdr:cNvPr>
          <xdr:cNvSpPr txBox="1"/>
        </xdr:nvSpPr>
        <xdr:spPr>
          <a:xfrm rot="1971402">
            <a:off x="7553325" y="3609975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Collapse</a:t>
            </a:r>
            <a:r>
              <a:rPr lang="en-GB" sz="1050" baseline="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geometry</a:t>
            </a:r>
            <a:endParaRPr lang="en-GB" sz="1050">
              <a:solidFill>
                <a:srgbClr val="FA828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45755</xdr:colOff>
      <xdr:row>4</xdr:row>
      <xdr:rowOff>51079</xdr:rowOff>
    </xdr:from>
    <xdr:to>
      <xdr:col>13</xdr:col>
      <xdr:colOff>523876</xdr:colOff>
      <xdr:row>19</xdr:row>
      <xdr:rowOff>179491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711AD36B-3C26-4BE8-A741-1221E3BA6046}"/>
            </a:ext>
          </a:extLst>
        </xdr:cNvPr>
        <xdr:cNvGrpSpPr/>
      </xdr:nvGrpSpPr>
      <xdr:grpSpPr>
        <a:xfrm>
          <a:off x="8113430" y="1451254"/>
          <a:ext cx="2916521" cy="2947812"/>
          <a:chOff x="8723030" y="1232179"/>
          <a:chExt cx="2916521" cy="2947812"/>
        </a:xfrm>
      </xdr:grpSpPr>
      <xdr:pic>
        <xdr:nvPicPr>
          <xdr:cNvPr id="24" name="Picture 1092316041">
            <a:extLst>
              <a:ext uri="{FF2B5EF4-FFF2-40B4-BE49-F238E27FC236}">
                <a16:creationId xmlns:a16="http://schemas.microsoft.com/office/drawing/2014/main" id="{1308E5D1-AEA7-846B-3954-8D401FB5C2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3030" y="1232179"/>
            <a:ext cx="2871132" cy="29478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24DFBFB-2D8E-65BE-AEA9-5CD9336B6AEB}"/>
              </a:ext>
            </a:extLst>
          </xdr:cNvPr>
          <xdr:cNvSpPr txBox="1"/>
        </xdr:nvSpPr>
        <xdr:spPr>
          <a:xfrm>
            <a:off x="10525125" y="1419224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NE of collapse scar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44426890-EDE1-452E-95F2-3517199BC392}"/>
              </a:ext>
            </a:extLst>
          </xdr:cNvPr>
          <xdr:cNvSpPr txBox="1"/>
        </xdr:nvSpPr>
        <xdr:spPr>
          <a:xfrm>
            <a:off x="8753475" y="36766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SW of collapse scar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620341DF-19AC-4829-AAE9-179E8AA2C3DE}"/>
              </a:ext>
            </a:extLst>
          </xdr:cNvPr>
          <xdr:cNvSpPr txBox="1"/>
        </xdr:nvSpPr>
        <xdr:spPr>
          <a:xfrm rot="1971402">
            <a:off x="10668001" y="3667125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Collapse</a:t>
            </a:r>
            <a:r>
              <a:rPr lang="en-GB" sz="1050" baseline="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geometry</a:t>
            </a:r>
            <a:endParaRPr lang="en-GB" sz="1050">
              <a:solidFill>
                <a:srgbClr val="FA828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45755</xdr:colOff>
      <xdr:row>23</xdr:row>
      <xdr:rowOff>51079</xdr:rowOff>
    </xdr:from>
    <xdr:to>
      <xdr:col>13</xdr:col>
      <xdr:colOff>590551</xdr:colOff>
      <xdr:row>39</xdr:row>
      <xdr:rowOff>133351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717E1082-A744-17CD-746B-1351458FA163}"/>
            </a:ext>
          </a:extLst>
        </xdr:cNvPr>
        <xdr:cNvGrpSpPr/>
      </xdr:nvGrpSpPr>
      <xdr:grpSpPr>
        <a:xfrm>
          <a:off x="8113430" y="5080279"/>
          <a:ext cx="2983196" cy="3063597"/>
          <a:chOff x="8723030" y="4785004"/>
          <a:chExt cx="2983196" cy="2977872"/>
        </a:xfrm>
      </xdr:grpSpPr>
      <xdr:pic>
        <xdr:nvPicPr>
          <xdr:cNvPr id="21" name="Picture 395078953">
            <a:extLst>
              <a:ext uri="{FF2B5EF4-FFF2-40B4-BE49-F238E27FC236}">
                <a16:creationId xmlns:a16="http://schemas.microsoft.com/office/drawing/2014/main" id="{E3F863C0-F5D2-1AF8-EB67-5CC6F2B898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3030" y="4785004"/>
            <a:ext cx="2866707" cy="295218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2D6B624F-E04C-48AF-83D0-ADE15050651E}"/>
              </a:ext>
            </a:extLst>
          </xdr:cNvPr>
          <xdr:cNvSpPr txBox="1"/>
        </xdr:nvSpPr>
        <xdr:spPr>
          <a:xfrm>
            <a:off x="10525125" y="49339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NE of collapse scar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5F5B9628-71DA-4406-99EE-4AD4C1ADCC68}"/>
              </a:ext>
            </a:extLst>
          </xdr:cNvPr>
          <xdr:cNvSpPr txBox="1"/>
        </xdr:nvSpPr>
        <xdr:spPr>
          <a:xfrm>
            <a:off x="8753475" y="71818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SW of collapse scar</a:t>
            </a: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439528B3-8075-4C57-A9FE-AC810CFB87BE}"/>
              </a:ext>
            </a:extLst>
          </xdr:cNvPr>
          <xdr:cNvSpPr txBox="1"/>
        </xdr:nvSpPr>
        <xdr:spPr>
          <a:xfrm rot="1971402">
            <a:off x="10734676" y="7267575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Collapse</a:t>
            </a:r>
            <a:r>
              <a:rPr lang="en-GB" sz="1050" baseline="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geometry</a:t>
            </a:r>
            <a:endParaRPr lang="en-GB" sz="1050">
              <a:solidFill>
                <a:srgbClr val="FA828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47943</xdr:colOff>
      <xdr:row>23</xdr:row>
      <xdr:rowOff>51079</xdr:rowOff>
    </xdr:from>
    <xdr:to>
      <xdr:col>8</xdr:col>
      <xdr:colOff>480675</xdr:colOff>
      <xdr:row>39</xdr:row>
      <xdr:rowOff>112043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AB408E55-ABB7-A49B-D5B2-1266B98F4509}"/>
            </a:ext>
          </a:extLst>
        </xdr:cNvPr>
        <xdr:cNvGrpSpPr/>
      </xdr:nvGrpSpPr>
      <xdr:grpSpPr>
        <a:xfrm>
          <a:off x="5067618" y="5080279"/>
          <a:ext cx="2871132" cy="3042289"/>
          <a:chOff x="5677218" y="4785004"/>
          <a:chExt cx="2871132" cy="2956564"/>
        </a:xfrm>
      </xdr:grpSpPr>
      <xdr:pic>
        <xdr:nvPicPr>
          <xdr:cNvPr id="23" name="Picture 2113208849">
            <a:extLst>
              <a:ext uri="{FF2B5EF4-FFF2-40B4-BE49-F238E27FC236}">
                <a16:creationId xmlns:a16="http://schemas.microsoft.com/office/drawing/2014/main" id="{37B460B7-CC9B-C45F-FFAA-617DB6BD3E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77218" y="4785004"/>
            <a:ext cx="2871132" cy="295656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507AF9-5B4C-4A9F-8362-37469012C56B}"/>
              </a:ext>
            </a:extLst>
          </xdr:cNvPr>
          <xdr:cNvSpPr txBox="1"/>
        </xdr:nvSpPr>
        <xdr:spPr>
          <a:xfrm>
            <a:off x="7429500" y="49339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NE of collapse scar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BA601FAE-C7EB-4CF6-A41F-D3C9A89676B3}"/>
              </a:ext>
            </a:extLst>
          </xdr:cNvPr>
          <xdr:cNvSpPr txBox="1"/>
        </xdr:nvSpPr>
        <xdr:spPr>
          <a:xfrm>
            <a:off x="5800725" y="7181849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latin typeface="Arial" panose="020B0604020202020204" pitchFamily="34" charset="0"/>
                <a:cs typeface="Arial" panose="020B0604020202020204" pitchFamily="34" charset="0"/>
              </a:rPr>
              <a:t>SW of collapse scar</a:t>
            </a: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18CC0510-F5D8-4111-B3C3-072922063F8A}"/>
              </a:ext>
            </a:extLst>
          </xdr:cNvPr>
          <xdr:cNvSpPr txBox="1"/>
        </xdr:nvSpPr>
        <xdr:spPr>
          <a:xfrm rot="1971402">
            <a:off x="7486651" y="7153274"/>
            <a:ext cx="971550" cy="4953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5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Collapse</a:t>
            </a:r>
            <a:r>
              <a:rPr lang="en-GB" sz="1050" baseline="0">
                <a:solidFill>
                  <a:srgbClr val="FA828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geometry</a:t>
            </a:r>
            <a:endParaRPr lang="en-GB" sz="1050">
              <a:solidFill>
                <a:srgbClr val="FA828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C36B-71C8-44C0-BF17-F1C27DE337A1}">
  <dimension ref="A1:N19"/>
  <sheetViews>
    <sheetView tabSelected="1" workbookViewId="0">
      <selection activeCell="K6" sqref="K6"/>
    </sheetView>
  </sheetViews>
  <sheetFormatPr defaultRowHeight="14.25" x14ac:dyDescent="0.2"/>
  <cols>
    <col min="1" max="16384" width="9.140625" style="2"/>
  </cols>
  <sheetData>
    <row r="1" spans="1:14" ht="15.75" x14ac:dyDescent="0.25">
      <c r="A1" s="1" t="s">
        <v>193</v>
      </c>
    </row>
    <row r="3" spans="1:14" ht="15" x14ac:dyDescent="0.2">
      <c r="A3" s="3" t="s">
        <v>0</v>
      </c>
    </row>
    <row r="4" spans="1:14" ht="51.75" customHeight="1" x14ac:dyDescent="0.2">
      <c r="A4" s="135" t="s">
        <v>177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ht="15" x14ac:dyDescent="0.2">
      <c r="A5" s="3"/>
    </row>
    <row r="6" spans="1:14" ht="16.5" x14ac:dyDescent="0.2">
      <c r="A6" s="4" t="s">
        <v>1</v>
      </c>
    </row>
    <row r="7" spans="1:14" ht="16.5" x14ac:dyDescent="0.2">
      <c r="A7" s="4" t="s">
        <v>2</v>
      </c>
    </row>
    <row r="8" spans="1:14" ht="16.5" x14ac:dyDescent="0.2">
      <c r="A8" s="4" t="s">
        <v>3</v>
      </c>
    </row>
    <row r="9" spans="1:14" ht="16.5" x14ac:dyDescent="0.2">
      <c r="A9" s="4" t="s">
        <v>4</v>
      </c>
    </row>
    <row r="10" spans="1:14" ht="16.5" x14ac:dyDescent="0.2">
      <c r="A10" s="4" t="s">
        <v>178</v>
      </c>
    </row>
    <row r="11" spans="1:14" ht="16.5" x14ac:dyDescent="0.2">
      <c r="A11" s="4" t="s">
        <v>179</v>
      </c>
    </row>
    <row r="12" spans="1:14" ht="16.5" x14ac:dyDescent="0.2">
      <c r="A12" s="4" t="s">
        <v>180</v>
      </c>
    </row>
    <row r="13" spans="1:14" ht="16.5" x14ac:dyDescent="0.2">
      <c r="A13" s="4" t="s">
        <v>181</v>
      </c>
    </row>
    <row r="14" spans="1:14" ht="16.5" x14ac:dyDescent="0.2">
      <c r="A14" s="4" t="s">
        <v>182</v>
      </c>
    </row>
    <row r="16" spans="1:14" x14ac:dyDescent="0.2">
      <c r="A16" s="2" t="s">
        <v>183</v>
      </c>
    </row>
    <row r="19" spans="1:1" x14ac:dyDescent="0.2">
      <c r="A19" s="2" t="s">
        <v>184</v>
      </c>
    </row>
  </sheetData>
  <mergeCells count="1">
    <mergeCell ref="A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75FE-095D-4821-8FCD-A33B3A3B5A40}">
  <dimension ref="A1:H75"/>
  <sheetViews>
    <sheetView zoomScale="90" zoomScaleNormal="90" workbookViewId="0">
      <pane ySplit="1" topLeftCell="A8" activePane="bottomLeft" state="frozen"/>
      <selection pane="bottomLeft" activeCell="H36" sqref="H36"/>
    </sheetView>
  </sheetViews>
  <sheetFormatPr defaultRowHeight="14.25" x14ac:dyDescent="0.25"/>
  <cols>
    <col min="1" max="1" width="22.7109375" style="8" customWidth="1"/>
    <col min="2" max="2" width="12.7109375" style="17" customWidth="1"/>
    <col min="3" max="5" width="12.7109375" style="8" customWidth="1"/>
    <col min="6" max="6" width="43.5703125" style="8" customWidth="1"/>
    <col min="7" max="7" width="22.7109375" style="8" customWidth="1"/>
    <col min="8" max="8" width="48.28515625" style="26" customWidth="1"/>
    <col min="9" max="16384" width="9.140625" style="8"/>
  </cols>
  <sheetData>
    <row r="1" spans="1:8" ht="32.1" customHeight="1" x14ac:dyDescent="0.25">
      <c r="A1" s="7" t="s">
        <v>5</v>
      </c>
      <c r="B1" s="138" t="s">
        <v>6</v>
      </c>
      <c r="C1" s="138"/>
      <c r="D1" s="6" t="s">
        <v>7</v>
      </c>
      <c r="E1" s="6" t="s">
        <v>8</v>
      </c>
      <c r="F1" s="7" t="s">
        <v>9</v>
      </c>
      <c r="G1" s="5" t="s">
        <v>10</v>
      </c>
      <c r="H1" s="6" t="s">
        <v>11</v>
      </c>
    </row>
    <row r="2" spans="1:8" ht="30" customHeight="1" x14ac:dyDescent="0.25">
      <c r="A2" s="139" t="s">
        <v>12</v>
      </c>
      <c r="B2" s="20">
        <v>10225</v>
      </c>
      <c r="C2" s="9">
        <f t="shared" ref="C2:C58" si="0">(B2/365.25)+1900</f>
        <v>1927.9945242984256</v>
      </c>
      <c r="D2" s="23">
        <v>0</v>
      </c>
      <c r="E2" s="12" t="s">
        <v>13</v>
      </c>
      <c r="F2" s="11" t="s">
        <v>14</v>
      </c>
      <c r="G2" s="12"/>
      <c r="H2" s="11" t="s">
        <v>15</v>
      </c>
    </row>
    <row r="3" spans="1:8" ht="15" customHeight="1" x14ac:dyDescent="0.25">
      <c r="A3" s="139"/>
      <c r="B3" s="20">
        <v>10252</v>
      </c>
      <c r="C3" s="9">
        <f t="shared" si="0"/>
        <v>1928.0684462696784</v>
      </c>
      <c r="D3" s="23">
        <v>0</v>
      </c>
      <c r="E3" s="12" t="s">
        <v>16</v>
      </c>
      <c r="F3" s="13"/>
      <c r="G3" s="12"/>
      <c r="H3" s="11" t="s">
        <v>17</v>
      </c>
    </row>
    <row r="4" spans="1:8" ht="60" customHeight="1" x14ac:dyDescent="0.25">
      <c r="A4" s="139"/>
      <c r="B4" s="20">
        <v>10253</v>
      </c>
      <c r="C4" s="9">
        <f t="shared" si="0"/>
        <v>1928.0711841204654</v>
      </c>
      <c r="D4" s="22">
        <v>3</v>
      </c>
      <c r="E4" s="12" t="s">
        <v>16</v>
      </c>
      <c r="F4" s="11" t="s">
        <v>18</v>
      </c>
      <c r="G4" s="12"/>
      <c r="H4" s="11" t="s">
        <v>17</v>
      </c>
    </row>
    <row r="5" spans="1:8" ht="60" customHeight="1" x14ac:dyDescent="0.25">
      <c r="A5" s="139"/>
      <c r="B5" s="20">
        <v>10286</v>
      </c>
      <c r="C5" s="9">
        <f t="shared" si="0"/>
        <v>1928.1615331964408</v>
      </c>
      <c r="D5" s="23">
        <v>0</v>
      </c>
      <c r="E5" s="12" t="s">
        <v>16</v>
      </c>
      <c r="F5" s="11" t="s">
        <v>19</v>
      </c>
      <c r="G5" s="12"/>
      <c r="H5" s="11" t="s">
        <v>17</v>
      </c>
    </row>
    <row r="6" spans="1:8" ht="30" customHeight="1" x14ac:dyDescent="0.25">
      <c r="A6" s="139"/>
      <c r="B6" s="20">
        <v>10300</v>
      </c>
      <c r="C6" s="9">
        <f t="shared" si="0"/>
        <v>1928.1998631074607</v>
      </c>
      <c r="D6" s="23">
        <v>0</v>
      </c>
      <c r="E6" s="12" t="s">
        <v>16</v>
      </c>
      <c r="F6" s="11" t="s">
        <v>20</v>
      </c>
      <c r="G6" s="12"/>
      <c r="H6" s="11" t="s">
        <v>17</v>
      </c>
    </row>
    <row r="7" spans="1:8" ht="75" customHeight="1" x14ac:dyDescent="0.25">
      <c r="A7" s="139"/>
      <c r="B7" s="20">
        <v>10621</v>
      </c>
      <c r="C7" s="9">
        <f t="shared" si="0"/>
        <v>1929.07871321013</v>
      </c>
      <c r="D7" s="22">
        <v>0</v>
      </c>
      <c r="E7" s="12" t="s">
        <v>16</v>
      </c>
      <c r="F7" s="11" t="s">
        <v>21</v>
      </c>
      <c r="G7" s="12"/>
      <c r="H7" s="11" t="s">
        <v>22</v>
      </c>
    </row>
    <row r="8" spans="1:8" ht="15" customHeight="1" x14ac:dyDescent="0.25">
      <c r="A8" s="139"/>
      <c r="B8" s="20">
        <v>10623</v>
      </c>
      <c r="C8" s="9">
        <f t="shared" si="0"/>
        <v>1929.0841889117044</v>
      </c>
      <c r="D8" s="22">
        <v>1.5</v>
      </c>
      <c r="E8" s="12" t="s">
        <v>16</v>
      </c>
      <c r="F8" s="11"/>
      <c r="G8" s="12"/>
      <c r="H8" s="11" t="s">
        <v>22</v>
      </c>
    </row>
    <row r="9" spans="1:8" ht="15" customHeight="1" x14ac:dyDescent="0.25">
      <c r="A9" s="139"/>
      <c r="B9" s="20">
        <v>10624</v>
      </c>
      <c r="C9" s="9">
        <f t="shared" si="0"/>
        <v>1929.0869267624914</v>
      </c>
      <c r="D9" s="22">
        <v>4</v>
      </c>
      <c r="E9" s="12" t="s">
        <v>16</v>
      </c>
      <c r="F9" s="13"/>
      <c r="G9" s="12"/>
      <c r="H9" s="11" t="s">
        <v>22</v>
      </c>
    </row>
    <row r="10" spans="1:8" ht="15" customHeight="1" x14ac:dyDescent="0.25">
      <c r="A10" s="139"/>
      <c r="B10" s="20">
        <v>10625</v>
      </c>
      <c r="C10" s="9">
        <f t="shared" si="0"/>
        <v>1929.0896646132785</v>
      </c>
      <c r="D10" s="22">
        <v>12</v>
      </c>
      <c r="E10" s="12" t="s">
        <v>16</v>
      </c>
      <c r="F10" s="13"/>
      <c r="G10" s="12"/>
      <c r="H10" s="11" t="s">
        <v>17</v>
      </c>
    </row>
    <row r="11" spans="1:8" ht="15" customHeight="1" x14ac:dyDescent="0.25">
      <c r="A11" s="139"/>
      <c r="B11" s="20">
        <v>10626</v>
      </c>
      <c r="C11" s="9">
        <f t="shared" si="0"/>
        <v>1929.0924024640658</v>
      </c>
      <c r="D11" s="22">
        <v>14</v>
      </c>
      <c r="E11" s="12" t="s">
        <v>16</v>
      </c>
      <c r="F11" s="13"/>
      <c r="G11" s="12"/>
      <c r="H11" s="11" t="s">
        <v>23</v>
      </c>
    </row>
    <row r="12" spans="1:8" ht="15" customHeight="1" x14ac:dyDescent="0.25">
      <c r="A12" s="139"/>
      <c r="B12" s="20">
        <v>10633</v>
      </c>
      <c r="C12" s="9">
        <f t="shared" si="0"/>
        <v>1929.1115674195755</v>
      </c>
      <c r="D12" s="22">
        <v>21</v>
      </c>
      <c r="E12" s="12" t="s">
        <v>16</v>
      </c>
      <c r="F12" s="13"/>
      <c r="G12" s="12"/>
      <c r="H12" s="11" t="s">
        <v>23</v>
      </c>
    </row>
    <row r="13" spans="1:8" ht="75" customHeight="1" x14ac:dyDescent="0.25">
      <c r="A13" s="139"/>
      <c r="B13" s="20">
        <v>10642</v>
      </c>
      <c r="C13" s="9">
        <f t="shared" si="0"/>
        <v>1929.1362080766598</v>
      </c>
      <c r="D13" s="22">
        <v>38</v>
      </c>
      <c r="E13" s="12" t="s">
        <v>16</v>
      </c>
      <c r="F13" s="11" t="s">
        <v>24</v>
      </c>
      <c r="G13" s="12"/>
      <c r="H13" s="11" t="s">
        <v>22</v>
      </c>
    </row>
    <row r="14" spans="1:8" ht="28.5" x14ac:dyDescent="0.25">
      <c r="A14" s="139"/>
      <c r="B14" s="18">
        <v>10693</v>
      </c>
      <c r="C14" s="9">
        <f t="shared" si="0"/>
        <v>1929.2758384668036</v>
      </c>
      <c r="D14" s="24">
        <v>29.3</v>
      </c>
      <c r="E14" s="12" t="s">
        <v>16</v>
      </c>
      <c r="F14" s="13"/>
      <c r="G14" s="21" t="s">
        <v>25</v>
      </c>
      <c r="H14" s="11" t="s">
        <v>26</v>
      </c>
    </row>
    <row r="15" spans="1:8" ht="28.5" x14ac:dyDescent="0.25">
      <c r="A15" s="139"/>
      <c r="B15" s="18">
        <v>10776</v>
      </c>
      <c r="C15" s="9">
        <f t="shared" si="0"/>
        <v>1929.5030800821355</v>
      </c>
      <c r="D15" s="24">
        <v>1</v>
      </c>
      <c r="E15" s="12" t="s">
        <v>16</v>
      </c>
      <c r="F15" s="13"/>
      <c r="G15" s="21"/>
      <c r="H15" s="11" t="s">
        <v>27</v>
      </c>
    </row>
    <row r="16" spans="1:8" ht="15" customHeight="1" x14ac:dyDescent="0.25">
      <c r="A16" s="139"/>
      <c r="B16" s="18">
        <v>10777</v>
      </c>
      <c r="C16" s="9">
        <f t="shared" si="0"/>
        <v>1929.5058179329226</v>
      </c>
      <c r="D16" s="24">
        <v>0</v>
      </c>
      <c r="E16" s="12" t="s">
        <v>16</v>
      </c>
      <c r="F16" s="13"/>
      <c r="G16" s="21"/>
      <c r="H16" s="11" t="s">
        <v>28</v>
      </c>
    </row>
    <row r="17" spans="1:8" ht="60" customHeight="1" x14ac:dyDescent="0.25">
      <c r="A17" s="139"/>
      <c r="B17" s="18">
        <v>11112</v>
      </c>
      <c r="C17" s="9">
        <f t="shared" si="0"/>
        <v>1930.422997946612</v>
      </c>
      <c r="D17" s="9">
        <v>0</v>
      </c>
      <c r="E17" s="12" t="s">
        <v>16</v>
      </c>
      <c r="F17" s="11" t="s">
        <v>29</v>
      </c>
      <c r="G17" s="21"/>
      <c r="H17" s="11" t="s">
        <v>28</v>
      </c>
    </row>
    <row r="18" spans="1:8" ht="15" customHeight="1" x14ac:dyDescent="0.25">
      <c r="A18" s="139"/>
      <c r="B18" s="18">
        <v>11140</v>
      </c>
      <c r="C18" s="9">
        <f t="shared" si="0"/>
        <v>1930.4996577686516</v>
      </c>
      <c r="D18" s="9">
        <v>50</v>
      </c>
      <c r="E18" s="12" t="s">
        <v>16</v>
      </c>
      <c r="F18" s="13"/>
      <c r="G18" s="21" t="s">
        <v>30</v>
      </c>
      <c r="H18" s="11" t="s">
        <v>31</v>
      </c>
    </row>
    <row r="19" spans="1:8" ht="30" customHeight="1" x14ac:dyDescent="0.25">
      <c r="A19" s="139"/>
      <c r="B19" s="18">
        <v>11178</v>
      </c>
      <c r="C19" s="9">
        <f t="shared" si="0"/>
        <v>1930.6036960985625</v>
      </c>
      <c r="D19" s="9">
        <v>0</v>
      </c>
      <c r="E19" s="12" t="s">
        <v>16</v>
      </c>
      <c r="F19" s="11" t="s">
        <v>32</v>
      </c>
      <c r="G19" s="21"/>
      <c r="H19" s="11" t="s">
        <v>28</v>
      </c>
    </row>
    <row r="20" spans="1:8" ht="15" customHeight="1" x14ac:dyDescent="0.25">
      <c r="A20" s="140" t="s">
        <v>33</v>
      </c>
      <c r="B20" s="18">
        <v>11181</v>
      </c>
      <c r="C20" s="9">
        <f t="shared" si="0"/>
        <v>1930.611909650924</v>
      </c>
      <c r="D20" s="9">
        <v>0</v>
      </c>
      <c r="E20" s="9">
        <v>0</v>
      </c>
      <c r="F20" s="13" t="s">
        <v>34</v>
      </c>
      <c r="G20" s="21"/>
      <c r="H20" s="11" t="s">
        <v>35</v>
      </c>
    </row>
    <row r="21" spans="1:8" ht="15" customHeight="1" x14ac:dyDescent="0.25">
      <c r="A21" s="140"/>
      <c r="B21" s="18">
        <v>11185</v>
      </c>
      <c r="C21" s="9">
        <f t="shared" si="0"/>
        <v>1930.6228610540725</v>
      </c>
      <c r="D21" s="9">
        <v>8.93</v>
      </c>
      <c r="E21" s="9">
        <v>0</v>
      </c>
      <c r="F21" s="13"/>
      <c r="G21" s="21" t="s">
        <v>36</v>
      </c>
      <c r="H21" s="11" t="s">
        <v>31</v>
      </c>
    </row>
    <row r="22" spans="1:8" ht="15" customHeight="1" x14ac:dyDescent="0.25">
      <c r="A22" s="140"/>
      <c r="B22" s="18">
        <v>11591</v>
      </c>
      <c r="C22" s="9">
        <f t="shared" si="0"/>
        <v>1931.7344284736482</v>
      </c>
      <c r="D22" s="9">
        <v>41</v>
      </c>
      <c r="E22" s="9">
        <v>0</v>
      </c>
      <c r="F22" s="13"/>
      <c r="G22" s="21"/>
      <c r="H22" s="11" t="s">
        <v>28</v>
      </c>
    </row>
    <row r="23" spans="1:8" ht="15" customHeight="1" x14ac:dyDescent="0.25">
      <c r="A23" s="140"/>
      <c r="B23" s="18">
        <v>11592</v>
      </c>
      <c r="C23" s="9">
        <f t="shared" si="0"/>
        <v>1931.7371663244353</v>
      </c>
      <c r="D23" s="9">
        <v>47.2</v>
      </c>
      <c r="E23" s="9">
        <v>0</v>
      </c>
      <c r="F23" s="13"/>
      <c r="G23" s="12"/>
      <c r="H23" s="11" t="s">
        <v>37</v>
      </c>
    </row>
    <row r="24" spans="1:8" ht="15" customHeight="1" x14ac:dyDescent="0.25">
      <c r="A24" s="140"/>
      <c r="B24" s="18">
        <v>11779</v>
      </c>
      <c r="C24" s="9">
        <f t="shared" si="0"/>
        <v>1932.2491444216291</v>
      </c>
      <c r="D24" s="9">
        <v>37.6</v>
      </c>
      <c r="E24" s="9">
        <v>0</v>
      </c>
      <c r="F24" s="13"/>
      <c r="G24" s="12"/>
      <c r="H24" s="11" t="s">
        <v>38</v>
      </c>
    </row>
    <row r="25" spans="1:8" ht="15" customHeight="1" x14ac:dyDescent="0.25">
      <c r="A25" s="140"/>
      <c r="B25" s="18">
        <v>12002</v>
      </c>
      <c r="C25" s="9">
        <f t="shared" si="0"/>
        <v>1932.8596851471596</v>
      </c>
      <c r="D25" s="9">
        <v>37.6</v>
      </c>
      <c r="E25" s="9">
        <v>0</v>
      </c>
      <c r="F25" s="13"/>
      <c r="G25" s="12"/>
      <c r="H25" s="11" t="s">
        <v>39</v>
      </c>
    </row>
    <row r="26" spans="1:8" ht="15" customHeight="1" x14ac:dyDescent="0.25">
      <c r="A26" s="140"/>
      <c r="B26" s="18">
        <v>12017</v>
      </c>
      <c r="C26" s="9">
        <f t="shared" si="0"/>
        <v>1932.9007529089665</v>
      </c>
      <c r="D26" s="9">
        <v>42</v>
      </c>
      <c r="E26" s="9">
        <v>0</v>
      </c>
      <c r="F26" s="13"/>
      <c r="G26" s="21"/>
      <c r="H26" s="11" t="s">
        <v>40</v>
      </c>
    </row>
    <row r="27" spans="1:8" ht="15" customHeight="1" x14ac:dyDescent="0.25">
      <c r="A27" s="140"/>
      <c r="B27" s="18">
        <v>12020</v>
      </c>
      <c r="C27" s="9">
        <f t="shared" si="0"/>
        <v>1932.908966461328</v>
      </c>
      <c r="D27" s="9">
        <v>48.8</v>
      </c>
      <c r="E27" s="9">
        <v>0</v>
      </c>
      <c r="F27" s="13"/>
      <c r="G27" s="21"/>
      <c r="H27" s="11" t="s">
        <v>40</v>
      </c>
    </row>
    <row r="28" spans="1:8" ht="28.5" x14ac:dyDescent="0.25">
      <c r="A28" s="140"/>
      <c r="B28" s="18">
        <v>12058</v>
      </c>
      <c r="C28" s="9">
        <f t="shared" si="0"/>
        <v>1933.0130047912389</v>
      </c>
      <c r="D28" s="9">
        <v>66.8</v>
      </c>
      <c r="E28" s="9">
        <v>0</v>
      </c>
      <c r="F28" s="13"/>
      <c r="G28" s="21"/>
      <c r="H28" s="11" t="s">
        <v>41</v>
      </c>
    </row>
    <row r="29" spans="1:8" ht="15" customHeight="1" x14ac:dyDescent="0.25">
      <c r="A29" s="140"/>
      <c r="B29" s="18">
        <v>12115</v>
      </c>
      <c r="C29" s="9">
        <f t="shared" si="0"/>
        <v>1933.1690622861054</v>
      </c>
      <c r="D29" s="9">
        <v>85.96</v>
      </c>
      <c r="E29" s="9">
        <v>0</v>
      </c>
      <c r="F29" s="13"/>
      <c r="G29" s="21" t="s">
        <v>42</v>
      </c>
      <c r="H29" s="11" t="s">
        <v>43</v>
      </c>
    </row>
    <row r="30" spans="1:8" ht="15" customHeight="1" x14ac:dyDescent="0.25">
      <c r="A30" s="140"/>
      <c r="B30" s="18">
        <v>12176</v>
      </c>
      <c r="C30" s="9">
        <f t="shared" si="0"/>
        <v>1933.3360711841206</v>
      </c>
      <c r="D30" s="9">
        <v>90.23</v>
      </c>
      <c r="E30" s="9">
        <v>0</v>
      </c>
      <c r="F30" s="13"/>
      <c r="G30" s="12"/>
      <c r="H30" s="11" t="s">
        <v>44</v>
      </c>
    </row>
    <row r="31" spans="1:8" ht="15" customHeight="1" x14ac:dyDescent="0.25">
      <c r="A31" s="140"/>
      <c r="B31" s="18">
        <v>12199</v>
      </c>
      <c r="C31" s="9">
        <f t="shared" si="0"/>
        <v>1933.3990417522245</v>
      </c>
      <c r="D31" s="9">
        <v>96.92</v>
      </c>
      <c r="E31" s="9">
        <v>0</v>
      </c>
      <c r="F31" s="13"/>
      <c r="G31" s="12"/>
      <c r="H31" s="11" t="s">
        <v>44</v>
      </c>
    </row>
    <row r="32" spans="1:8" ht="15" customHeight="1" x14ac:dyDescent="0.25">
      <c r="A32" s="140"/>
      <c r="B32" s="18">
        <v>12226</v>
      </c>
      <c r="C32" s="9">
        <f t="shared" si="0"/>
        <v>1933.4729637234771</v>
      </c>
      <c r="D32" s="9">
        <v>92.87</v>
      </c>
      <c r="E32" s="9">
        <v>0</v>
      </c>
      <c r="F32" s="13"/>
      <c r="G32" s="12"/>
      <c r="H32" s="11" t="s">
        <v>45</v>
      </c>
    </row>
    <row r="33" spans="1:8" ht="15" customHeight="1" x14ac:dyDescent="0.25">
      <c r="A33" s="140"/>
      <c r="B33" s="18">
        <v>12282</v>
      </c>
      <c r="C33" s="9">
        <f t="shared" si="0"/>
        <v>1933.6262833675564</v>
      </c>
      <c r="D33" s="9">
        <v>90.4</v>
      </c>
      <c r="E33" s="9">
        <v>0</v>
      </c>
      <c r="F33" s="13"/>
      <c r="G33" s="21"/>
      <c r="H33" s="11" t="s">
        <v>46</v>
      </c>
    </row>
    <row r="34" spans="1:8" ht="15" customHeight="1" x14ac:dyDescent="0.25">
      <c r="A34" s="140"/>
      <c r="B34" s="18">
        <v>12344</v>
      </c>
      <c r="C34" s="9">
        <f t="shared" si="0"/>
        <v>1933.7960301163587</v>
      </c>
      <c r="D34" s="9">
        <v>88.19</v>
      </c>
      <c r="E34" s="9">
        <v>0</v>
      </c>
      <c r="F34" s="13"/>
      <c r="G34" s="21" t="s">
        <v>47</v>
      </c>
      <c r="H34" s="11" t="s">
        <v>48</v>
      </c>
    </row>
    <row r="35" spans="1:8" ht="15" customHeight="1" x14ac:dyDescent="0.25">
      <c r="A35" s="140"/>
      <c r="B35" s="18">
        <v>12396</v>
      </c>
      <c r="C35" s="9">
        <f t="shared" si="0"/>
        <v>1933.9383983572895</v>
      </c>
      <c r="D35" s="9">
        <v>88.07</v>
      </c>
      <c r="E35" s="9">
        <v>0</v>
      </c>
      <c r="F35" s="13"/>
      <c r="G35" s="21"/>
      <c r="H35" s="11" t="s">
        <v>46</v>
      </c>
    </row>
    <row r="36" spans="1:8" ht="30" customHeight="1" x14ac:dyDescent="0.25">
      <c r="A36" s="140"/>
      <c r="B36" s="18">
        <v>12420</v>
      </c>
      <c r="C36" s="9">
        <f t="shared" si="0"/>
        <v>1934.0041067761806</v>
      </c>
      <c r="D36" s="9">
        <v>88.19</v>
      </c>
      <c r="E36" s="9">
        <v>0</v>
      </c>
      <c r="F36" s="11" t="s">
        <v>49</v>
      </c>
      <c r="G36" s="21"/>
      <c r="H36" s="11" t="s">
        <v>50</v>
      </c>
    </row>
    <row r="37" spans="1:8" ht="15" customHeight="1" x14ac:dyDescent="0.25">
      <c r="A37" s="140"/>
      <c r="B37" s="18">
        <v>12822</v>
      </c>
      <c r="C37" s="9">
        <f t="shared" si="0"/>
        <v>1935.1047227926078</v>
      </c>
      <c r="D37" s="9">
        <v>88.47</v>
      </c>
      <c r="E37" s="9">
        <v>0</v>
      </c>
      <c r="F37" s="13"/>
      <c r="G37" s="21" t="s">
        <v>51</v>
      </c>
      <c r="H37" s="11" t="s">
        <v>52</v>
      </c>
    </row>
    <row r="38" spans="1:8" ht="15" customHeight="1" x14ac:dyDescent="0.25">
      <c r="A38" s="140"/>
      <c r="B38" s="18">
        <v>12979</v>
      </c>
      <c r="C38" s="9">
        <f>(B38/365.25)+1900</f>
        <v>1935.5345653661875</v>
      </c>
      <c r="D38" s="9">
        <v>63.3</v>
      </c>
      <c r="E38" s="9">
        <v>0</v>
      </c>
      <c r="F38" s="13"/>
      <c r="G38" s="21"/>
      <c r="H38" s="11" t="s">
        <v>52</v>
      </c>
    </row>
    <row r="39" spans="1:8" ht="15" customHeight="1" x14ac:dyDescent="0.25">
      <c r="A39" s="140"/>
      <c r="B39" s="18">
        <v>13003</v>
      </c>
      <c r="C39" s="9">
        <f t="shared" si="0"/>
        <v>1935.6002737850788</v>
      </c>
      <c r="D39" s="9">
        <v>63.3</v>
      </c>
      <c r="E39" s="9">
        <v>0</v>
      </c>
      <c r="F39" s="13"/>
      <c r="G39" s="21" t="s">
        <v>53</v>
      </c>
      <c r="H39" s="11" t="s">
        <v>52</v>
      </c>
    </row>
    <row r="40" spans="1:8" ht="15" customHeight="1" x14ac:dyDescent="0.25">
      <c r="A40" s="140"/>
      <c r="B40" s="18">
        <v>13129</v>
      </c>
      <c r="C40" s="9">
        <f t="shared" si="0"/>
        <v>1935.9452429842574</v>
      </c>
      <c r="D40" s="9">
        <v>65</v>
      </c>
      <c r="E40" s="9">
        <v>0</v>
      </c>
      <c r="F40" s="13"/>
      <c r="G40" s="21" t="s">
        <v>54</v>
      </c>
      <c r="H40" s="11" t="s">
        <v>55</v>
      </c>
    </row>
    <row r="41" spans="1:8" ht="15" customHeight="1" x14ac:dyDescent="0.25">
      <c r="A41" s="140"/>
      <c r="B41" s="18">
        <v>13315</v>
      </c>
      <c r="C41" s="9">
        <f t="shared" si="0"/>
        <v>1936.454483230664</v>
      </c>
      <c r="D41" s="9">
        <v>62.52</v>
      </c>
      <c r="E41" s="9">
        <v>0</v>
      </c>
      <c r="F41" s="13"/>
      <c r="G41" s="21" t="s">
        <v>56</v>
      </c>
      <c r="H41" s="11" t="s">
        <v>57</v>
      </c>
    </row>
    <row r="42" spans="1:8" ht="15" customHeight="1" x14ac:dyDescent="0.25">
      <c r="A42" s="140"/>
      <c r="B42" s="18">
        <v>13376</v>
      </c>
      <c r="C42" s="9">
        <f t="shared" si="0"/>
        <v>1936.6214921286789</v>
      </c>
      <c r="D42" s="9">
        <v>65</v>
      </c>
      <c r="E42" s="9">
        <v>0</v>
      </c>
      <c r="F42" s="13"/>
      <c r="G42" s="21" t="s">
        <v>58</v>
      </c>
      <c r="H42" s="11" t="s">
        <v>59</v>
      </c>
    </row>
    <row r="43" spans="1:8" ht="15" customHeight="1" x14ac:dyDescent="0.25">
      <c r="A43" s="140"/>
      <c r="B43" s="18">
        <v>13495</v>
      </c>
      <c r="C43" s="9">
        <f t="shared" si="0"/>
        <v>1936.9472963723476</v>
      </c>
      <c r="D43" s="9">
        <v>75</v>
      </c>
      <c r="E43" s="9">
        <v>0</v>
      </c>
      <c r="F43" s="13"/>
      <c r="G43" s="21" t="s">
        <v>60</v>
      </c>
      <c r="H43" s="11" t="s">
        <v>61</v>
      </c>
    </row>
    <row r="44" spans="1:8" ht="15" customHeight="1" x14ac:dyDescent="0.25">
      <c r="A44" s="140"/>
      <c r="B44" s="18">
        <v>13559</v>
      </c>
      <c r="C44" s="9">
        <f t="shared" si="0"/>
        <v>1937.1225188227243</v>
      </c>
      <c r="D44" s="9">
        <v>75</v>
      </c>
      <c r="E44" s="9">
        <v>0</v>
      </c>
      <c r="F44" s="13"/>
      <c r="G44" s="21" t="s">
        <v>62</v>
      </c>
      <c r="H44" s="11" t="s">
        <v>63</v>
      </c>
    </row>
    <row r="45" spans="1:8" ht="15" customHeight="1" x14ac:dyDescent="0.25">
      <c r="A45" s="140"/>
      <c r="B45" s="18">
        <v>13866</v>
      </c>
      <c r="C45" s="9">
        <f t="shared" si="0"/>
        <v>1937.9630390143736</v>
      </c>
      <c r="D45" s="9">
        <v>75.75</v>
      </c>
      <c r="E45" s="9">
        <v>0</v>
      </c>
      <c r="F45" s="13"/>
      <c r="G45" s="21" t="s">
        <v>64</v>
      </c>
      <c r="H45" s="11" t="s">
        <v>65</v>
      </c>
    </row>
    <row r="46" spans="1:8" ht="15" customHeight="1" x14ac:dyDescent="0.25">
      <c r="A46" s="140"/>
      <c r="B46" s="18">
        <v>14041</v>
      </c>
      <c r="C46" s="9">
        <f t="shared" si="0"/>
        <v>1938.4421629021219</v>
      </c>
      <c r="D46" s="9">
        <v>75.75</v>
      </c>
      <c r="E46" s="9">
        <v>0</v>
      </c>
      <c r="F46" s="13"/>
      <c r="G46" s="21" t="s">
        <v>66</v>
      </c>
      <c r="H46" s="11" t="s">
        <v>67</v>
      </c>
    </row>
    <row r="47" spans="1:8" ht="15" customHeight="1" x14ac:dyDescent="0.25">
      <c r="A47" s="140"/>
      <c r="B47" s="18">
        <v>14104</v>
      </c>
      <c r="C47" s="9">
        <f t="shared" si="0"/>
        <v>1938.6146475017113</v>
      </c>
      <c r="D47" s="9">
        <v>85</v>
      </c>
      <c r="E47" s="9">
        <v>0</v>
      </c>
      <c r="F47" s="13"/>
      <c r="G47" s="21" t="s">
        <v>68</v>
      </c>
      <c r="H47" s="11" t="s">
        <v>69</v>
      </c>
    </row>
    <row r="48" spans="1:8" ht="15" customHeight="1" x14ac:dyDescent="0.25">
      <c r="A48" s="140"/>
      <c r="B48" s="18">
        <v>14170</v>
      </c>
      <c r="C48" s="9">
        <f t="shared" si="0"/>
        <v>1938.7953456536618</v>
      </c>
      <c r="D48" s="9">
        <v>88.8</v>
      </c>
      <c r="E48" s="9">
        <v>0</v>
      </c>
      <c r="F48" s="13"/>
      <c r="G48" s="21" t="s">
        <v>70</v>
      </c>
      <c r="H48" s="11" t="s">
        <v>71</v>
      </c>
    </row>
    <row r="49" spans="1:8" ht="15" customHeight="1" x14ac:dyDescent="0.25">
      <c r="A49" s="140"/>
      <c r="B49" s="18">
        <v>14411</v>
      </c>
      <c r="C49" s="9">
        <f t="shared" si="0"/>
        <v>1939.4551676933606</v>
      </c>
      <c r="D49" s="9">
        <v>90.66</v>
      </c>
      <c r="E49" s="9">
        <v>0</v>
      </c>
      <c r="F49" s="13"/>
      <c r="G49" s="19" t="s">
        <v>72</v>
      </c>
      <c r="H49" s="11" t="s">
        <v>73</v>
      </c>
    </row>
    <row r="50" spans="1:8" ht="15" customHeight="1" x14ac:dyDescent="0.25">
      <c r="A50" s="140"/>
      <c r="B50" s="18">
        <v>14473</v>
      </c>
      <c r="C50" s="9">
        <f t="shared" si="0"/>
        <v>1939.6249144421629</v>
      </c>
      <c r="D50" s="9">
        <v>113.18</v>
      </c>
      <c r="E50" s="9">
        <v>0</v>
      </c>
      <c r="F50" s="13"/>
      <c r="G50" s="12" t="s">
        <v>74</v>
      </c>
      <c r="H50" s="11" t="s">
        <v>75</v>
      </c>
    </row>
    <row r="51" spans="1:8" ht="15" customHeight="1" x14ac:dyDescent="0.25">
      <c r="A51" s="140"/>
      <c r="B51" s="18">
        <v>14961</v>
      </c>
      <c r="C51" s="9">
        <f t="shared" si="0"/>
        <v>1940.9609856262834</v>
      </c>
      <c r="D51" s="9">
        <v>125</v>
      </c>
      <c r="E51" s="9">
        <v>0</v>
      </c>
      <c r="F51" s="13"/>
      <c r="G51" s="12" t="s">
        <v>76</v>
      </c>
      <c r="H51" s="11" t="s">
        <v>77</v>
      </c>
    </row>
    <row r="52" spans="1:8" ht="15" customHeight="1" x14ac:dyDescent="0.25">
      <c r="A52" s="140"/>
      <c r="B52" s="18">
        <v>15258</v>
      </c>
      <c r="C52" s="9">
        <f t="shared" si="0"/>
        <v>1941.7741273100617</v>
      </c>
      <c r="D52" s="9">
        <v>132.32</v>
      </c>
      <c r="E52" s="9">
        <v>0</v>
      </c>
      <c r="F52" s="13"/>
      <c r="G52" s="12" t="s">
        <v>78</v>
      </c>
      <c r="H52" s="11" t="s">
        <v>79</v>
      </c>
    </row>
    <row r="53" spans="1:8" ht="15" customHeight="1" x14ac:dyDescent="0.25">
      <c r="A53" s="140"/>
      <c r="B53" s="18">
        <v>17400</v>
      </c>
      <c r="C53" s="9">
        <f t="shared" si="0"/>
        <v>1947.6386036960985</v>
      </c>
      <c r="D53" s="9">
        <v>132.32</v>
      </c>
      <c r="E53" s="9">
        <v>0</v>
      </c>
      <c r="F53" s="13"/>
      <c r="G53" s="12" t="s">
        <v>80</v>
      </c>
      <c r="H53" s="11" t="s">
        <v>79</v>
      </c>
    </row>
    <row r="54" spans="1:8" ht="15" customHeight="1" x14ac:dyDescent="0.25">
      <c r="A54" s="140"/>
      <c r="B54" s="18">
        <v>18524</v>
      </c>
      <c r="C54" s="9">
        <f t="shared" si="0"/>
        <v>1950.7159479808352</v>
      </c>
      <c r="D54" s="9">
        <v>138.69999999999999</v>
      </c>
      <c r="E54" s="9">
        <v>0</v>
      </c>
      <c r="F54" s="13"/>
      <c r="G54" s="12" t="s">
        <v>81</v>
      </c>
      <c r="H54" s="11" t="s">
        <v>82</v>
      </c>
    </row>
    <row r="55" spans="1:8" ht="30" customHeight="1" x14ac:dyDescent="0.25">
      <c r="A55" s="140"/>
      <c r="B55" s="18">
        <v>19283</v>
      </c>
      <c r="C55" s="9">
        <f t="shared" si="0"/>
        <v>1952.7939767282683</v>
      </c>
      <c r="D55" s="9">
        <v>151.5</v>
      </c>
      <c r="E55" s="9">
        <v>0</v>
      </c>
      <c r="F55" s="16"/>
      <c r="G55" s="12" t="s">
        <v>83</v>
      </c>
      <c r="H55" s="11" t="s">
        <v>84</v>
      </c>
    </row>
    <row r="56" spans="1:8" ht="30" customHeight="1" x14ac:dyDescent="0.25">
      <c r="A56" s="140"/>
      <c r="B56" s="18">
        <v>19643</v>
      </c>
      <c r="C56" s="9">
        <f t="shared" si="0"/>
        <v>1953.7796030116358</v>
      </c>
      <c r="D56" s="9">
        <v>153.77000000000001</v>
      </c>
      <c r="E56" s="9">
        <v>0</v>
      </c>
      <c r="F56" s="16"/>
      <c r="G56" s="12" t="s">
        <v>85</v>
      </c>
      <c r="H56" s="11" t="s">
        <v>84</v>
      </c>
    </row>
    <row r="57" spans="1:8" ht="15" customHeight="1" x14ac:dyDescent="0.25">
      <c r="A57" s="140"/>
      <c r="B57" s="18">
        <v>21709</v>
      </c>
      <c r="C57" s="9">
        <f t="shared" si="0"/>
        <v>1959.4360027378507</v>
      </c>
      <c r="D57" s="9"/>
      <c r="E57" s="9">
        <v>25</v>
      </c>
      <c r="F57" s="16"/>
      <c r="G57" s="12"/>
      <c r="H57" s="11" t="s">
        <v>86</v>
      </c>
    </row>
    <row r="58" spans="1:8" ht="15" customHeight="1" x14ac:dyDescent="0.25">
      <c r="A58" s="136" t="s">
        <v>87</v>
      </c>
      <c r="B58" s="18">
        <v>21927</v>
      </c>
      <c r="C58" s="9">
        <f t="shared" si="0"/>
        <v>1960.0328542094455</v>
      </c>
      <c r="D58" s="9">
        <v>166.7</v>
      </c>
      <c r="E58" s="9">
        <v>40</v>
      </c>
      <c r="F58" s="13"/>
      <c r="G58" s="12" t="s">
        <v>88</v>
      </c>
      <c r="H58" s="11" t="s">
        <v>89</v>
      </c>
    </row>
    <row r="59" spans="1:8" ht="15" customHeight="1" x14ac:dyDescent="0.25">
      <c r="A59" s="136"/>
      <c r="B59" s="18">
        <v>23085</v>
      </c>
      <c r="C59" s="9">
        <v>1963.5</v>
      </c>
      <c r="D59" s="9">
        <v>166.7</v>
      </c>
      <c r="E59" s="9">
        <v>142.5</v>
      </c>
      <c r="F59" s="16"/>
      <c r="G59" s="12" t="s">
        <v>90</v>
      </c>
      <c r="H59" s="11" t="s">
        <v>91</v>
      </c>
    </row>
    <row r="60" spans="1:8" ht="15" customHeight="1" x14ac:dyDescent="0.25">
      <c r="A60" s="136"/>
      <c r="B60" s="18">
        <v>25108</v>
      </c>
      <c r="C60" s="9">
        <f t="shared" ref="C60:C64" si="1">(B60/365.25)+1900</f>
        <v>1968.7419575633128</v>
      </c>
      <c r="D60" s="9">
        <v>169.67</v>
      </c>
      <c r="E60" s="9">
        <v>159.46</v>
      </c>
      <c r="F60" s="16"/>
      <c r="G60" s="12"/>
      <c r="H60" s="11" t="s">
        <v>92</v>
      </c>
    </row>
    <row r="61" spans="1:8" ht="30" customHeight="1" x14ac:dyDescent="0.25">
      <c r="A61" s="136"/>
      <c r="B61" s="12">
        <v>1977</v>
      </c>
      <c r="C61" s="9">
        <v>1977.5</v>
      </c>
      <c r="D61" s="9">
        <v>181.45</v>
      </c>
      <c r="E61" s="9">
        <v>181.45</v>
      </c>
      <c r="F61" s="25" t="s">
        <v>93</v>
      </c>
      <c r="G61" s="12"/>
      <c r="H61" s="11" t="s">
        <v>94</v>
      </c>
    </row>
    <row r="62" spans="1:8" ht="15" customHeight="1" x14ac:dyDescent="0.25">
      <c r="A62" s="136"/>
      <c r="B62" s="18">
        <v>28692</v>
      </c>
      <c r="C62" s="9">
        <f>(B62/365.25)+1900</f>
        <v>1978.5544147843943</v>
      </c>
      <c r="D62" s="9">
        <v>181.44</v>
      </c>
      <c r="E62" s="9">
        <v>181.44</v>
      </c>
      <c r="F62" s="25"/>
      <c r="G62" s="12"/>
      <c r="H62" s="11" t="s">
        <v>95</v>
      </c>
    </row>
    <row r="63" spans="1:8" ht="15" customHeight="1" x14ac:dyDescent="0.25">
      <c r="A63" s="136"/>
      <c r="B63" s="12">
        <v>1981</v>
      </c>
      <c r="C63" s="9">
        <v>1981.5</v>
      </c>
      <c r="D63" s="9">
        <v>199.29</v>
      </c>
      <c r="E63" s="9">
        <v>199.29</v>
      </c>
      <c r="F63" s="25" t="s">
        <v>93</v>
      </c>
      <c r="G63" s="12"/>
      <c r="H63" s="11" t="s">
        <v>50</v>
      </c>
    </row>
    <row r="64" spans="1:8" ht="15" customHeight="1" x14ac:dyDescent="0.25">
      <c r="A64" s="136"/>
      <c r="B64" s="18">
        <v>31260</v>
      </c>
      <c r="C64" s="9">
        <f t="shared" si="1"/>
        <v>1985.5852156057495</v>
      </c>
      <c r="D64" s="9">
        <v>196</v>
      </c>
      <c r="E64" s="9">
        <v>196</v>
      </c>
      <c r="F64" s="25" t="s">
        <v>93</v>
      </c>
      <c r="G64" s="12" t="s">
        <v>96</v>
      </c>
      <c r="H64" s="11" t="s">
        <v>97</v>
      </c>
    </row>
    <row r="65" spans="1:8" ht="15" customHeight="1" x14ac:dyDescent="0.25">
      <c r="A65" s="136"/>
      <c r="B65" s="12">
        <v>1990</v>
      </c>
      <c r="C65" s="9">
        <v>1990.5</v>
      </c>
      <c r="D65" s="9">
        <v>200</v>
      </c>
      <c r="E65" s="9">
        <v>200</v>
      </c>
      <c r="F65" s="25" t="s">
        <v>93</v>
      </c>
      <c r="G65" s="12">
        <v>1990</v>
      </c>
      <c r="H65" s="11" t="s">
        <v>98</v>
      </c>
    </row>
    <row r="66" spans="1:8" ht="28.5" x14ac:dyDescent="0.25">
      <c r="A66" s="136"/>
      <c r="B66" s="12">
        <v>2012</v>
      </c>
      <c r="C66" s="9">
        <v>2012.5</v>
      </c>
      <c r="D66" s="9">
        <v>260.16800000000001</v>
      </c>
      <c r="E66" s="9">
        <v>260.16800000000001</v>
      </c>
      <c r="F66" s="25" t="s">
        <v>93</v>
      </c>
      <c r="G66" s="12" t="s">
        <v>99</v>
      </c>
      <c r="H66" s="11" t="s">
        <v>100</v>
      </c>
    </row>
    <row r="67" spans="1:8" ht="15" customHeight="1" x14ac:dyDescent="0.25">
      <c r="A67" s="136"/>
      <c r="B67" s="18">
        <v>43435</v>
      </c>
      <c r="C67" s="9">
        <f>(B67/365.25)+1900</f>
        <v>2018.9185489390829</v>
      </c>
      <c r="D67" s="9">
        <v>328.65800000000002</v>
      </c>
      <c r="E67" s="9">
        <v>328.65800000000002</v>
      </c>
      <c r="F67" s="13"/>
      <c r="G67" s="19" t="s">
        <v>101</v>
      </c>
      <c r="H67" s="11" t="s">
        <v>102</v>
      </c>
    </row>
    <row r="68" spans="1:8" ht="15" x14ac:dyDescent="0.25">
      <c r="A68" s="137" t="s">
        <v>103</v>
      </c>
      <c r="B68" s="137"/>
      <c r="C68" s="137"/>
      <c r="D68" s="137"/>
      <c r="E68" s="137"/>
      <c r="F68" s="137"/>
      <c r="G68" s="137"/>
      <c r="H68" s="137"/>
    </row>
    <row r="69" spans="1:8" ht="45" customHeight="1" x14ac:dyDescent="0.25">
      <c r="A69" s="140" t="s">
        <v>104</v>
      </c>
      <c r="B69" s="18">
        <v>43456</v>
      </c>
      <c r="C69" s="9">
        <f>(B69/365.25)+1900</f>
        <v>2018.9760438056126</v>
      </c>
      <c r="D69" s="9">
        <v>152</v>
      </c>
      <c r="E69" s="12">
        <v>0</v>
      </c>
      <c r="F69" s="13" t="s">
        <v>105</v>
      </c>
      <c r="G69" s="19" t="s">
        <v>106</v>
      </c>
      <c r="H69" s="11" t="s">
        <v>107</v>
      </c>
    </row>
    <row r="70" spans="1:8" ht="15" customHeight="1" x14ac:dyDescent="0.25">
      <c r="A70" s="140"/>
      <c r="B70" s="18">
        <v>43475</v>
      </c>
      <c r="C70" s="9">
        <f t="shared" ref="C70" si="2">(B70/365.25)+1900</f>
        <v>2019.028062970568</v>
      </c>
      <c r="D70" s="9">
        <v>130</v>
      </c>
      <c r="E70" s="12">
        <v>0</v>
      </c>
      <c r="F70" s="13"/>
      <c r="G70" s="19" t="s">
        <v>108</v>
      </c>
      <c r="H70" s="11" t="s">
        <v>109</v>
      </c>
    </row>
    <row r="71" spans="1:8" ht="15" customHeight="1" x14ac:dyDescent="0.25">
      <c r="A71" s="140"/>
      <c r="B71" s="18">
        <v>43692</v>
      </c>
      <c r="C71" s="9">
        <f>(B71/365.25)+1900</f>
        <v>2019.6221765913758</v>
      </c>
      <c r="D71" s="9">
        <v>158</v>
      </c>
      <c r="E71" s="12">
        <v>0</v>
      </c>
      <c r="F71" s="13" t="s">
        <v>110</v>
      </c>
      <c r="G71" s="19" t="s">
        <v>111</v>
      </c>
      <c r="H71" s="11" t="s">
        <v>112</v>
      </c>
    </row>
    <row r="72" spans="1:8" ht="15" customHeight="1" x14ac:dyDescent="0.25">
      <c r="A72" s="140"/>
      <c r="B72" s="18">
        <v>43820</v>
      </c>
      <c r="C72" s="9">
        <f>(B72/365.25)+1900</f>
        <v>2019.9726214921286</v>
      </c>
      <c r="D72" s="9"/>
      <c r="E72" s="12">
        <v>0</v>
      </c>
      <c r="F72" s="13" t="s">
        <v>113</v>
      </c>
      <c r="G72" s="19"/>
      <c r="H72" s="11" t="s">
        <v>114</v>
      </c>
    </row>
    <row r="73" spans="1:8" ht="75" customHeight="1" x14ac:dyDescent="0.25">
      <c r="A73" s="136" t="s">
        <v>115</v>
      </c>
      <c r="B73" s="18">
        <v>43828</v>
      </c>
      <c r="C73" s="9">
        <f>(B73/365.25)+1900</f>
        <v>2019.9945242984256</v>
      </c>
      <c r="D73" s="9"/>
      <c r="E73" s="12">
        <v>0</v>
      </c>
      <c r="F73" s="11" t="s">
        <v>116</v>
      </c>
      <c r="G73" s="19"/>
      <c r="H73" s="11" t="s">
        <v>117</v>
      </c>
    </row>
    <row r="74" spans="1:8" ht="15" customHeight="1" x14ac:dyDescent="0.25">
      <c r="A74" s="136"/>
      <c r="B74" s="18">
        <v>44373</v>
      </c>
      <c r="C74" s="9">
        <f>(B74/365.25)+1900</f>
        <v>2021.4866529774126</v>
      </c>
      <c r="D74" s="9">
        <v>151.85</v>
      </c>
      <c r="E74" s="12">
        <v>71</v>
      </c>
      <c r="F74" s="13" t="s">
        <v>110</v>
      </c>
      <c r="G74" s="19" t="s">
        <v>118</v>
      </c>
      <c r="H74" s="11" t="s">
        <v>112</v>
      </c>
    </row>
    <row r="75" spans="1:8" ht="15" customHeight="1" x14ac:dyDescent="0.25">
      <c r="A75" s="136"/>
      <c r="B75" s="18">
        <v>45089</v>
      </c>
      <c r="C75" s="9">
        <f>(B75/365.25)+1900</f>
        <v>2023.4469541409994</v>
      </c>
      <c r="D75" s="9">
        <v>163.72</v>
      </c>
      <c r="E75" s="12">
        <v>103</v>
      </c>
      <c r="F75" s="13" t="s">
        <v>110</v>
      </c>
      <c r="G75" s="12" t="s">
        <v>119</v>
      </c>
      <c r="H75" s="11" t="s">
        <v>120</v>
      </c>
    </row>
  </sheetData>
  <mergeCells count="7">
    <mergeCell ref="A73:A75"/>
    <mergeCell ref="A68:H68"/>
    <mergeCell ref="B1:C1"/>
    <mergeCell ref="A2:A19"/>
    <mergeCell ref="A20:A57"/>
    <mergeCell ref="A58:A67"/>
    <mergeCell ref="A69:A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B69B-0CA3-4A3E-B3D4-4B14B60F151F}">
  <dimension ref="A1:V57"/>
  <sheetViews>
    <sheetView topLeftCell="B1" zoomScale="90" zoomScaleNormal="90" workbookViewId="0">
      <pane ySplit="1" topLeftCell="A27" activePane="bottomLeft" state="frozen"/>
      <selection pane="bottomLeft" activeCell="G41" sqref="G41"/>
    </sheetView>
  </sheetViews>
  <sheetFormatPr defaultRowHeight="14.25" x14ac:dyDescent="0.2"/>
  <cols>
    <col min="1" max="1" width="22.7109375" style="2" customWidth="1"/>
    <col min="2" max="2" width="20.7109375" style="2" customWidth="1"/>
    <col min="3" max="4" width="12.7109375" style="2" customWidth="1"/>
    <col min="5" max="5" width="14.7109375" style="31" customWidth="1"/>
    <col min="6" max="11" width="14.7109375" style="2" customWidth="1"/>
    <col min="12" max="12" width="18.140625" style="2" customWidth="1"/>
    <col min="13" max="13" width="38.28515625" style="2" customWidth="1"/>
    <col min="14" max="14" width="21.140625" style="2" customWidth="1"/>
    <col min="15" max="17" width="14.7109375" style="2" customWidth="1"/>
    <col min="18" max="18" width="9.140625" style="2" customWidth="1"/>
    <col min="19" max="19" width="9.140625" style="2"/>
    <col min="20" max="23" width="9.140625" style="2" customWidth="1"/>
    <col min="24" max="16384" width="9.140625" style="2"/>
  </cols>
  <sheetData>
    <row r="1" spans="1:22" ht="48.75" customHeight="1" x14ac:dyDescent="0.2">
      <c r="A1" s="5" t="s">
        <v>121</v>
      </c>
      <c r="B1" s="42" t="s">
        <v>10</v>
      </c>
      <c r="C1" s="138" t="s">
        <v>122</v>
      </c>
      <c r="D1" s="138"/>
      <c r="E1" s="5" t="s">
        <v>123</v>
      </c>
      <c r="F1" s="6" t="s">
        <v>124</v>
      </c>
      <c r="G1" s="6" t="s">
        <v>125</v>
      </c>
      <c r="H1" s="6" t="s">
        <v>126</v>
      </c>
      <c r="I1" s="6" t="s">
        <v>127</v>
      </c>
      <c r="J1" s="6" t="s">
        <v>128</v>
      </c>
      <c r="K1" s="6" t="s">
        <v>129</v>
      </c>
      <c r="L1" s="6" t="s">
        <v>130</v>
      </c>
      <c r="M1" s="74" t="s">
        <v>131</v>
      </c>
      <c r="N1" s="6" t="s">
        <v>132</v>
      </c>
      <c r="O1" s="6" t="s">
        <v>133</v>
      </c>
      <c r="P1" s="6" t="s">
        <v>134</v>
      </c>
      <c r="Q1" s="6" t="s">
        <v>135</v>
      </c>
    </row>
    <row r="2" spans="1:22" ht="15" customHeight="1" x14ac:dyDescent="0.2">
      <c r="A2" s="139" t="s">
        <v>12</v>
      </c>
      <c r="B2" s="10"/>
      <c r="C2" s="20">
        <v>10621</v>
      </c>
      <c r="D2" s="9">
        <f>(C2/365.25)+1900</f>
        <v>1929.07871321013</v>
      </c>
      <c r="E2" s="44">
        <v>0</v>
      </c>
      <c r="F2" s="45"/>
      <c r="G2" s="45">
        <v>0</v>
      </c>
      <c r="H2" s="45"/>
      <c r="I2" s="45">
        <v>0</v>
      </c>
      <c r="J2" s="46"/>
      <c r="K2" s="62">
        <v>0</v>
      </c>
      <c r="L2" s="13"/>
      <c r="M2" s="13"/>
      <c r="N2" s="47">
        <f>L27*K2</f>
        <v>0</v>
      </c>
      <c r="O2" s="47">
        <f>N2*(D2-D1)*-1</f>
        <v>0</v>
      </c>
      <c r="P2" s="47"/>
      <c r="Q2" s="47">
        <v>0</v>
      </c>
    </row>
    <row r="3" spans="1:22" ht="15" customHeight="1" x14ac:dyDescent="0.2">
      <c r="A3" s="145"/>
      <c r="B3" s="14" t="s">
        <v>25</v>
      </c>
      <c r="C3" s="18">
        <v>10693</v>
      </c>
      <c r="D3" s="9">
        <f>(C3/365.25)+1900</f>
        <v>1929.2758384668036</v>
      </c>
      <c r="E3" s="44">
        <v>2.8476999999999999E-2</v>
      </c>
      <c r="F3" s="50">
        <f>E3-E2</f>
        <v>2.8476999999999999E-2</v>
      </c>
      <c r="G3" s="58">
        <v>2.5631952689272202E-4</v>
      </c>
      <c r="H3" s="58">
        <f>G3-G2</f>
        <v>2.5631952689272202E-4</v>
      </c>
      <c r="I3" s="58">
        <f>H3</f>
        <v>2.5631952689272202E-4</v>
      </c>
      <c r="J3" s="48"/>
      <c r="K3" s="13">
        <v>651.33000000000004</v>
      </c>
      <c r="L3" s="13"/>
      <c r="M3" s="13"/>
      <c r="N3" s="76">
        <f>L27*K3</f>
        <v>-1.2680039935363398E-4</v>
      </c>
      <c r="O3" s="75">
        <f>N3*(D3-D2)*-1</f>
        <v>2.4995561268905647E-5</v>
      </c>
      <c r="P3" s="76">
        <f>H3+O3</f>
        <v>2.8131508816162766E-4</v>
      </c>
      <c r="Q3" s="76">
        <f>P3+Q2</f>
        <v>2.8131508816162766E-4</v>
      </c>
    </row>
    <row r="4" spans="1:22" ht="15" customHeight="1" x14ac:dyDescent="0.2">
      <c r="A4" s="145"/>
      <c r="B4" s="14"/>
      <c r="C4" s="18">
        <v>10777</v>
      </c>
      <c r="D4" s="9">
        <f t="shared" ref="D4:D32" si="0">(C4/365.25)+1900</f>
        <v>1929.5058179329226</v>
      </c>
      <c r="E4" s="44">
        <v>0</v>
      </c>
      <c r="F4" s="56">
        <f>E4-E3</f>
        <v>-2.8476999999999999E-2</v>
      </c>
      <c r="G4" s="50">
        <v>0</v>
      </c>
      <c r="H4" s="59">
        <f>G4-G3</f>
        <v>-2.5631952689272202E-4</v>
      </c>
      <c r="I4" s="59"/>
      <c r="J4" s="58">
        <f>H4/(D4-D3)</f>
        <v>-1.1145322285431804E-3</v>
      </c>
      <c r="K4" s="62">
        <v>0</v>
      </c>
      <c r="L4" s="13"/>
      <c r="M4" s="70" t="s">
        <v>136</v>
      </c>
      <c r="N4" s="47">
        <f>L27*K4</f>
        <v>0</v>
      </c>
      <c r="O4" s="47">
        <f>N4*(D4-D3)*-1</f>
        <v>0</v>
      </c>
      <c r="P4" s="76"/>
      <c r="Q4" s="76"/>
      <c r="V4" s="31"/>
    </row>
    <row r="5" spans="1:22" ht="15" customHeight="1" x14ac:dyDescent="0.2">
      <c r="A5" s="145"/>
      <c r="B5" s="14"/>
      <c r="C5" s="18">
        <v>11112</v>
      </c>
      <c r="D5" s="9">
        <f t="shared" si="0"/>
        <v>1930.422997946612</v>
      </c>
      <c r="E5" s="44">
        <v>0</v>
      </c>
      <c r="F5" s="50">
        <f t="shared" ref="F5:F42" si="1">E5-E4</f>
        <v>0</v>
      </c>
      <c r="G5" s="50">
        <v>0</v>
      </c>
      <c r="H5" s="50">
        <f>G5-G4</f>
        <v>0</v>
      </c>
      <c r="I5" s="58"/>
      <c r="J5" s="58"/>
      <c r="K5" s="62">
        <v>0</v>
      </c>
      <c r="L5" s="13"/>
      <c r="M5" s="70"/>
      <c r="N5" s="47"/>
      <c r="O5" s="75"/>
      <c r="P5" s="76"/>
      <c r="Q5" s="76"/>
      <c r="V5" s="31"/>
    </row>
    <row r="6" spans="1:22" ht="15" customHeight="1" x14ac:dyDescent="0.2">
      <c r="A6" s="145"/>
      <c r="B6" s="14" t="s">
        <v>30</v>
      </c>
      <c r="C6" s="18">
        <v>11140</v>
      </c>
      <c r="D6" s="9">
        <f t="shared" si="0"/>
        <v>1930.4996577686516</v>
      </c>
      <c r="E6" s="44">
        <v>4.3865000000000001E-2</v>
      </c>
      <c r="F6" s="50">
        <f t="shared" si="1"/>
        <v>4.3865000000000001E-2</v>
      </c>
      <c r="G6" s="58">
        <v>1.0761725028993999E-3</v>
      </c>
      <c r="H6" s="58">
        <f>G6-G5</f>
        <v>1.0761725028993999E-3</v>
      </c>
      <c r="I6" s="58">
        <f>H6+I3</f>
        <v>1.3324920297921219E-3</v>
      </c>
      <c r="J6" s="58"/>
      <c r="K6" s="13">
        <v>1118.05</v>
      </c>
      <c r="L6" s="13"/>
      <c r="M6" s="70"/>
      <c r="N6" s="76">
        <f>L27*K6</f>
        <v>-2.1766107272401156E-4</v>
      </c>
      <c r="O6" s="75">
        <f>N6*(D6-D5)*-1</f>
        <v>1.6685859099965406E-5</v>
      </c>
      <c r="P6" s="76">
        <f>H6+O6</f>
        <v>1.0928583619993653E-3</v>
      </c>
      <c r="Q6" s="76">
        <f>P6+Q3</f>
        <v>1.3741734501609929E-3</v>
      </c>
    </row>
    <row r="7" spans="1:22" ht="15" customHeight="1" x14ac:dyDescent="0.2">
      <c r="A7" s="145"/>
      <c r="B7" s="14"/>
      <c r="C7" s="18">
        <v>11178</v>
      </c>
      <c r="D7" s="9">
        <f t="shared" si="0"/>
        <v>1930.6036960985625</v>
      </c>
      <c r="E7" s="44">
        <v>0</v>
      </c>
      <c r="F7" s="56">
        <f t="shared" si="1"/>
        <v>-4.3865000000000001E-2</v>
      </c>
      <c r="G7" s="50">
        <v>0</v>
      </c>
      <c r="H7" s="59">
        <f t="shared" ref="H7:H42" si="2">G7-G6</f>
        <v>-1.0761725028993999E-3</v>
      </c>
      <c r="I7" s="59"/>
      <c r="J7" s="58">
        <f>H7/(D7-D6)</f>
        <v>-1.0344000175900491E-2</v>
      </c>
      <c r="K7" s="62">
        <v>0</v>
      </c>
      <c r="L7" s="13"/>
      <c r="M7" s="70" t="s">
        <v>136</v>
      </c>
      <c r="N7" s="47"/>
      <c r="O7" s="75"/>
      <c r="P7" s="76"/>
      <c r="Q7" s="76"/>
    </row>
    <row r="8" spans="1:22" ht="15" customHeight="1" x14ac:dyDescent="0.2">
      <c r="A8" s="145"/>
      <c r="B8" s="14"/>
      <c r="C8" s="18">
        <v>11181</v>
      </c>
      <c r="D8" s="9">
        <f t="shared" si="0"/>
        <v>1930.611909650924</v>
      </c>
      <c r="E8" s="44">
        <v>0</v>
      </c>
      <c r="F8" s="50">
        <f t="shared" si="1"/>
        <v>0</v>
      </c>
      <c r="G8" s="50">
        <v>0</v>
      </c>
      <c r="H8" s="58">
        <f t="shared" si="2"/>
        <v>0</v>
      </c>
      <c r="I8" s="58"/>
      <c r="J8" s="58"/>
      <c r="K8" s="62">
        <v>0</v>
      </c>
      <c r="L8" s="13"/>
      <c r="M8" s="70"/>
      <c r="N8" s="47"/>
      <c r="O8" s="75"/>
      <c r="P8" s="76"/>
      <c r="Q8" s="76"/>
    </row>
    <row r="9" spans="1:22" ht="15" customHeight="1" x14ac:dyDescent="0.2">
      <c r="A9" s="140" t="s">
        <v>33</v>
      </c>
      <c r="B9" s="14" t="s">
        <v>36</v>
      </c>
      <c r="C9" s="18">
        <v>11185</v>
      </c>
      <c r="D9" s="9">
        <f t="shared" si="0"/>
        <v>1930.6228610540725</v>
      </c>
      <c r="E9" s="44">
        <v>0.49654799999999999</v>
      </c>
      <c r="F9" s="50">
        <f t="shared" si="1"/>
        <v>0.49654799999999999</v>
      </c>
      <c r="G9" s="58">
        <v>2.3869415045882901E-3</v>
      </c>
      <c r="H9" s="58">
        <f t="shared" si="2"/>
        <v>2.3869415045882901E-3</v>
      </c>
      <c r="I9" s="58">
        <f>H9+I6</f>
        <v>3.7194335343804117E-3</v>
      </c>
      <c r="J9" s="58"/>
      <c r="K9" s="62">
        <v>2839</v>
      </c>
      <c r="L9" s="13"/>
      <c r="M9" s="70"/>
      <c r="N9" s="76">
        <f>L27*K9</f>
        <v>-5.5269423144176815E-4</v>
      </c>
      <c r="O9" s="75">
        <f>N9*(D9-D8)*-1</f>
        <v>6.0527773463749752E-6</v>
      </c>
      <c r="P9" s="76">
        <f>H9+O9</f>
        <v>2.3929942819346651E-3</v>
      </c>
      <c r="Q9" s="76">
        <f>P9+Q6</f>
        <v>3.7671677320956581E-3</v>
      </c>
    </row>
    <row r="10" spans="1:22" ht="15" customHeight="1" x14ac:dyDescent="0.2">
      <c r="A10" s="140"/>
      <c r="B10" s="14" t="s">
        <v>42</v>
      </c>
      <c r="C10" s="18">
        <v>12115</v>
      </c>
      <c r="D10" s="9">
        <f t="shared" si="0"/>
        <v>1933.1690622861054</v>
      </c>
      <c r="E10" s="44">
        <v>0.66019600000000001</v>
      </c>
      <c r="F10" s="50">
        <f t="shared" si="1"/>
        <v>0.16364800000000002</v>
      </c>
      <c r="G10" s="58">
        <v>1.34323009618313E-2</v>
      </c>
      <c r="H10" s="58">
        <f t="shared" si="2"/>
        <v>1.104535945724301E-2</v>
      </c>
      <c r="I10" s="58">
        <f>H10+I9</f>
        <v>1.4764792991623421E-2</v>
      </c>
      <c r="J10" s="58"/>
      <c r="K10" s="13">
        <v>3779.48</v>
      </c>
      <c r="L10" s="13"/>
      <c r="M10" s="70"/>
      <c r="N10" s="76">
        <f>L27*K10</f>
        <v>-7.3578611970747927E-4</v>
      </c>
      <c r="O10" s="75">
        <f>N10*(D10-D9)*-1</f>
        <v>1.8734595245118901E-3</v>
      </c>
      <c r="P10" s="76">
        <f>H10+O10</f>
        <v>1.29188189817549E-2</v>
      </c>
      <c r="Q10" s="76">
        <f>P10+Q9</f>
        <v>1.6685986713850558E-2</v>
      </c>
    </row>
    <row r="11" spans="1:22" ht="15" customHeight="1" x14ac:dyDescent="0.2">
      <c r="A11" s="140"/>
      <c r="B11" s="14" t="s">
        <v>47</v>
      </c>
      <c r="C11" s="18">
        <v>12344</v>
      </c>
      <c r="D11" s="9">
        <f t="shared" si="0"/>
        <v>1933.7960301163587</v>
      </c>
      <c r="E11" s="44">
        <v>0.74582099999999996</v>
      </c>
      <c r="F11" s="50">
        <f t="shared" si="1"/>
        <v>8.5624999999999951E-2</v>
      </c>
      <c r="G11" s="58">
        <v>1.8768378100909599E-2</v>
      </c>
      <c r="H11" s="58">
        <f t="shared" si="2"/>
        <v>5.3360771390782991E-3</v>
      </c>
      <c r="I11" s="58">
        <f>H11+I10</f>
        <v>2.010087013070172E-2</v>
      </c>
      <c r="J11" s="58"/>
      <c r="K11" s="13">
        <v>3337.27</v>
      </c>
      <c r="L11" s="13"/>
      <c r="M11" s="70"/>
      <c r="N11" s="76">
        <f>L27*K11</f>
        <v>-6.4969703337924248E-4</v>
      </c>
      <c r="O11" s="75">
        <f>N11*(D11-D10)*-1</f>
        <v>4.0733913933979377E-4</v>
      </c>
      <c r="P11" s="76">
        <f>H11+O11</f>
        <v>5.7434162784180927E-3</v>
      </c>
      <c r="Q11" s="76">
        <f>P11+Q10</f>
        <v>2.242940299226865E-2</v>
      </c>
    </row>
    <row r="12" spans="1:22" ht="15" customHeight="1" x14ac:dyDescent="0.2">
      <c r="A12" s="140"/>
      <c r="B12" s="14" t="s">
        <v>51</v>
      </c>
      <c r="C12" s="18">
        <v>12822</v>
      </c>
      <c r="D12" s="9">
        <f t="shared" si="0"/>
        <v>1935.1047227926078</v>
      </c>
      <c r="E12" s="44">
        <v>0.91493199999999997</v>
      </c>
      <c r="F12" s="50">
        <f t="shared" si="1"/>
        <v>0.16911100000000001</v>
      </c>
      <c r="G12" s="58">
        <v>2.3846773556232197E-2</v>
      </c>
      <c r="H12" s="58">
        <f t="shared" si="2"/>
        <v>5.0783954553225985E-3</v>
      </c>
      <c r="I12" s="58">
        <f>H12+I11</f>
        <v>2.5179265586024319E-2</v>
      </c>
      <c r="J12" s="58"/>
      <c r="K12" s="13">
        <v>3822.96</v>
      </c>
      <c r="L12" s="13"/>
      <c r="M12" s="70"/>
      <c r="N12" s="76">
        <f>L27*K12</f>
        <v>-7.4425077105763366E-4</v>
      </c>
      <c r="O12" s="75">
        <f>N12*(D12-D11)*-1</f>
        <v>9.7399553337591978E-4</v>
      </c>
      <c r="P12" s="76">
        <f>H12+O12</f>
        <v>6.0523909886985184E-3</v>
      </c>
      <c r="Q12" s="76">
        <f>P12+Q11</f>
        <v>2.8481793980967167E-2</v>
      </c>
    </row>
    <row r="13" spans="1:22" s="8" customFormat="1" ht="30" customHeight="1" x14ac:dyDescent="0.25">
      <c r="A13" s="140"/>
      <c r="B13" s="14" t="s">
        <v>53</v>
      </c>
      <c r="C13" s="18">
        <v>13003</v>
      </c>
      <c r="D13" s="9">
        <f t="shared" si="0"/>
        <v>1935.6002737850788</v>
      </c>
      <c r="E13" s="44">
        <v>0.93938299999999997</v>
      </c>
      <c r="F13" s="50">
        <f t="shared" si="1"/>
        <v>2.4451000000000001E-2</v>
      </c>
      <c r="G13" s="58">
        <v>1.6574645207558501E-2</v>
      </c>
      <c r="H13" s="59">
        <f t="shared" si="2"/>
        <v>-7.2721283486736968E-3</v>
      </c>
      <c r="I13" s="59"/>
      <c r="J13" s="58">
        <f>H13/(D13-D12)</f>
        <v>-1.4674833587584743E-2</v>
      </c>
      <c r="K13" s="13">
        <v>3944.93</v>
      </c>
      <c r="L13" s="60">
        <f>J13/K13</f>
        <v>-3.71992242893657E-6</v>
      </c>
      <c r="M13" s="71" t="s">
        <v>137</v>
      </c>
      <c r="N13" s="60"/>
      <c r="O13" s="77"/>
      <c r="P13" s="79"/>
      <c r="Q13" s="79"/>
      <c r="U13" s="61"/>
    </row>
    <row r="14" spans="1:22" s="26" customFormat="1" ht="30" customHeight="1" x14ac:dyDescent="0.25">
      <c r="A14" s="140"/>
      <c r="B14" s="63" t="s">
        <v>54</v>
      </c>
      <c r="C14" s="20">
        <v>13129</v>
      </c>
      <c r="D14" s="23">
        <f t="shared" si="0"/>
        <v>1935.9452429842574</v>
      </c>
      <c r="E14" s="64">
        <v>0.92125100000000004</v>
      </c>
      <c r="F14" s="65">
        <f t="shared" si="1"/>
        <v>-1.8131999999999926E-2</v>
      </c>
      <c r="G14" s="66">
        <v>1.6357240589183999E-2</v>
      </c>
      <c r="H14" s="67">
        <f t="shared" si="2"/>
        <v>-2.1740461837450181E-4</v>
      </c>
      <c r="I14" s="67"/>
      <c r="J14" s="66">
        <f>H14/(D14-D13)</f>
        <v>-6.3021457826417237E-4</v>
      </c>
      <c r="K14" s="45">
        <v>3981.6</v>
      </c>
      <c r="L14" s="68">
        <f>J14/K14</f>
        <v>-1.5828174057267741E-7</v>
      </c>
      <c r="M14" s="71" t="s">
        <v>137</v>
      </c>
      <c r="N14" s="68"/>
      <c r="O14" s="78"/>
      <c r="P14" s="57"/>
      <c r="Q14" s="57"/>
    </row>
    <row r="15" spans="1:22" s="8" customFormat="1" ht="30" customHeight="1" x14ac:dyDescent="0.25">
      <c r="A15" s="140"/>
      <c r="B15" s="14" t="s">
        <v>56</v>
      </c>
      <c r="C15" s="18">
        <v>13315</v>
      </c>
      <c r="D15" s="9">
        <f t="shared" si="0"/>
        <v>1936.454483230664</v>
      </c>
      <c r="E15" s="44">
        <v>0.80679599999999996</v>
      </c>
      <c r="F15" s="56">
        <f t="shared" si="1"/>
        <v>-0.11445500000000008</v>
      </c>
      <c r="G15" s="58">
        <v>1.53508504408238E-2</v>
      </c>
      <c r="H15" s="59">
        <f t="shared" si="2"/>
        <v>-1.0063901483601985E-3</v>
      </c>
      <c r="I15" s="59"/>
      <c r="J15" s="58">
        <f>H15/(D15-D14)</f>
        <v>-1.9762580735945634E-3</v>
      </c>
      <c r="K15" s="13">
        <v>4245.01</v>
      </c>
      <c r="L15" s="60">
        <f>J15/K15</f>
        <v>-4.6554850838856993E-7</v>
      </c>
      <c r="M15" s="71" t="s">
        <v>137</v>
      </c>
      <c r="N15" s="60"/>
      <c r="O15" s="77"/>
      <c r="P15" s="79"/>
      <c r="Q15" s="79"/>
    </row>
    <row r="16" spans="1:22" ht="15" customHeight="1" x14ac:dyDescent="0.2">
      <c r="A16" s="140"/>
      <c r="B16" s="14" t="s">
        <v>58</v>
      </c>
      <c r="C16" s="18">
        <v>13376</v>
      </c>
      <c r="D16" s="9">
        <f t="shared" si="0"/>
        <v>1936.6214921286789</v>
      </c>
      <c r="E16" s="44">
        <v>0.85934500000000003</v>
      </c>
      <c r="F16" s="50">
        <f t="shared" si="1"/>
        <v>5.2549000000000068E-2</v>
      </c>
      <c r="G16" s="58">
        <v>1.64568517045173E-2</v>
      </c>
      <c r="H16" s="58">
        <f t="shared" si="2"/>
        <v>1.1060012636934999E-3</v>
      </c>
      <c r="I16" s="58">
        <f>H16+I12</f>
        <v>2.6285266849717819E-2</v>
      </c>
      <c r="J16" s="58"/>
      <c r="K16" s="13">
        <v>3530.97</v>
      </c>
      <c r="L16" s="13"/>
      <c r="M16" s="70"/>
      <c r="N16" s="76">
        <f>L27*K16</f>
        <v>-6.8740639323492064E-4</v>
      </c>
      <c r="O16" s="75">
        <f>N16*(D16-D15)*-1</f>
        <v>1.1480298422259945E-4</v>
      </c>
      <c r="P16" s="76">
        <f>H16+O16</f>
        <v>1.2208042479160994E-3</v>
      </c>
      <c r="Q16" s="76">
        <f>P16+Q12</f>
        <v>2.9702598228883267E-2</v>
      </c>
    </row>
    <row r="17" spans="1:17" ht="15" customHeight="1" x14ac:dyDescent="0.2">
      <c r="A17" s="140"/>
      <c r="B17" s="14" t="s">
        <v>60</v>
      </c>
      <c r="C17" s="18">
        <v>13495</v>
      </c>
      <c r="D17" s="9">
        <f t="shared" si="0"/>
        <v>1936.9472963723476</v>
      </c>
      <c r="E17" s="44">
        <v>0.87787199999999999</v>
      </c>
      <c r="F17" s="50">
        <f t="shared" si="1"/>
        <v>1.852699999999996E-2</v>
      </c>
      <c r="G17" s="58">
        <v>1.9975362577812197E-2</v>
      </c>
      <c r="H17" s="58">
        <f t="shared" si="2"/>
        <v>3.5185108732948972E-3</v>
      </c>
      <c r="I17" s="58">
        <f>H17+I16</f>
        <v>2.9803777723012716E-2</v>
      </c>
      <c r="J17" s="58"/>
      <c r="K17" s="13">
        <v>3497.31</v>
      </c>
      <c r="L17" s="13"/>
      <c r="M17" s="70"/>
      <c r="N17" s="76">
        <f>L27*K17</f>
        <v>-6.8085349156872489E-4</v>
      </c>
      <c r="O17" s="75">
        <f>N17*(D17-D16)*-1</f>
        <v>2.2182495686974148E-4</v>
      </c>
      <c r="P17" s="76">
        <f>H17+O17</f>
        <v>3.7403358301646389E-3</v>
      </c>
      <c r="Q17" s="76">
        <f>P17+Q16</f>
        <v>3.3442934059047906E-2</v>
      </c>
    </row>
    <row r="18" spans="1:17" ht="15" customHeight="1" x14ac:dyDescent="0.2">
      <c r="A18" s="140"/>
      <c r="B18" s="14" t="s">
        <v>62</v>
      </c>
      <c r="C18" s="18">
        <v>13559</v>
      </c>
      <c r="D18" s="9">
        <f t="shared" si="0"/>
        <v>1937.1225188227243</v>
      </c>
      <c r="E18" s="44">
        <v>0.86658500000000005</v>
      </c>
      <c r="F18" s="56">
        <f t="shared" si="1"/>
        <v>-1.1286999999999936E-2</v>
      </c>
      <c r="G18" s="58">
        <v>1.9990129487642002E-2</v>
      </c>
      <c r="H18" s="58">
        <f t="shared" si="2"/>
        <v>1.4766909829804636E-5</v>
      </c>
      <c r="I18" s="58">
        <f>H18+I17</f>
        <v>2.981854463284252E-2</v>
      </c>
      <c r="J18" s="58"/>
      <c r="K18" s="13">
        <v>3479.62</v>
      </c>
      <c r="L18" s="13"/>
      <c r="M18" s="72"/>
      <c r="N18" s="76">
        <f>L27*K18</f>
        <v>-6.7740961662888523E-4</v>
      </c>
      <c r="O18" s="75">
        <f>N18*(D18-D17)*-1</f>
        <v>1.1869737293440197E-4</v>
      </c>
      <c r="P18" s="76">
        <f>H18+O18</f>
        <v>1.334642827642066E-4</v>
      </c>
      <c r="Q18" s="76">
        <f>P18+Q17</f>
        <v>3.3576398341812114E-2</v>
      </c>
    </row>
    <row r="19" spans="1:17" ht="15" customHeight="1" x14ac:dyDescent="0.2">
      <c r="A19" s="140"/>
      <c r="B19" s="14" t="s">
        <v>64</v>
      </c>
      <c r="C19" s="18">
        <v>13866</v>
      </c>
      <c r="D19" s="9">
        <f t="shared" si="0"/>
        <v>1937.9630390143736</v>
      </c>
      <c r="E19" s="44">
        <v>1.2130289999999999</v>
      </c>
      <c r="F19" s="50">
        <f t="shared" si="1"/>
        <v>0.34644399999999986</v>
      </c>
      <c r="G19" s="58">
        <v>2.5079028106626999E-2</v>
      </c>
      <c r="H19" s="58">
        <f t="shared" si="2"/>
        <v>5.0888986189849966E-3</v>
      </c>
      <c r="I19" s="58">
        <f>H19+I18</f>
        <v>3.4907443251827514E-2</v>
      </c>
      <c r="J19" s="58"/>
      <c r="K19" s="13">
        <v>4270.34</v>
      </c>
      <c r="L19" s="13"/>
      <c r="M19" s="70"/>
      <c r="N19" s="76">
        <f>L27*K19</f>
        <v>-8.3134634881826003E-4</v>
      </c>
      <c r="O19" s="75">
        <f>N19*(D19-D18)*-1</f>
        <v>6.9876339243573227E-4</v>
      </c>
      <c r="P19" s="76">
        <f>H19+O19</f>
        <v>5.7876620114207288E-3</v>
      </c>
      <c r="Q19" s="76">
        <f>P19+Q18</f>
        <v>3.9364060353232845E-2</v>
      </c>
    </row>
    <row r="20" spans="1:17" ht="30" customHeight="1" x14ac:dyDescent="0.2">
      <c r="A20" s="140"/>
      <c r="B20" s="14" t="s">
        <v>66</v>
      </c>
      <c r="C20" s="18">
        <v>14041</v>
      </c>
      <c r="D20" s="9">
        <f t="shared" si="0"/>
        <v>1938.4421629021219</v>
      </c>
      <c r="E20" s="44">
        <v>1.188148</v>
      </c>
      <c r="F20" s="56">
        <f t="shared" si="1"/>
        <v>-2.4880999999999931E-2</v>
      </c>
      <c r="G20" s="58">
        <v>2.4804728456098702E-2</v>
      </c>
      <c r="H20" s="59">
        <f t="shared" si="2"/>
        <v>-2.7429965052829658E-4</v>
      </c>
      <c r="I20" s="59"/>
      <c r="J20" s="58">
        <f>H20/(D20-D19)</f>
        <v>-5.7250255631669704E-4</v>
      </c>
      <c r="K20" s="62">
        <v>4231.3999999999996</v>
      </c>
      <c r="L20" s="60">
        <f>J20/K20</f>
        <v>-1.352986142450955E-7</v>
      </c>
      <c r="M20" s="71" t="s">
        <v>137</v>
      </c>
      <c r="N20" s="49"/>
      <c r="O20" s="75"/>
      <c r="P20" s="76"/>
      <c r="Q20" s="76"/>
    </row>
    <row r="21" spans="1:17" ht="15" customHeight="1" x14ac:dyDescent="0.2">
      <c r="A21" s="140"/>
      <c r="B21" s="14" t="s">
        <v>68</v>
      </c>
      <c r="C21" s="18">
        <v>14104</v>
      </c>
      <c r="D21" s="9">
        <f t="shared" si="0"/>
        <v>1938.6146475017113</v>
      </c>
      <c r="E21" s="44">
        <v>1.3635299999999999</v>
      </c>
      <c r="F21" s="50">
        <f t="shared" si="1"/>
        <v>0.17538199999999993</v>
      </c>
      <c r="G21" s="58">
        <v>4.1629955827557401E-2</v>
      </c>
      <c r="H21" s="58">
        <f t="shared" si="2"/>
        <v>1.6825227371458699E-2</v>
      </c>
      <c r="I21" s="58">
        <f>H21+I19</f>
        <v>5.1732670623286209E-2</v>
      </c>
      <c r="J21" s="58"/>
      <c r="K21" s="62">
        <v>4497.1000000000004</v>
      </c>
      <c r="L21" s="60"/>
      <c r="M21" s="70"/>
      <c r="N21" s="76">
        <f>L27*K21</f>
        <v>-8.7549180282380261E-4</v>
      </c>
      <c r="O21" s="75">
        <f>N21*(D21-D20)*-1</f>
        <v>1.5100885305379961E-4</v>
      </c>
      <c r="P21" s="76">
        <f>H21+O21</f>
        <v>1.6976236224512498E-2</v>
      </c>
      <c r="Q21" s="76">
        <f>P21+Q19</f>
        <v>5.6340296577745343E-2</v>
      </c>
    </row>
    <row r="22" spans="1:17" ht="45" customHeight="1" x14ac:dyDescent="0.2">
      <c r="A22" s="140"/>
      <c r="B22" s="14" t="s">
        <v>70</v>
      </c>
      <c r="C22" s="18">
        <v>14170</v>
      </c>
      <c r="D22" s="9">
        <f t="shared" si="0"/>
        <v>1938.7953456536618</v>
      </c>
      <c r="E22" s="44">
        <v>1.373238</v>
      </c>
      <c r="F22" s="50">
        <f t="shared" si="1"/>
        <v>9.7080000000000499E-3</v>
      </c>
      <c r="G22" s="58">
        <v>4.1482178978913799E-2</v>
      </c>
      <c r="H22" s="59">
        <f t="shared" si="2"/>
        <v>-1.4777684864360208E-4</v>
      </c>
      <c r="I22" s="59"/>
      <c r="J22" s="58">
        <f>H22/(D22-D21)</f>
        <v>-8.1781051465348344E-4</v>
      </c>
      <c r="K22" s="62">
        <v>4513.3999999999996</v>
      </c>
      <c r="L22" s="60">
        <f>J22/K22</f>
        <v>-1.8119610817864216E-7</v>
      </c>
      <c r="M22" s="73" t="s">
        <v>138</v>
      </c>
      <c r="N22" s="60"/>
      <c r="O22" s="77"/>
      <c r="P22" s="79"/>
      <c r="Q22" s="76"/>
    </row>
    <row r="23" spans="1:17" ht="15" customHeight="1" x14ac:dyDescent="0.2">
      <c r="A23" s="140"/>
      <c r="B23" s="15" t="s">
        <v>72</v>
      </c>
      <c r="C23" s="18">
        <v>14411</v>
      </c>
      <c r="D23" s="9">
        <f t="shared" si="0"/>
        <v>1939.4551676933606</v>
      </c>
      <c r="E23" s="44">
        <v>1.4715769999999999</v>
      </c>
      <c r="F23" s="50">
        <f t="shared" si="1"/>
        <v>9.8338999999999954E-2</v>
      </c>
      <c r="G23" s="58">
        <v>4.4521014090915904E-2</v>
      </c>
      <c r="H23" s="58">
        <f t="shared" si="2"/>
        <v>3.0388351120021057E-3</v>
      </c>
      <c r="I23" s="58">
        <f>H23+I21</f>
        <v>5.4771505735288314E-2</v>
      </c>
      <c r="J23" s="58"/>
      <c r="K23" s="13">
        <v>4525.6499999999996</v>
      </c>
      <c r="L23" s="60"/>
      <c r="M23" s="70"/>
      <c r="N23" s="76">
        <f>L27*K23</f>
        <v>-8.8104989380924186E-4</v>
      </c>
      <c r="O23" s="75">
        <f>N23*(D23-D22)*-1</f>
        <v>5.8133613800965872E-4</v>
      </c>
      <c r="P23" s="76">
        <f>H23+O23</f>
        <v>3.6201712500117645E-3</v>
      </c>
      <c r="Q23" s="76">
        <f>P23+Q21</f>
        <v>5.9960467827757109E-2</v>
      </c>
    </row>
    <row r="24" spans="1:17" ht="15" customHeight="1" x14ac:dyDescent="0.2">
      <c r="A24" s="140"/>
      <c r="B24" s="10" t="s">
        <v>74</v>
      </c>
      <c r="C24" s="18">
        <v>14473</v>
      </c>
      <c r="D24" s="9">
        <f t="shared" si="0"/>
        <v>1939.6249144421629</v>
      </c>
      <c r="E24" s="44">
        <v>1.525825</v>
      </c>
      <c r="F24" s="50">
        <f t="shared" si="1"/>
        <v>5.4248000000000074E-2</v>
      </c>
      <c r="G24" s="58">
        <v>5.2476993919345696E-2</v>
      </c>
      <c r="H24" s="58">
        <f t="shared" si="2"/>
        <v>7.955979828429792E-3</v>
      </c>
      <c r="I24" s="58">
        <f>H24+I23</f>
        <v>6.2727485563718099E-2</v>
      </c>
      <c r="J24" s="58"/>
      <c r="K24" s="13">
        <v>4713.93</v>
      </c>
      <c r="L24" s="60"/>
      <c r="M24" s="70"/>
      <c r="N24" s="76">
        <f>L27*K24</f>
        <v>-9.1770409243405919E-4</v>
      </c>
      <c r="O24" s="75">
        <f>N24*(D24-D23)*-1</f>
        <v>1.5577728605320468E-4</v>
      </c>
      <c r="P24" s="76">
        <f>H24+O24</f>
        <v>8.1117571144829967E-3</v>
      </c>
      <c r="Q24" s="76">
        <f>P24+Q23</f>
        <v>6.8072224942240106E-2</v>
      </c>
    </row>
    <row r="25" spans="1:17" ht="15" customHeight="1" x14ac:dyDescent="0.2">
      <c r="A25" s="140"/>
      <c r="B25" s="10" t="s">
        <v>76</v>
      </c>
      <c r="C25" s="18">
        <v>14961</v>
      </c>
      <c r="D25" s="9">
        <f t="shared" si="0"/>
        <v>1940.9609856262834</v>
      </c>
      <c r="E25" s="44">
        <v>1.438461</v>
      </c>
      <c r="F25" s="56">
        <f t="shared" si="1"/>
        <v>-8.7363999999999997E-2</v>
      </c>
      <c r="G25" s="58">
        <v>5.1894594653898299E-2</v>
      </c>
      <c r="H25" s="59">
        <f t="shared" si="2"/>
        <v>-5.8239926544739751E-4</v>
      </c>
      <c r="I25" s="59"/>
      <c r="J25" s="58">
        <f>H25/(D25-D24)</f>
        <v>-4.3590436824722864E-4</v>
      </c>
      <c r="K25" s="13">
        <v>6144.73</v>
      </c>
      <c r="L25" s="60">
        <f>J25/K25</f>
        <v>-7.0939547912964228E-8</v>
      </c>
      <c r="M25" s="73" t="s">
        <v>139</v>
      </c>
      <c r="N25" s="49"/>
      <c r="O25" s="75"/>
      <c r="P25" s="76"/>
      <c r="Q25" s="76"/>
    </row>
    <row r="26" spans="1:17" ht="15" customHeight="1" x14ac:dyDescent="0.2">
      <c r="A26" s="140"/>
      <c r="B26" s="10" t="s">
        <v>78</v>
      </c>
      <c r="C26" s="18">
        <v>15258</v>
      </c>
      <c r="D26" s="9">
        <f t="shared" si="0"/>
        <v>1941.7741273100617</v>
      </c>
      <c r="E26" s="44">
        <v>1.5604039999999999</v>
      </c>
      <c r="F26" s="50">
        <f t="shared" si="1"/>
        <v>0.12194299999999991</v>
      </c>
      <c r="G26" s="58">
        <v>5.3247203870592799E-2</v>
      </c>
      <c r="H26" s="58">
        <f t="shared" si="2"/>
        <v>1.3526092166945003E-3</v>
      </c>
      <c r="I26" s="58">
        <f>H26+I24</f>
        <v>6.40800947804126E-2</v>
      </c>
      <c r="J26" s="58"/>
      <c r="K26" s="13">
        <v>4710.43</v>
      </c>
      <c r="L26" s="60"/>
      <c r="M26" s="70"/>
      <c r="N26" s="76">
        <f>L27*K26</f>
        <v>-9.1702271525545889E-4</v>
      </c>
      <c r="O26" s="75">
        <f>N26*(D26-D25)*-1</f>
        <v>7.4566939474569221E-4</v>
      </c>
      <c r="P26" s="76">
        <f>H26+O26</f>
        <v>2.0982786114401926E-3</v>
      </c>
      <c r="Q26" s="76">
        <f>P26+Q24</f>
        <v>7.0170503553680305E-2</v>
      </c>
    </row>
    <row r="27" spans="1:17" ht="15" customHeight="1" x14ac:dyDescent="0.2">
      <c r="A27" s="140"/>
      <c r="B27" s="10" t="s">
        <v>80</v>
      </c>
      <c r="C27" s="18">
        <v>17400</v>
      </c>
      <c r="D27" s="9">
        <f t="shared" si="0"/>
        <v>1947.6386036960985</v>
      </c>
      <c r="E27" s="44">
        <v>1.309963</v>
      </c>
      <c r="F27" s="56">
        <f t="shared" si="1"/>
        <v>-0.25044099999999991</v>
      </c>
      <c r="G27" s="58">
        <v>4.8147918546154404E-2</v>
      </c>
      <c r="H27" s="59">
        <f t="shared" si="2"/>
        <v>-5.0992853244383948E-3</v>
      </c>
      <c r="I27" s="59"/>
      <c r="J27" s="58">
        <f>H27/(D27-D26)</f>
        <v>-8.6952099194732531E-4</v>
      </c>
      <c r="K27" s="13">
        <v>4466.43</v>
      </c>
      <c r="L27" s="60">
        <f>J27/K27</f>
        <v>-1.9467919388579363E-7</v>
      </c>
      <c r="M27" s="72" t="s">
        <v>140</v>
      </c>
      <c r="N27" s="49"/>
      <c r="O27" s="75"/>
      <c r="P27" s="76"/>
      <c r="Q27" s="76"/>
    </row>
    <row r="28" spans="1:17" ht="15" customHeight="1" x14ac:dyDescent="0.2">
      <c r="A28" s="140"/>
      <c r="B28" s="10" t="s">
        <v>81</v>
      </c>
      <c r="C28" s="18">
        <v>18524</v>
      </c>
      <c r="D28" s="9">
        <f t="shared" si="0"/>
        <v>1950.7159479808352</v>
      </c>
      <c r="E28" s="44">
        <v>1.333545</v>
      </c>
      <c r="F28" s="50">
        <f t="shared" si="1"/>
        <v>2.3581999999999992E-2</v>
      </c>
      <c r="G28" s="58">
        <v>4.9525061815395698E-2</v>
      </c>
      <c r="H28" s="58">
        <f t="shared" si="2"/>
        <v>1.3771432692412933E-3</v>
      </c>
      <c r="I28" s="58">
        <f>H28+I26</f>
        <v>6.5457238049653893E-2</v>
      </c>
      <c r="J28" s="58"/>
      <c r="K28" s="13">
        <v>4605.62</v>
      </c>
      <c r="L28" s="13"/>
      <c r="M28" s="70"/>
      <c r="N28" s="76">
        <f>L27*K28</f>
        <v>-8.9661838894428884E-4</v>
      </c>
      <c r="O28" s="75">
        <f t="shared" ref="O28:O36" si="3">N28*(D28-D27)*-1</f>
        <v>2.7592034748075188E-3</v>
      </c>
      <c r="P28" s="76">
        <f t="shared" ref="P28:P36" si="4">H28+O28</f>
        <v>4.1363467440488121E-3</v>
      </c>
      <c r="Q28" s="76">
        <f>P28+Q26</f>
        <v>7.4306850297729113E-2</v>
      </c>
    </row>
    <row r="29" spans="1:17" ht="15" customHeight="1" x14ac:dyDescent="0.2">
      <c r="A29" s="140"/>
      <c r="B29" s="10" t="s">
        <v>83</v>
      </c>
      <c r="C29" s="18">
        <v>19283</v>
      </c>
      <c r="D29" s="9">
        <f t="shared" si="0"/>
        <v>1952.7939767282683</v>
      </c>
      <c r="E29" s="44">
        <v>1.891308</v>
      </c>
      <c r="F29" s="50">
        <f t="shared" si="1"/>
        <v>0.55776300000000001</v>
      </c>
      <c r="G29" s="58">
        <v>7.22146208356991E-2</v>
      </c>
      <c r="H29" s="58">
        <f t="shared" si="2"/>
        <v>2.2689559020303403E-2</v>
      </c>
      <c r="I29" s="58">
        <f t="shared" ref="I29:I36" si="5">H29+I28</f>
        <v>8.8146797069957289E-2</v>
      </c>
      <c r="J29" s="58"/>
      <c r="K29" s="13">
        <v>5175.2299999999996</v>
      </c>
      <c r="L29" s="13"/>
      <c r="M29" s="70"/>
      <c r="N29" s="76">
        <f>L27*K29</f>
        <v>-1.0075096045735756E-3</v>
      </c>
      <c r="O29" s="75">
        <f t="shared" si="3"/>
        <v>2.0936339216188543E-3</v>
      </c>
      <c r="P29" s="76">
        <f t="shared" si="4"/>
        <v>2.4783192941922258E-2</v>
      </c>
      <c r="Q29" s="76">
        <f t="shared" ref="Q29:Q36" si="6">P29+Q28</f>
        <v>9.9090043239651371E-2</v>
      </c>
    </row>
    <row r="30" spans="1:17" ht="15" customHeight="1" x14ac:dyDescent="0.2">
      <c r="A30" s="140"/>
      <c r="B30" s="10" t="s">
        <v>85</v>
      </c>
      <c r="C30" s="18">
        <v>19643</v>
      </c>
      <c r="D30" s="9">
        <f t="shared" si="0"/>
        <v>1953.7796030116358</v>
      </c>
      <c r="E30" s="44">
        <v>1.9324319999999999</v>
      </c>
      <c r="F30" s="50">
        <f t="shared" si="1"/>
        <v>4.1123999999999938E-2</v>
      </c>
      <c r="G30" s="58">
        <v>8.1129472532884203E-2</v>
      </c>
      <c r="H30" s="58">
        <f t="shared" si="2"/>
        <v>8.9148516971851027E-3</v>
      </c>
      <c r="I30" s="58">
        <f t="shared" si="5"/>
        <v>9.7061648767142392E-2</v>
      </c>
      <c r="J30" s="58"/>
      <c r="K30" s="13">
        <v>5232.37</v>
      </c>
      <c r="L30" s="13"/>
      <c r="M30" s="70"/>
      <c r="N30" s="76">
        <f>L27*K30</f>
        <v>-1.01863357371221E-3</v>
      </c>
      <c r="O30" s="75">
        <f t="shared" si="3"/>
        <v>1.003992023371358E-3</v>
      </c>
      <c r="P30" s="76">
        <f t="shared" si="4"/>
        <v>9.9188437205564601E-3</v>
      </c>
      <c r="Q30" s="76">
        <f t="shared" si="6"/>
        <v>0.10900888696020783</v>
      </c>
    </row>
    <row r="31" spans="1:17" ht="15" customHeight="1" x14ac:dyDescent="0.2">
      <c r="A31" s="136" t="s">
        <v>87</v>
      </c>
      <c r="B31" s="10" t="s">
        <v>88</v>
      </c>
      <c r="C31" s="18">
        <v>21927</v>
      </c>
      <c r="D31" s="9">
        <f t="shared" si="0"/>
        <v>1960.0328542094455</v>
      </c>
      <c r="E31" s="44">
        <v>2.0800179999999999</v>
      </c>
      <c r="F31" s="50">
        <f t="shared" si="1"/>
        <v>0.14758599999999999</v>
      </c>
      <c r="G31" s="58">
        <v>9.8141615579935698E-2</v>
      </c>
      <c r="H31" s="58">
        <f t="shared" si="2"/>
        <v>1.7012143047051495E-2</v>
      </c>
      <c r="I31" s="58">
        <f t="shared" si="5"/>
        <v>0.11407379181419389</v>
      </c>
      <c r="J31" s="48"/>
      <c r="K31" s="13">
        <v>5546.68</v>
      </c>
      <c r="L31" s="13"/>
      <c r="M31" s="70"/>
      <c r="N31" s="76">
        <f>L27*K31</f>
        <v>-1.0798231911424538E-3</v>
      </c>
      <c r="O31" s="75">
        <f t="shared" si="3"/>
        <v>6.7524056634342758E-3</v>
      </c>
      <c r="P31" s="76">
        <f t="shared" si="4"/>
        <v>2.3764548710485771E-2</v>
      </c>
      <c r="Q31" s="76">
        <f t="shared" si="6"/>
        <v>0.13277343567069361</v>
      </c>
    </row>
    <row r="32" spans="1:17" ht="15" customHeight="1" x14ac:dyDescent="0.2">
      <c r="A32" s="136"/>
      <c r="B32" s="10" t="s">
        <v>90</v>
      </c>
      <c r="C32" s="18">
        <v>23085</v>
      </c>
      <c r="D32" s="9">
        <f t="shared" si="0"/>
        <v>1963.2032854209447</v>
      </c>
      <c r="E32" s="44">
        <v>2.0051540000000001</v>
      </c>
      <c r="F32" s="56">
        <f t="shared" si="1"/>
        <v>-7.486399999999982E-2</v>
      </c>
      <c r="G32" s="58">
        <v>0.106444735918722</v>
      </c>
      <c r="H32" s="58">
        <f t="shared" si="2"/>
        <v>8.3031203387863017E-3</v>
      </c>
      <c r="I32" s="58">
        <f t="shared" si="5"/>
        <v>0.12237691215298019</v>
      </c>
      <c r="J32" s="48"/>
      <c r="K32" s="62">
        <v>5058.6059999999998</v>
      </c>
      <c r="L32" s="62"/>
      <c r="M32" s="70"/>
      <c r="N32" s="76">
        <f>L27*K32</f>
        <v>-9.8480533826583901E-4</v>
      </c>
      <c r="O32" s="75">
        <f t="shared" si="3"/>
        <v>3.1222575816889798E-3</v>
      </c>
      <c r="P32" s="76">
        <f t="shared" si="4"/>
        <v>1.1425377920475282E-2</v>
      </c>
      <c r="Q32" s="76">
        <f t="shared" si="6"/>
        <v>0.1441988135911689</v>
      </c>
    </row>
    <row r="33" spans="1:18" ht="15" customHeight="1" x14ac:dyDescent="0.2">
      <c r="A33" s="136"/>
      <c r="B33" s="10" t="s">
        <v>96</v>
      </c>
      <c r="C33" s="18">
        <v>31260</v>
      </c>
      <c r="D33" s="9">
        <f t="shared" ref="D33" si="7">(C33/365.25)+1900</f>
        <v>1985.5852156057495</v>
      </c>
      <c r="E33" s="44">
        <v>2.412588</v>
      </c>
      <c r="F33" s="50">
        <f t="shared" si="1"/>
        <v>0.40743399999999985</v>
      </c>
      <c r="G33" s="58">
        <v>0.107542091964641</v>
      </c>
      <c r="H33" s="58">
        <f t="shared" si="2"/>
        <v>1.0973560459189985E-3</v>
      </c>
      <c r="I33" s="58">
        <f t="shared" si="5"/>
        <v>0.12347426819889919</v>
      </c>
      <c r="J33" s="48"/>
      <c r="K33" s="13">
        <v>3331.22</v>
      </c>
      <c r="L33" s="69"/>
      <c r="M33" s="70"/>
      <c r="N33" s="76">
        <f>L27*K33</f>
        <v>-6.4851922425623345E-4</v>
      </c>
      <c r="O33" s="75">
        <f t="shared" si="3"/>
        <v>1.4515112000806777E-2</v>
      </c>
      <c r="P33" s="76">
        <f t="shared" si="4"/>
        <v>1.5612468046725775E-2</v>
      </c>
      <c r="Q33" s="76">
        <f t="shared" si="6"/>
        <v>0.15981128163789468</v>
      </c>
    </row>
    <row r="34" spans="1:18" ht="15" customHeight="1" x14ac:dyDescent="0.2">
      <c r="A34" s="136"/>
      <c r="B34" s="10">
        <v>1990</v>
      </c>
      <c r="C34" s="91" t="s">
        <v>141</v>
      </c>
      <c r="D34" s="9">
        <v>1990.5</v>
      </c>
      <c r="E34" s="44">
        <v>2.5879409999999998</v>
      </c>
      <c r="F34" s="50">
        <f t="shared" si="1"/>
        <v>0.17535299999999987</v>
      </c>
      <c r="G34" s="58">
        <v>0.134152359108835</v>
      </c>
      <c r="H34" s="58">
        <f t="shared" si="2"/>
        <v>2.6610267144193997E-2</v>
      </c>
      <c r="I34" s="58">
        <f t="shared" si="5"/>
        <v>0.15008453534309318</v>
      </c>
      <c r="J34" s="48"/>
      <c r="K34" s="13">
        <v>3571.37</v>
      </c>
      <c r="L34" s="13"/>
      <c r="M34" s="70"/>
      <c r="N34" s="76">
        <f>L27*K34</f>
        <v>-6.9527143266790673E-4</v>
      </c>
      <c r="O34" s="75">
        <f t="shared" si="3"/>
        <v>3.4171091870444474E-3</v>
      </c>
      <c r="P34" s="76">
        <f t="shared" si="4"/>
        <v>3.0027376331238444E-2</v>
      </c>
      <c r="Q34" s="76">
        <f t="shared" si="6"/>
        <v>0.18983865796913313</v>
      </c>
    </row>
    <row r="35" spans="1:18" ht="15" customHeight="1" x14ac:dyDescent="0.2">
      <c r="A35" s="136"/>
      <c r="B35" s="10" t="s">
        <v>99</v>
      </c>
      <c r="C35" s="91" t="s">
        <v>141</v>
      </c>
      <c r="D35" s="9">
        <v>2012.5</v>
      </c>
      <c r="E35" s="44">
        <v>3.2157768985170603</v>
      </c>
      <c r="F35" s="50">
        <f>E35-E34</f>
        <v>0.62783589851706045</v>
      </c>
      <c r="G35" s="58">
        <v>0.163279080410553</v>
      </c>
      <c r="H35" s="58">
        <f t="shared" si="2"/>
        <v>2.9126721301718006E-2</v>
      </c>
      <c r="I35" s="58">
        <f t="shared" si="5"/>
        <v>0.17921125664481119</v>
      </c>
      <c r="J35" s="51"/>
      <c r="K35" s="62">
        <v>2023.4459999999999</v>
      </c>
      <c r="L35" s="13"/>
      <c r="M35" s="13"/>
      <c r="N35" s="76">
        <f>L27*K35</f>
        <v>-3.9392283615143357E-4</v>
      </c>
      <c r="O35" s="75">
        <f t="shared" si="3"/>
        <v>8.6663023953315391E-3</v>
      </c>
      <c r="P35" s="76">
        <f t="shared" si="4"/>
        <v>3.7793023697049545E-2</v>
      </c>
      <c r="Q35" s="76">
        <f t="shared" si="6"/>
        <v>0.22763168166618267</v>
      </c>
    </row>
    <row r="36" spans="1:18" ht="15" customHeight="1" x14ac:dyDescent="0.2">
      <c r="A36" s="136"/>
      <c r="B36" s="15" t="s">
        <v>101</v>
      </c>
      <c r="C36" s="18">
        <v>43435</v>
      </c>
      <c r="D36" s="9">
        <f>(C36/365.25)+1900</f>
        <v>2018.9185489390829</v>
      </c>
      <c r="E36" s="44">
        <v>2.8548</v>
      </c>
      <c r="F36" s="56">
        <f t="shared" si="1"/>
        <v>-0.36097689851706027</v>
      </c>
      <c r="G36" s="58">
        <v>0.17371874106629701</v>
      </c>
      <c r="H36" s="58">
        <f t="shared" si="2"/>
        <v>1.0439660655744004E-2</v>
      </c>
      <c r="I36" s="58">
        <f t="shared" si="5"/>
        <v>0.18965091730055519</v>
      </c>
      <c r="J36" s="25"/>
      <c r="K36" s="62">
        <v>2023.4459999999999</v>
      </c>
      <c r="L36" s="13"/>
      <c r="M36" s="81" t="s">
        <v>142</v>
      </c>
      <c r="N36" s="76">
        <f>L27*K36</f>
        <v>-3.9392283615143357E-4</v>
      </c>
      <c r="O36" s="75">
        <f t="shared" si="3"/>
        <v>2.5284130020603265E-3</v>
      </c>
      <c r="P36" s="76">
        <f t="shared" si="4"/>
        <v>1.296807365780433E-2</v>
      </c>
      <c r="Q36" s="80">
        <f t="shared" si="6"/>
        <v>0.240599755323987</v>
      </c>
    </row>
    <row r="37" spans="1:18" ht="15" customHeight="1" x14ac:dyDescent="0.2">
      <c r="A37" s="142" t="s">
        <v>103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4"/>
    </row>
    <row r="38" spans="1:18" ht="15" customHeight="1" x14ac:dyDescent="0.25">
      <c r="A38" s="140" t="s">
        <v>143</v>
      </c>
      <c r="B38" s="15" t="s">
        <v>106</v>
      </c>
      <c r="C38" s="18">
        <v>43456</v>
      </c>
      <c r="D38" s="9">
        <f>(C38/365.25)+1900</f>
        <v>2018.9760438056126</v>
      </c>
      <c r="E38" s="44">
        <v>1.5206</v>
      </c>
      <c r="F38" s="56">
        <f>E38-E36</f>
        <v>-1.3342000000000001</v>
      </c>
      <c r="G38" s="58">
        <v>5.72793550141001E-2</v>
      </c>
      <c r="H38" s="59">
        <f>G38-G36</f>
        <v>-0.11643938605219691</v>
      </c>
      <c r="I38" s="52"/>
      <c r="J38" s="94" t="s">
        <v>144</v>
      </c>
      <c r="K38" s="47">
        <v>2023.4459999999999</v>
      </c>
      <c r="L38" s="53"/>
      <c r="M38" s="81" t="s">
        <v>142</v>
      </c>
      <c r="N38" s="49"/>
      <c r="O38" s="53"/>
      <c r="P38" s="53"/>
      <c r="Q38" s="53"/>
    </row>
    <row r="39" spans="1:18" s="35" customFormat="1" ht="15" customHeight="1" x14ac:dyDescent="0.25">
      <c r="A39" s="140"/>
      <c r="B39" s="15" t="s">
        <v>108</v>
      </c>
      <c r="C39" s="18">
        <v>43475</v>
      </c>
      <c r="D39" s="9">
        <f t="shared" ref="D39" si="8">(C39/365.25)+1900</f>
        <v>2019.028062970568</v>
      </c>
      <c r="E39" s="44">
        <v>2.9983309999999999</v>
      </c>
      <c r="F39" s="50">
        <f t="shared" si="1"/>
        <v>1.4777309999999999</v>
      </c>
      <c r="G39" s="58">
        <v>0.105707752344082</v>
      </c>
      <c r="H39" s="58">
        <f t="shared" si="2"/>
        <v>4.8428397329981901E-2</v>
      </c>
      <c r="I39" s="58">
        <f>H39+I36</f>
        <v>0.23807931463053711</v>
      </c>
      <c r="J39" s="51"/>
      <c r="K39" s="43">
        <v>5423.87</v>
      </c>
      <c r="L39" s="43"/>
      <c r="M39" s="43"/>
      <c r="N39" s="76">
        <f>L27*K39</f>
        <v>-1.0559146393413394E-3</v>
      </c>
      <c r="O39" s="75">
        <f>N39*(D39-D38)*-1</f>
        <v>5.4927797802805161E-5</v>
      </c>
      <c r="P39" s="75">
        <f>H39+O39</f>
        <v>4.8483325127784707E-2</v>
      </c>
      <c r="Q39" s="76">
        <f>P39+Q36</f>
        <v>0.28908308045177172</v>
      </c>
      <c r="R39" s="36"/>
    </row>
    <row r="40" spans="1:18" ht="15" customHeight="1" x14ac:dyDescent="0.2">
      <c r="A40" s="140"/>
      <c r="B40" s="15" t="s">
        <v>111</v>
      </c>
      <c r="C40" s="18">
        <v>43692</v>
      </c>
      <c r="D40" s="9">
        <f>(C40/365.25)+1900</f>
        <v>2019.6221765913758</v>
      </c>
      <c r="E40" s="44">
        <v>2.9763897697221102</v>
      </c>
      <c r="F40" s="56">
        <f t="shared" si="1"/>
        <v>-2.1941230277889634E-2</v>
      </c>
      <c r="G40" s="58">
        <v>0.126600698962967</v>
      </c>
      <c r="H40" s="58">
        <f t="shared" si="2"/>
        <v>2.0892946618884994E-2</v>
      </c>
      <c r="I40" s="58">
        <f>H40+I39</f>
        <v>0.25897226124942208</v>
      </c>
      <c r="J40" s="51"/>
      <c r="K40" s="43">
        <v>5342.46</v>
      </c>
      <c r="L40" s="43"/>
      <c r="M40" s="43"/>
      <c r="N40" s="76">
        <f>L27*K40</f>
        <v>-1.040065806167097E-3</v>
      </c>
      <c r="O40" s="75">
        <f>N40*(D40-D39)*-1</f>
        <v>6.1791726198029157E-4</v>
      </c>
      <c r="P40" s="75">
        <f>H40+O40</f>
        <v>2.1510863880865285E-2</v>
      </c>
      <c r="Q40" s="76">
        <f>P40+Q39</f>
        <v>0.31059394433263698</v>
      </c>
      <c r="R40" s="30"/>
    </row>
    <row r="41" spans="1:18" ht="15" customHeight="1" x14ac:dyDescent="0.2">
      <c r="A41" s="141" t="s">
        <v>115</v>
      </c>
      <c r="B41" s="15" t="s">
        <v>118</v>
      </c>
      <c r="C41" s="18">
        <v>44373</v>
      </c>
      <c r="D41" s="9">
        <f>(C41/365.25)+1900</f>
        <v>2021.4866529774126</v>
      </c>
      <c r="E41" s="83">
        <v>2.8382057500208502</v>
      </c>
      <c r="F41" s="56">
        <f t="shared" si="1"/>
        <v>-0.13818401970126004</v>
      </c>
      <c r="G41" s="58">
        <v>0.13365868570717199</v>
      </c>
      <c r="H41" s="58">
        <f t="shared" si="2"/>
        <v>7.0579867442049915E-3</v>
      </c>
      <c r="I41" s="58">
        <f>I40+H41</f>
        <v>0.26603024799362707</v>
      </c>
      <c r="J41" s="51"/>
      <c r="K41" s="43">
        <v>4964.45</v>
      </c>
      <c r="L41" s="43"/>
      <c r="M41" s="43"/>
      <c r="N41" s="76">
        <f>L27*K41</f>
        <v>-9.6647512408632819E-4</v>
      </c>
      <c r="O41" s="75">
        <f>N41*(D41-D40)*-1</f>
        <v>1.8019700465509575E-3</v>
      </c>
      <c r="P41" s="75">
        <f>H41+O41</f>
        <v>8.859956790755949E-3</v>
      </c>
      <c r="Q41" s="76">
        <f>P41+Q40</f>
        <v>0.31945390112339295</v>
      </c>
      <c r="R41" s="30"/>
    </row>
    <row r="42" spans="1:18" ht="15" customHeight="1" x14ac:dyDescent="0.2">
      <c r="A42" s="141"/>
      <c r="B42" s="43" t="s">
        <v>119</v>
      </c>
      <c r="C42" s="54">
        <v>45089</v>
      </c>
      <c r="D42" s="55">
        <f>(C42/365.25)+1900</f>
        <v>2023.4469541409994</v>
      </c>
      <c r="E42" s="44">
        <v>3.12829857038163</v>
      </c>
      <c r="F42" s="50">
        <f t="shared" si="1"/>
        <v>0.29009282036077977</v>
      </c>
      <c r="G42" s="58">
        <v>0.15552923179039801</v>
      </c>
      <c r="H42" s="58">
        <f t="shared" si="2"/>
        <v>2.1870546083226028E-2</v>
      </c>
      <c r="I42" s="58">
        <f>I41+H42</f>
        <v>0.28790079407685309</v>
      </c>
      <c r="J42" s="51"/>
      <c r="K42" s="43">
        <v>4373.58</v>
      </c>
      <c r="L42" s="43"/>
      <c r="M42" s="43"/>
      <c r="N42" s="76">
        <f>L27*K42</f>
        <v>-8.5144502879502934E-4</v>
      </c>
      <c r="O42" s="75">
        <f>N42*(D42-D41)*-1</f>
        <v>1.6690886806770852E-3</v>
      </c>
      <c r="P42" s="75">
        <f>H42+O42</f>
        <v>2.3539634763903115E-2</v>
      </c>
      <c r="Q42" s="76">
        <f>P42+Q41</f>
        <v>0.34299353588729609</v>
      </c>
      <c r="R42" s="30"/>
    </row>
    <row r="43" spans="1:18" x14ac:dyDescent="0.2">
      <c r="G43" s="27"/>
      <c r="H43" s="34"/>
      <c r="P43" s="30"/>
    </row>
    <row r="44" spans="1:18" x14ac:dyDescent="0.2">
      <c r="H44" s="29"/>
    </row>
    <row r="45" spans="1:18" ht="18" x14ac:dyDescent="0.25">
      <c r="C45" s="37"/>
      <c r="G45" s="98"/>
      <c r="I45" s="38"/>
      <c r="N45" s="31"/>
    </row>
    <row r="46" spans="1:18" ht="18" x14ac:dyDescent="0.25">
      <c r="C46" s="37"/>
      <c r="G46" s="99"/>
      <c r="I46" s="38"/>
      <c r="N46" s="31"/>
    </row>
    <row r="47" spans="1:18" x14ac:dyDescent="0.2">
      <c r="E47" s="103"/>
      <c r="L47" s="27"/>
      <c r="N47" s="31"/>
    </row>
    <row r="48" spans="1:18" x14ac:dyDescent="0.2">
      <c r="G48" s="30"/>
      <c r="L48" s="27"/>
      <c r="N48" s="31"/>
      <c r="O48" s="30"/>
    </row>
    <row r="49" spans="5:15" x14ac:dyDescent="0.2">
      <c r="N49" s="31"/>
    </row>
    <row r="50" spans="5:15" x14ac:dyDescent="0.2">
      <c r="N50" s="31"/>
    </row>
    <row r="51" spans="5:15" ht="18" x14ac:dyDescent="0.25">
      <c r="E51" s="39"/>
      <c r="F51" s="40"/>
      <c r="G51" s="41"/>
      <c r="M51" s="27"/>
      <c r="N51" s="31"/>
    </row>
    <row r="52" spans="5:15" x14ac:dyDescent="0.2">
      <c r="E52" s="39"/>
      <c r="F52" s="41"/>
      <c r="G52" s="41"/>
      <c r="N52" s="31"/>
    </row>
    <row r="53" spans="5:15" x14ac:dyDescent="0.2">
      <c r="N53" s="31"/>
    </row>
    <row r="54" spans="5:15" x14ac:dyDescent="0.2">
      <c r="G54" s="30"/>
      <c r="N54" s="31"/>
      <c r="O54" s="30"/>
    </row>
    <row r="55" spans="5:15" x14ac:dyDescent="0.2">
      <c r="G55" s="30"/>
      <c r="N55" s="31"/>
    </row>
    <row r="56" spans="5:15" x14ac:dyDescent="0.2">
      <c r="N56" s="31"/>
    </row>
    <row r="57" spans="5:15" x14ac:dyDescent="0.2">
      <c r="M57" s="28"/>
      <c r="N57" s="31"/>
    </row>
  </sheetData>
  <mergeCells count="7">
    <mergeCell ref="A41:A42"/>
    <mergeCell ref="A37:Q37"/>
    <mergeCell ref="C1:D1"/>
    <mergeCell ref="A2:A8"/>
    <mergeCell ref="A9:A30"/>
    <mergeCell ref="A31:A36"/>
    <mergeCell ref="A38:A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8F0F-DCCB-4238-BF3A-36D55B544C3A}">
  <dimension ref="A1:R54"/>
  <sheetViews>
    <sheetView zoomScale="90" zoomScaleNormal="90" workbookViewId="0">
      <pane ySplit="1" topLeftCell="A2" activePane="bottomLeft" state="frozen"/>
      <selection pane="bottomLeft" activeCell="G46" sqref="G46"/>
    </sheetView>
  </sheetViews>
  <sheetFormatPr defaultRowHeight="14.25" x14ac:dyDescent="0.2"/>
  <cols>
    <col min="1" max="1" width="22.7109375" style="2" customWidth="1"/>
    <col min="2" max="2" width="20.7109375" style="2" customWidth="1"/>
    <col min="3" max="4" width="12.7109375" style="2" customWidth="1"/>
    <col min="5" max="5" width="14.7109375" style="2" customWidth="1"/>
    <col min="6" max="6" width="18.7109375" style="2" customWidth="1"/>
    <col min="7" max="7" width="22.28515625" style="2" customWidth="1"/>
    <col min="8" max="12" width="18.7109375" style="2" customWidth="1"/>
    <col min="13" max="13" width="22.85546875" style="2" customWidth="1"/>
    <col min="14" max="20" width="9.140625" style="2" customWidth="1"/>
    <col min="21" max="16384" width="9.140625" style="2"/>
  </cols>
  <sheetData>
    <row r="1" spans="1:14" ht="30" customHeight="1" x14ac:dyDescent="0.2">
      <c r="A1" s="5" t="s">
        <v>121</v>
      </c>
      <c r="B1" s="42" t="s">
        <v>10</v>
      </c>
      <c r="C1" s="138" t="s">
        <v>122</v>
      </c>
      <c r="D1" s="138"/>
      <c r="E1" s="6" t="s">
        <v>145</v>
      </c>
      <c r="F1" s="6" t="s">
        <v>146</v>
      </c>
      <c r="G1" s="6" t="s">
        <v>185</v>
      </c>
      <c r="H1" s="6" t="s">
        <v>147</v>
      </c>
      <c r="I1" s="6" t="s">
        <v>148</v>
      </c>
      <c r="J1" s="6" t="s">
        <v>149</v>
      </c>
      <c r="K1" s="6" t="s">
        <v>150</v>
      </c>
      <c r="L1" s="6" t="s">
        <v>151</v>
      </c>
      <c r="M1" s="6" t="s">
        <v>152</v>
      </c>
    </row>
    <row r="2" spans="1:14" ht="15" customHeight="1" x14ac:dyDescent="0.2">
      <c r="A2" s="139" t="s">
        <v>12</v>
      </c>
      <c r="B2" s="10"/>
      <c r="C2" s="20">
        <v>10621</v>
      </c>
      <c r="D2" s="9">
        <f t="shared" ref="D2:D33" si="0">(C2/365.25)+1900</f>
        <v>1929.07871321013</v>
      </c>
      <c r="E2" s="45">
        <f>('Volume and Surface Area'!G2)*1000000000</f>
        <v>0</v>
      </c>
      <c r="F2" s="47">
        <f t="shared" ref="F2:F31" si="1">E2*1690.323</f>
        <v>0</v>
      </c>
      <c r="G2" s="132">
        <v>0</v>
      </c>
      <c r="H2" s="47">
        <v>0</v>
      </c>
      <c r="I2" s="47">
        <v>0</v>
      </c>
      <c r="J2" s="47">
        <v>0</v>
      </c>
      <c r="K2" s="47">
        <f>J2*1690.323</f>
        <v>0</v>
      </c>
      <c r="L2" s="47">
        <v>0</v>
      </c>
      <c r="M2" s="47">
        <v>0</v>
      </c>
    </row>
    <row r="3" spans="1:14" ht="15" customHeight="1" x14ac:dyDescent="0.2">
      <c r="A3" s="145"/>
      <c r="B3" s="14" t="s">
        <v>25</v>
      </c>
      <c r="C3" s="18">
        <v>10693</v>
      </c>
      <c r="D3" s="9">
        <f t="shared" si="0"/>
        <v>1929.2758384668036</v>
      </c>
      <c r="E3" s="45">
        <f>('Volume and Surface Area'!G3)*1000000000</f>
        <v>256319.52689272203</v>
      </c>
      <c r="F3" s="47">
        <f t="shared" si="1"/>
        <v>433262791.65588659</v>
      </c>
      <c r="G3" s="132">
        <v>433262791.65588659</v>
      </c>
      <c r="H3" s="47">
        <f>F3-F2</f>
        <v>433262791.65588659</v>
      </c>
      <c r="I3" s="47">
        <f>I2+H3</f>
        <v>433262791.65588659</v>
      </c>
      <c r="J3" s="85">
        <f>('Volume and Surface Area'!O3)*1000000000</f>
        <v>24995.561268905647</v>
      </c>
      <c r="K3" s="85">
        <f>J3*1690.323</f>
        <v>42250572.110740401</v>
      </c>
      <c r="L3" s="47">
        <f>K3</f>
        <v>42250572.110740401</v>
      </c>
      <c r="M3" s="47">
        <f>L3+M2</f>
        <v>42250572.110740401</v>
      </c>
      <c r="N3" s="34"/>
    </row>
    <row r="4" spans="1:14" ht="15" customHeight="1" x14ac:dyDescent="0.2">
      <c r="A4" s="145"/>
      <c r="B4" s="14"/>
      <c r="C4" s="18">
        <v>10777</v>
      </c>
      <c r="D4" s="90">
        <f t="shared" si="0"/>
        <v>1929.5058179329226</v>
      </c>
      <c r="E4" s="45">
        <f>('Volume and Surface Area'!G4)*1000000000</f>
        <v>0</v>
      </c>
      <c r="F4" s="47">
        <f t="shared" si="1"/>
        <v>0</v>
      </c>
      <c r="G4" s="132">
        <v>0</v>
      </c>
      <c r="H4" s="86">
        <f>F4-F3</f>
        <v>-433262791.65588659</v>
      </c>
      <c r="I4" s="43"/>
      <c r="J4" s="47"/>
      <c r="K4" s="47"/>
      <c r="L4" s="43"/>
      <c r="M4" s="47"/>
      <c r="N4" s="34"/>
    </row>
    <row r="5" spans="1:14" ht="15" customHeight="1" x14ac:dyDescent="0.2">
      <c r="A5" s="145"/>
      <c r="B5" s="14"/>
      <c r="C5" s="18">
        <v>11112</v>
      </c>
      <c r="D5" s="9">
        <f t="shared" si="0"/>
        <v>1930.422997946612</v>
      </c>
      <c r="E5" s="45">
        <f>('Volume and Surface Area'!G5)*1000000000</f>
        <v>0</v>
      </c>
      <c r="F5" s="47">
        <f t="shared" si="1"/>
        <v>0</v>
      </c>
      <c r="G5" s="132">
        <v>0</v>
      </c>
      <c r="H5" s="47">
        <f>F5-F4</f>
        <v>0</v>
      </c>
      <c r="I5" s="43"/>
      <c r="J5" s="43"/>
      <c r="K5" s="43"/>
      <c r="L5" s="43"/>
      <c r="M5" s="47"/>
      <c r="N5" s="34"/>
    </row>
    <row r="6" spans="1:14" ht="15" customHeight="1" x14ac:dyDescent="0.2">
      <c r="A6" s="145"/>
      <c r="B6" s="14" t="s">
        <v>30</v>
      </c>
      <c r="C6" s="18">
        <v>11140</v>
      </c>
      <c r="D6" s="9">
        <f t="shared" si="0"/>
        <v>1930.4996577686516</v>
      </c>
      <c r="E6" s="45">
        <f>('Volume and Surface Area'!G6)*1000000000</f>
        <v>1076172.5028994</v>
      </c>
      <c r="F6" s="47">
        <f t="shared" si="1"/>
        <v>1819079133.6184225</v>
      </c>
      <c r="G6" s="132">
        <v>1819079133.6184225</v>
      </c>
      <c r="H6" s="47">
        <f t="shared" ref="H6:H42" si="2">F6-F5</f>
        <v>1819079133.6184225</v>
      </c>
      <c r="I6" s="47">
        <f>H6+I3</f>
        <v>2252341925.2743092</v>
      </c>
      <c r="J6" s="47">
        <f>('Volume and Surface Area'!O6)*1000000000</f>
        <v>16685.859099965404</v>
      </c>
      <c r="K6" s="47">
        <f>J6*1690.323</f>
        <v>28204491.411430825</v>
      </c>
      <c r="L6" s="47">
        <f>K6+H6</f>
        <v>1847283625.0298533</v>
      </c>
      <c r="M6" s="47">
        <f>L6+M3</f>
        <v>1889534197.1405938</v>
      </c>
      <c r="N6" s="34"/>
    </row>
    <row r="7" spans="1:14" ht="15" customHeight="1" x14ac:dyDescent="0.2">
      <c r="A7" s="145"/>
      <c r="B7" s="14"/>
      <c r="C7" s="18">
        <v>11178</v>
      </c>
      <c r="D7" s="90">
        <f t="shared" si="0"/>
        <v>1930.6036960985625</v>
      </c>
      <c r="E7" s="45">
        <f>('Volume and Surface Area'!G7)*1000000000</f>
        <v>0</v>
      </c>
      <c r="F7" s="47">
        <f t="shared" si="1"/>
        <v>0</v>
      </c>
      <c r="G7" s="132">
        <v>0</v>
      </c>
      <c r="H7" s="86">
        <f t="shared" si="2"/>
        <v>-1819079133.6184225</v>
      </c>
      <c r="I7" s="47"/>
      <c r="J7" s="43"/>
      <c r="K7" s="43"/>
      <c r="L7" s="43"/>
      <c r="M7" s="47"/>
      <c r="N7" s="34"/>
    </row>
    <row r="8" spans="1:14" ht="15" customHeight="1" x14ac:dyDescent="0.2">
      <c r="A8" s="145"/>
      <c r="B8" s="14"/>
      <c r="C8" s="18">
        <v>11181</v>
      </c>
      <c r="D8" s="90">
        <f t="shared" si="0"/>
        <v>1930.611909650924</v>
      </c>
      <c r="E8" s="45">
        <f>('Volume and Surface Area'!G8)*1000000000</f>
        <v>0</v>
      </c>
      <c r="F8" s="47">
        <f t="shared" si="1"/>
        <v>0</v>
      </c>
      <c r="G8" s="132">
        <v>0</v>
      </c>
      <c r="H8" s="47">
        <f t="shared" si="2"/>
        <v>0</v>
      </c>
      <c r="I8" s="47"/>
      <c r="J8" s="43"/>
      <c r="K8" s="43"/>
      <c r="L8" s="43"/>
      <c r="M8" s="47"/>
      <c r="N8" s="34"/>
    </row>
    <row r="9" spans="1:14" ht="15" customHeight="1" x14ac:dyDescent="0.2">
      <c r="A9" s="140" t="s">
        <v>33</v>
      </c>
      <c r="B9" s="14" t="s">
        <v>36</v>
      </c>
      <c r="C9" s="18">
        <v>11185</v>
      </c>
      <c r="D9" s="9">
        <f t="shared" si="0"/>
        <v>1930.6228610540725</v>
      </c>
      <c r="E9" s="45">
        <f>('Volume and Surface Area'!G9)*1000000000</f>
        <v>2386941.5045882901</v>
      </c>
      <c r="F9" s="47">
        <f t="shared" si="1"/>
        <v>4034702124.8601928</v>
      </c>
      <c r="G9" s="132">
        <v>4034702124.8601928</v>
      </c>
      <c r="H9" s="47">
        <f t="shared" si="2"/>
        <v>4034702124.8601928</v>
      </c>
      <c r="I9" s="47">
        <f>H9+I6</f>
        <v>6287044050.1345024</v>
      </c>
      <c r="J9" s="47">
        <f>('Volume and Surface Area'!O9)*1000000000</f>
        <v>6052.7773463749754</v>
      </c>
      <c r="K9" s="47">
        <f>J9*1690.323</f>
        <v>10231148.762456588</v>
      </c>
      <c r="L9" s="47">
        <f>K9+H9</f>
        <v>4044933273.6226492</v>
      </c>
      <c r="M9" s="47">
        <f>L9+M6</f>
        <v>5934467470.7632427</v>
      </c>
      <c r="N9" s="34"/>
    </row>
    <row r="10" spans="1:14" ht="15" customHeight="1" x14ac:dyDescent="0.2">
      <c r="A10" s="140"/>
      <c r="B10" s="14" t="s">
        <v>42</v>
      </c>
      <c r="C10" s="18">
        <v>12115</v>
      </c>
      <c r="D10" s="9">
        <f t="shared" si="0"/>
        <v>1933.1690622861054</v>
      </c>
      <c r="E10" s="45">
        <f>('Volume and Surface Area'!G10)*1000000000</f>
        <v>13432300.9618313</v>
      </c>
      <c r="F10" s="47">
        <f t="shared" si="1"/>
        <v>22704927258.70557</v>
      </c>
      <c r="G10" s="132">
        <v>22704927258.70557</v>
      </c>
      <c r="H10" s="87">
        <f t="shared" si="2"/>
        <v>18670225133.845379</v>
      </c>
      <c r="I10" s="47">
        <f>H10+I9</f>
        <v>24957269183.979881</v>
      </c>
      <c r="J10" s="47">
        <f>('Volume and Surface Area'!O10)*1000000000</f>
        <v>1873459.5245118903</v>
      </c>
      <c r="K10" s="47">
        <f>J10*1690.323</f>
        <v>3166751723.851512</v>
      </c>
      <c r="L10" s="47">
        <f>K10+H10</f>
        <v>21836976857.696892</v>
      </c>
      <c r="M10" s="47">
        <f>L10+M9</f>
        <v>27771444328.460136</v>
      </c>
      <c r="N10" s="34"/>
    </row>
    <row r="11" spans="1:14" ht="15" customHeight="1" x14ac:dyDescent="0.2">
      <c r="A11" s="140"/>
      <c r="B11" s="14" t="s">
        <v>47</v>
      </c>
      <c r="C11" s="18">
        <v>12344</v>
      </c>
      <c r="D11" s="90">
        <f t="shared" si="0"/>
        <v>1933.7960301163587</v>
      </c>
      <c r="E11" s="45">
        <f>('Volume and Surface Area'!G11)*1000000000</f>
        <v>18768378.100909598</v>
      </c>
      <c r="F11" s="47">
        <f t="shared" si="1"/>
        <v>31724621176.663818</v>
      </c>
      <c r="G11" s="132">
        <v>31724621176.663818</v>
      </c>
      <c r="H11" s="47">
        <f t="shared" si="2"/>
        <v>9019693917.9582481</v>
      </c>
      <c r="I11" s="47">
        <f>H11+I10</f>
        <v>33976963101.938129</v>
      </c>
      <c r="J11" s="47">
        <f>('Volume and Surface Area'!O11)*1000000000</f>
        <v>407339.13933979376</v>
      </c>
      <c r="K11" s="47">
        <f>J11*1690.323</f>
        <v>688534716.02625823</v>
      </c>
      <c r="L11" s="47">
        <f>K11+H11</f>
        <v>9708228633.9845066</v>
      </c>
      <c r="M11" s="47">
        <f>L11+M10</f>
        <v>37479672962.444641</v>
      </c>
      <c r="N11" s="34"/>
    </row>
    <row r="12" spans="1:14" ht="15" customHeight="1" x14ac:dyDescent="0.2">
      <c r="A12" s="140"/>
      <c r="B12" s="14" t="s">
        <v>51</v>
      </c>
      <c r="C12" s="18">
        <v>12822</v>
      </c>
      <c r="D12" s="9">
        <f t="shared" si="0"/>
        <v>1935.1047227926078</v>
      </c>
      <c r="E12" s="45">
        <f>('Volume and Surface Area'!G12)*1000000000</f>
        <v>23846773.556232199</v>
      </c>
      <c r="F12" s="47">
        <f t="shared" si="1"/>
        <v>40308749817.891083</v>
      </c>
      <c r="G12" s="132">
        <v>40308749817.891083</v>
      </c>
      <c r="H12" s="47">
        <f t="shared" si="2"/>
        <v>8584128641.2272644</v>
      </c>
      <c r="I12" s="47">
        <f>H12+I11</f>
        <v>42561091743.16539</v>
      </c>
      <c r="J12" s="47">
        <f>('Volume and Surface Area'!O12)*1000000000</f>
        <v>973995.5333759198</v>
      </c>
      <c r="K12" s="47">
        <f>J12*1690.323</f>
        <v>1646367051.962585</v>
      </c>
      <c r="L12" s="47">
        <f>K12+H12</f>
        <v>10230495693.18985</v>
      </c>
      <c r="M12" s="47">
        <f>L12+M11</f>
        <v>47710168655.634491</v>
      </c>
      <c r="N12" s="34"/>
    </row>
    <row r="13" spans="1:14" ht="15" customHeight="1" x14ac:dyDescent="0.2">
      <c r="A13" s="140"/>
      <c r="B13" s="14" t="s">
        <v>53</v>
      </c>
      <c r="C13" s="18">
        <v>13003</v>
      </c>
      <c r="D13" s="90">
        <f t="shared" si="0"/>
        <v>1935.6002737850788</v>
      </c>
      <c r="E13" s="45">
        <f>('Volume and Surface Area'!G13)*1000000000</f>
        <v>16574645.207558502</v>
      </c>
      <c r="F13" s="47">
        <f t="shared" si="1"/>
        <v>28016504011.175911</v>
      </c>
      <c r="G13" s="132">
        <v>28016504011.175911</v>
      </c>
      <c r="H13" s="86">
        <f t="shared" si="2"/>
        <v>-12292245806.715172</v>
      </c>
      <c r="I13" s="47"/>
      <c r="J13" s="43"/>
      <c r="K13" s="43"/>
      <c r="L13" s="43"/>
      <c r="M13" s="47"/>
    </row>
    <row r="14" spans="1:14" ht="15" customHeight="1" x14ac:dyDescent="0.2">
      <c r="A14" s="140"/>
      <c r="B14" s="14" t="s">
        <v>54</v>
      </c>
      <c r="C14" s="18">
        <v>13129</v>
      </c>
      <c r="D14" s="9">
        <f t="shared" si="0"/>
        <v>1935.9452429842574</v>
      </c>
      <c r="E14" s="45">
        <f>('Volume and Surface Area'!G14)*1000000000</f>
        <v>16357240.589183999</v>
      </c>
      <c r="F14" s="47">
        <f t="shared" si="1"/>
        <v>27649019984.431267</v>
      </c>
      <c r="G14" s="132">
        <v>27649019984.431267</v>
      </c>
      <c r="H14" s="86">
        <f t="shared" si="2"/>
        <v>-367484026.74464417</v>
      </c>
      <c r="I14" s="47"/>
      <c r="J14" s="43"/>
      <c r="K14" s="43"/>
      <c r="L14" s="43"/>
      <c r="M14" s="47"/>
    </row>
    <row r="15" spans="1:14" ht="15" customHeight="1" x14ac:dyDescent="0.2">
      <c r="A15" s="140"/>
      <c r="B15" s="14" t="s">
        <v>56</v>
      </c>
      <c r="C15" s="18">
        <v>13315</v>
      </c>
      <c r="D15" s="90">
        <f t="shared" si="0"/>
        <v>1936.454483230664</v>
      </c>
      <c r="E15" s="45">
        <f>('Volume and Surface Area'!G15)*1000000000</f>
        <v>15350850.440823801</v>
      </c>
      <c r="F15" s="47">
        <f t="shared" si="1"/>
        <v>25947895569.684612</v>
      </c>
      <c r="G15" s="132">
        <v>25947895569.684612</v>
      </c>
      <c r="H15" s="86">
        <f t="shared" si="2"/>
        <v>-1701124414.7466545</v>
      </c>
      <c r="I15" s="47"/>
      <c r="J15" s="43"/>
      <c r="K15" s="43"/>
      <c r="L15" s="43"/>
      <c r="M15" s="47"/>
    </row>
    <row r="16" spans="1:14" ht="15" customHeight="1" x14ac:dyDescent="0.2">
      <c r="A16" s="140"/>
      <c r="B16" s="14" t="s">
        <v>58</v>
      </c>
      <c r="C16" s="18">
        <v>13376</v>
      </c>
      <c r="D16" s="9">
        <f t="shared" si="0"/>
        <v>1936.6214921286789</v>
      </c>
      <c r="E16" s="45">
        <f>('Volume and Surface Area'!G16)*1000000000</f>
        <v>16456851.704517299</v>
      </c>
      <c r="F16" s="47">
        <f t="shared" si="1"/>
        <v>27817394943.734795</v>
      </c>
      <c r="G16" s="132">
        <v>27817394943.734795</v>
      </c>
      <c r="H16" s="87">
        <f t="shared" si="2"/>
        <v>1869499374.0501823</v>
      </c>
      <c r="I16" s="47">
        <f>H16+I12</f>
        <v>44430591117.215576</v>
      </c>
      <c r="J16" s="47">
        <f>('Volume and Surface Area'!O16)*1000000000</f>
        <v>114802.98422259945</v>
      </c>
      <c r="K16" s="47">
        <f>J16*1690.323</f>
        <v>194054124.70009699</v>
      </c>
      <c r="L16" s="47">
        <f>K16+H16</f>
        <v>2063553498.7502794</v>
      </c>
      <c r="M16" s="47">
        <f>L16+M12</f>
        <v>49773722154.384773</v>
      </c>
      <c r="N16" s="34"/>
    </row>
    <row r="17" spans="1:14" ht="15" customHeight="1" x14ac:dyDescent="0.2">
      <c r="A17" s="140"/>
      <c r="B17" s="14" t="s">
        <v>60</v>
      </c>
      <c r="C17" s="18">
        <v>13495</v>
      </c>
      <c r="D17" s="90">
        <f t="shared" si="0"/>
        <v>1936.9472963723476</v>
      </c>
      <c r="E17" s="45">
        <f>('Volume and Surface Area'!G17)*1000000000</f>
        <v>19975362.577812199</v>
      </c>
      <c r="F17" s="47">
        <f t="shared" si="1"/>
        <v>33764814798.61525</v>
      </c>
      <c r="G17" s="132">
        <v>33764814798.61525</v>
      </c>
      <c r="H17" s="47">
        <f t="shared" si="2"/>
        <v>5947419854.880455</v>
      </c>
      <c r="I17" s="47">
        <f>H17+I16</f>
        <v>50378010972.096031</v>
      </c>
      <c r="J17" s="47">
        <f>('Volume and Surface Area'!O17)*1000000000</f>
        <v>221824.95686974147</v>
      </c>
      <c r="K17" s="47">
        <f>J17*1690.323</f>
        <v>374955826.57093203</v>
      </c>
      <c r="L17" s="47">
        <f>K17+H17</f>
        <v>6322375681.4513874</v>
      </c>
      <c r="M17" s="47">
        <f>L17+M16</f>
        <v>56096097835.836159</v>
      </c>
      <c r="N17" s="34"/>
    </row>
    <row r="18" spans="1:14" ht="15" customHeight="1" x14ac:dyDescent="0.2">
      <c r="A18" s="140"/>
      <c r="B18" s="14" t="s">
        <v>62</v>
      </c>
      <c r="C18" s="18">
        <v>13559</v>
      </c>
      <c r="D18" s="9">
        <f t="shared" si="0"/>
        <v>1937.1225188227243</v>
      </c>
      <c r="E18" s="45">
        <f>('Volume and Surface Area'!G18)*1000000000</f>
        <v>19990129.487642001</v>
      </c>
      <c r="F18" s="47">
        <f t="shared" si="1"/>
        <v>33789775645.939491</v>
      </c>
      <c r="G18" s="132">
        <v>33789775645.939491</v>
      </c>
      <c r="H18" s="47">
        <f t="shared" si="2"/>
        <v>24960847.324241638</v>
      </c>
      <c r="I18" s="47">
        <f>H18+I17</f>
        <v>50402971819.420273</v>
      </c>
      <c r="J18" s="47">
        <f>('Volume and Surface Area'!O18)*1000000000</f>
        <v>118697.37293440197</v>
      </c>
      <c r="K18" s="47">
        <f>J18*1690.323</f>
        <v>200636899.51059714</v>
      </c>
      <c r="L18" s="47">
        <f>K18+H18</f>
        <v>225597746.83483878</v>
      </c>
      <c r="M18" s="47">
        <f>L18+M17</f>
        <v>56321695582.670998</v>
      </c>
      <c r="N18" s="34"/>
    </row>
    <row r="19" spans="1:14" ht="15" customHeight="1" x14ac:dyDescent="0.2">
      <c r="A19" s="140"/>
      <c r="B19" s="14" t="s">
        <v>64</v>
      </c>
      <c r="C19" s="18">
        <v>13866</v>
      </c>
      <c r="D19" s="90">
        <f t="shared" si="0"/>
        <v>1937.9630390143736</v>
      </c>
      <c r="E19" s="45">
        <f>('Volume and Surface Area'!G19)*1000000000</f>
        <v>25079028.106626999</v>
      </c>
      <c r="F19" s="47">
        <f t="shared" si="1"/>
        <v>42391658026.278069</v>
      </c>
      <c r="G19" s="132">
        <v>42391658026.278069</v>
      </c>
      <c r="H19" s="87">
        <f t="shared" si="2"/>
        <v>8601882380.3385773</v>
      </c>
      <c r="I19" s="47">
        <f>H19+I18</f>
        <v>59004854199.75885</v>
      </c>
      <c r="J19" s="47">
        <f>('Volume and Surface Area'!O19)*1000000000</f>
        <v>698763.3924357323</v>
      </c>
      <c r="K19" s="47">
        <f>J19*1690.323</f>
        <v>1181135833.7921443</v>
      </c>
      <c r="L19" s="47">
        <f>K19+H19</f>
        <v>9783018214.130722</v>
      </c>
      <c r="M19" s="47">
        <f>L19+M18</f>
        <v>66104713796.80172</v>
      </c>
    </row>
    <row r="20" spans="1:14" ht="15" customHeight="1" x14ac:dyDescent="0.2">
      <c r="A20" s="140"/>
      <c r="B20" s="14" t="s">
        <v>66</v>
      </c>
      <c r="C20" s="18">
        <v>14041</v>
      </c>
      <c r="D20" s="9">
        <f t="shared" si="0"/>
        <v>1938.4421629021219</v>
      </c>
      <c r="E20" s="45">
        <f>('Volume and Surface Area'!G20)*1000000000</f>
        <v>24804728.456098702</v>
      </c>
      <c r="F20" s="47">
        <f t="shared" si="1"/>
        <v>41928003018.098129</v>
      </c>
      <c r="G20" s="132">
        <v>41928003018.098129</v>
      </c>
      <c r="H20" s="86">
        <f t="shared" si="2"/>
        <v>-463655008.17993927</v>
      </c>
      <c r="I20" s="47"/>
      <c r="J20" s="43"/>
      <c r="K20" s="43"/>
      <c r="L20" s="76"/>
      <c r="M20" s="47"/>
    </row>
    <row r="21" spans="1:14" ht="15" customHeight="1" x14ac:dyDescent="0.2">
      <c r="A21" s="140"/>
      <c r="B21" s="14" t="s">
        <v>68</v>
      </c>
      <c r="C21" s="18">
        <v>14104</v>
      </c>
      <c r="D21" s="90">
        <f t="shared" si="0"/>
        <v>1938.6146475017113</v>
      </c>
      <c r="E21" s="45">
        <f>('Volume and Surface Area'!G21)*1000000000</f>
        <v>41629955.8275574</v>
      </c>
      <c r="F21" s="47">
        <f t="shared" si="1"/>
        <v>70368071824.304306</v>
      </c>
      <c r="G21" s="132">
        <v>70368071824.304306</v>
      </c>
      <c r="H21" s="47">
        <f t="shared" si="2"/>
        <v>28440068806.206177</v>
      </c>
      <c r="I21" s="47">
        <f>H21+I19</f>
        <v>87444923005.965027</v>
      </c>
      <c r="J21" s="47">
        <f>('Volume and Surface Area'!O21)*1000000000</f>
        <v>151008.8530537996</v>
      </c>
      <c r="K21" s="47">
        <f>J21*1690.323</f>
        <v>255253737.52045771</v>
      </c>
      <c r="L21" s="47">
        <f>K21+H21</f>
        <v>28695322543.726635</v>
      </c>
      <c r="M21" s="47">
        <f>L21+M19</f>
        <v>94800036340.528351</v>
      </c>
      <c r="N21" s="34"/>
    </row>
    <row r="22" spans="1:14" ht="15" customHeight="1" x14ac:dyDescent="0.2">
      <c r="A22" s="140"/>
      <c r="B22" s="14" t="s">
        <v>70</v>
      </c>
      <c r="C22" s="18">
        <v>14170</v>
      </c>
      <c r="D22" s="9">
        <f t="shared" si="0"/>
        <v>1938.7953456536618</v>
      </c>
      <c r="E22" s="45">
        <f>('Volume and Surface Area'!G22)*1000000000</f>
        <v>41482178.978913799</v>
      </c>
      <c r="F22" s="47">
        <f t="shared" si="1"/>
        <v>70118281218.174515</v>
      </c>
      <c r="G22" s="132">
        <v>70118281218.174515</v>
      </c>
      <c r="H22" s="86">
        <f t="shared" si="2"/>
        <v>-249790606.12979126</v>
      </c>
      <c r="I22" s="43"/>
      <c r="J22" s="43"/>
      <c r="K22" s="43"/>
      <c r="L22" s="43"/>
      <c r="M22" s="47"/>
      <c r="N22" s="34"/>
    </row>
    <row r="23" spans="1:14" ht="15" customHeight="1" x14ac:dyDescent="0.2">
      <c r="A23" s="140"/>
      <c r="B23" s="15" t="s">
        <v>72</v>
      </c>
      <c r="C23" s="18">
        <v>14411</v>
      </c>
      <c r="D23" s="90">
        <f t="shared" si="0"/>
        <v>1939.4551676933606</v>
      </c>
      <c r="E23" s="45">
        <f>('Volume and Surface Area'!G23)*1000000000</f>
        <v>44521014.090915903</v>
      </c>
      <c r="F23" s="47">
        <f t="shared" si="1"/>
        <v>75254894101.199249</v>
      </c>
      <c r="G23" s="132">
        <v>75254894101.199249</v>
      </c>
      <c r="H23" s="47">
        <f t="shared" si="2"/>
        <v>5136612883.0247345</v>
      </c>
      <c r="I23" s="47">
        <f>H23+I21</f>
        <v>92581535888.989761</v>
      </c>
      <c r="J23" s="47">
        <f>('Volume and Surface Area'!O23)*1000000000</f>
        <v>581336.13800965867</v>
      </c>
      <c r="K23" s="47">
        <f>J23*1690.323</f>
        <v>982645844.80890036</v>
      </c>
      <c r="L23" s="47">
        <f>K23+H23</f>
        <v>6119258727.8336353</v>
      </c>
      <c r="M23" s="47">
        <f>L23+M21</f>
        <v>100919295068.36198</v>
      </c>
      <c r="N23" s="34"/>
    </row>
    <row r="24" spans="1:14" ht="15" customHeight="1" x14ac:dyDescent="0.2">
      <c r="A24" s="140"/>
      <c r="B24" s="10" t="s">
        <v>74</v>
      </c>
      <c r="C24" s="18">
        <v>14473</v>
      </c>
      <c r="D24" s="9">
        <f t="shared" si="0"/>
        <v>1939.6249144421629</v>
      </c>
      <c r="E24" s="45">
        <f>('Volume and Surface Area'!G24)*1000000000</f>
        <v>52476993.919345699</v>
      </c>
      <c r="F24" s="47">
        <f t="shared" si="1"/>
        <v>88703069792.730179</v>
      </c>
      <c r="G24" s="132">
        <v>88703069792.730179</v>
      </c>
      <c r="H24" s="47">
        <f t="shared" si="2"/>
        <v>13448175691.53093</v>
      </c>
      <c r="I24" s="47">
        <f>H24+I23</f>
        <v>106029711580.52069</v>
      </c>
      <c r="J24" s="47">
        <f>('Volume and Surface Area'!O24)*1000000000</f>
        <v>155777.28605320468</v>
      </c>
      <c r="K24" s="47">
        <f>J24*1690.323</f>
        <v>263313929.49331111</v>
      </c>
      <c r="L24" s="47">
        <f>K24+H24</f>
        <v>13711489621.02424</v>
      </c>
      <c r="M24" s="47">
        <f>L24+M23</f>
        <v>114630784689.38623</v>
      </c>
      <c r="N24" s="34"/>
    </row>
    <row r="25" spans="1:14" ht="15" customHeight="1" x14ac:dyDescent="0.2">
      <c r="A25" s="140"/>
      <c r="B25" s="10" t="s">
        <v>76</v>
      </c>
      <c r="C25" s="18">
        <v>14961</v>
      </c>
      <c r="D25" s="90">
        <f t="shared" si="0"/>
        <v>1940.9609856262834</v>
      </c>
      <c r="E25" s="45">
        <f>('Volume and Surface Area'!G25)*1000000000</f>
        <v>51894594.653898299</v>
      </c>
      <c r="F25" s="47">
        <f t="shared" si="1"/>
        <v>87718626919.161346</v>
      </c>
      <c r="G25" s="132">
        <v>87718626919.161346</v>
      </c>
      <c r="H25" s="86">
        <f t="shared" si="2"/>
        <v>-984442873.5688324</v>
      </c>
      <c r="I25" s="47"/>
      <c r="J25" s="43"/>
      <c r="K25" s="43"/>
      <c r="L25" s="43"/>
      <c r="M25" s="47"/>
      <c r="N25" s="34"/>
    </row>
    <row r="26" spans="1:14" ht="15" customHeight="1" x14ac:dyDescent="0.2">
      <c r="A26" s="140"/>
      <c r="B26" s="10" t="s">
        <v>78</v>
      </c>
      <c r="C26" s="18">
        <v>15258</v>
      </c>
      <c r="D26" s="9">
        <f t="shared" si="0"/>
        <v>1941.7741273100617</v>
      </c>
      <c r="E26" s="45">
        <f>('Volume and Surface Area'!G26)*1000000000</f>
        <v>53247203.870592803</v>
      </c>
      <c r="F26" s="47">
        <f t="shared" si="1"/>
        <v>90004973388.152039</v>
      </c>
      <c r="G26" s="132">
        <v>90004973388.152039</v>
      </c>
      <c r="H26" s="47">
        <f t="shared" si="2"/>
        <v>2286346468.9906921</v>
      </c>
      <c r="I26" s="47">
        <f>H26+I24</f>
        <v>108316058049.51138</v>
      </c>
      <c r="J26" s="47">
        <f>('Volume and Surface Area'!O26)*1000000000</f>
        <v>745669.39474569226</v>
      </c>
      <c r="K26" s="47">
        <f>J26*1690.323</f>
        <v>1260422128.3347228</v>
      </c>
      <c r="L26" s="47">
        <f>K26+H26</f>
        <v>3546768597.3254147</v>
      </c>
      <c r="M26" s="47">
        <f>L26+M24</f>
        <v>118177553286.71164</v>
      </c>
      <c r="N26" s="34"/>
    </row>
    <row r="27" spans="1:14" ht="15" customHeight="1" x14ac:dyDescent="0.2">
      <c r="A27" s="140"/>
      <c r="B27" s="10" t="s">
        <v>80</v>
      </c>
      <c r="C27" s="18">
        <v>17400</v>
      </c>
      <c r="D27" s="9">
        <f t="shared" si="0"/>
        <v>1947.6386036960985</v>
      </c>
      <c r="E27" s="45">
        <f>('Volume and Surface Area'!G27)*1000000000</f>
        <v>48147918.546154402</v>
      </c>
      <c r="F27" s="47">
        <f t="shared" si="1"/>
        <v>81385534120.691345</v>
      </c>
      <c r="G27" s="132">
        <v>81385534120.691345</v>
      </c>
      <c r="H27" s="86">
        <f t="shared" si="2"/>
        <v>-8619439267.4606934</v>
      </c>
      <c r="I27" s="47"/>
      <c r="J27" s="43"/>
      <c r="K27" s="43"/>
      <c r="L27" s="43"/>
      <c r="M27" s="47"/>
    </row>
    <row r="28" spans="1:14" ht="15" customHeight="1" x14ac:dyDescent="0.2">
      <c r="A28" s="140"/>
      <c r="B28" s="10" t="s">
        <v>81</v>
      </c>
      <c r="C28" s="18">
        <v>18524</v>
      </c>
      <c r="D28" s="90">
        <f t="shared" si="0"/>
        <v>1950.7159479808352</v>
      </c>
      <c r="E28" s="45">
        <f>('Volume and Surface Area'!G28)*1000000000</f>
        <v>49525061.815395698</v>
      </c>
      <c r="F28" s="47">
        <f t="shared" si="1"/>
        <v>83713351062.985107</v>
      </c>
      <c r="G28" s="132">
        <v>83713351062.985107</v>
      </c>
      <c r="H28" s="87">
        <f t="shared" si="2"/>
        <v>2327816942.2937622</v>
      </c>
      <c r="I28" s="47">
        <f>H28+I26</f>
        <v>110643874991.80515</v>
      </c>
      <c r="J28" s="47">
        <f>('Volume and Surface Area'!O28)*1000000000</f>
        <v>2759203.474807519</v>
      </c>
      <c r="K28" s="47">
        <f t="shared" ref="K28:K35" si="3">J28*1690.323</f>
        <v>4663945095.1470699</v>
      </c>
      <c r="L28" s="47">
        <f t="shared" ref="L28:L36" si="4">K28+H28</f>
        <v>6991762037.4408321</v>
      </c>
      <c r="M28" s="47">
        <f>L28+M26</f>
        <v>125169315324.15247</v>
      </c>
    </row>
    <row r="29" spans="1:14" ht="15" customHeight="1" x14ac:dyDescent="0.2">
      <c r="A29" s="140"/>
      <c r="B29" s="10" t="s">
        <v>83</v>
      </c>
      <c r="C29" s="18">
        <v>19283</v>
      </c>
      <c r="D29" s="9">
        <f t="shared" si="0"/>
        <v>1952.7939767282683</v>
      </c>
      <c r="E29" s="45">
        <f>('Volume and Surface Area'!G29)*1000000000</f>
        <v>72214620.835699096</v>
      </c>
      <c r="F29" s="47">
        <f t="shared" si="1"/>
        <v>122066034534.8614</v>
      </c>
      <c r="G29" s="132">
        <v>122066034534.8614</v>
      </c>
      <c r="H29" s="47">
        <f t="shared" si="2"/>
        <v>38352683471.876297</v>
      </c>
      <c r="I29" s="47">
        <f t="shared" ref="I29:I36" si="5">H29+I28</f>
        <v>148996558463.68146</v>
      </c>
      <c r="J29" s="47">
        <f>('Volume and Surface Area'!O29)*1000000000</f>
        <v>2093633.9216188542</v>
      </c>
      <c r="K29" s="47">
        <f t="shared" si="3"/>
        <v>3538917571.2925467</v>
      </c>
      <c r="L29" s="47">
        <f t="shared" si="4"/>
        <v>41891601043.168846</v>
      </c>
      <c r="M29" s="47">
        <f t="shared" ref="M29:M36" si="6">L29+M28</f>
        <v>167060916367.32132</v>
      </c>
      <c r="N29" s="34"/>
    </row>
    <row r="30" spans="1:14" ht="15" customHeight="1" x14ac:dyDescent="0.2">
      <c r="A30" s="140"/>
      <c r="B30" s="10" t="s">
        <v>85</v>
      </c>
      <c r="C30" s="18">
        <v>19643</v>
      </c>
      <c r="D30" s="90">
        <f t="shared" si="0"/>
        <v>1953.7796030116358</v>
      </c>
      <c r="E30" s="45">
        <f>('Volume and Surface Area'!G30)*1000000000</f>
        <v>81129472.53288421</v>
      </c>
      <c r="F30" s="47">
        <f t="shared" si="1"/>
        <v>137135013400.20244</v>
      </c>
      <c r="G30" s="132">
        <v>137135013400.20244</v>
      </c>
      <c r="H30" s="47">
        <f t="shared" si="2"/>
        <v>15068978865.341034</v>
      </c>
      <c r="I30" s="47">
        <f t="shared" si="5"/>
        <v>164065537329.02249</v>
      </c>
      <c r="J30" s="47">
        <f>('Volume and Surface Area'!O30)*1000000000</f>
        <v>1003992.0233713581</v>
      </c>
      <c r="K30" s="47">
        <f t="shared" si="3"/>
        <v>1697070808.9211442</v>
      </c>
      <c r="L30" s="47">
        <f t="shared" si="4"/>
        <v>16766049674.262178</v>
      </c>
      <c r="M30" s="47">
        <f t="shared" si="6"/>
        <v>183826966041.5835</v>
      </c>
      <c r="N30" s="34"/>
    </row>
    <row r="31" spans="1:14" ht="15" customHeight="1" x14ac:dyDescent="0.2">
      <c r="A31" s="136" t="s">
        <v>87</v>
      </c>
      <c r="B31" s="10" t="s">
        <v>88</v>
      </c>
      <c r="C31" s="18">
        <v>21927</v>
      </c>
      <c r="D31" s="9">
        <f t="shared" si="0"/>
        <v>1960.0328542094455</v>
      </c>
      <c r="E31" s="45">
        <f>('Volume and Surface Area'!G31)*1000000000</f>
        <v>98141615.5799357</v>
      </c>
      <c r="F31" s="47">
        <f t="shared" si="1"/>
        <v>165891030071.92368</v>
      </c>
      <c r="G31" s="132">
        <v>165891030071.92368</v>
      </c>
      <c r="H31" s="87">
        <f t="shared" si="2"/>
        <v>28756016671.721237</v>
      </c>
      <c r="I31" s="47">
        <f t="shared" si="5"/>
        <v>192821554000.74371</v>
      </c>
      <c r="J31" s="47">
        <f>('Volume and Surface Area'!O31)*1000000000</f>
        <v>6752405.6634342754</v>
      </c>
      <c r="K31" s="47">
        <f t="shared" si="3"/>
        <v>11413746598.233215</v>
      </c>
      <c r="L31" s="47">
        <f t="shared" si="4"/>
        <v>40169763269.954453</v>
      </c>
      <c r="M31" s="47">
        <f t="shared" si="6"/>
        <v>223996729311.53796</v>
      </c>
      <c r="N31" s="34"/>
    </row>
    <row r="32" spans="1:14" ht="15" customHeight="1" x14ac:dyDescent="0.2">
      <c r="A32" s="136"/>
      <c r="B32" s="10" t="s">
        <v>90</v>
      </c>
      <c r="C32" s="18">
        <v>23085</v>
      </c>
      <c r="D32" s="9">
        <f t="shared" si="0"/>
        <v>1963.2032854209447</v>
      </c>
      <c r="E32" s="45">
        <f>('Volume and Surface Area'!G32)*1000000000</f>
        <v>106444735.918722</v>
      </c>
      <c r="F32" s="47">
        <f>((E32-E31)*2315.102)+F31</f>
        <v>185113600574.48853</v>
      </c>
      <c r="G32" s="132">
        <v>185113600574.48853</v>
      </c>
      <c r="H32" s="47">
        <f t="shared" si="2"/>
        <v>19222570502.56485</v>
      </c>
      <c r="I32" s="47">
        <f t="shared" si="5"/>
        <v>212044124503.30856</v>
      </c>
      <c r="J32" s="47">
        <f>('Volume and Surface Area'!O32)*1000000000</f>
        <v>3122257.5816889796</v>
      </c>
      <c r="K32" s="47">
        <f t="shared" si="3"/>
        <v>5277623802.2532616</v>
      </c>
      <c r="L32" s="47">
        <f t="shared" si="4"/>
        <v>24500194304.818111</v>
      </c>
      <c r="M32" s="47">
        <f t="shared" si="6"/>
        <v>248496923616.35608</v>
      </c>
      <c r="N32" s="34"/>
    </row>
    <row r="33" spans="1:18" ht="15" customHeight="1" x14ac:dyDescent="0.2">
      <c r="A33" s="136"/>
      <c r="B33" s="10" t="s">
        <v>96</v>
      </c>
      <c r="C33" s="18">
        <v>31260</v>
      </c>
      <c r="D33" s="9">
        <f t="shared" si="0"/>
        <v>1985.5852156057495</v>
      </c>
      <c r="E33" s="45">
        <f>('Volume and Surface Area'!G33)*1000000000</f>
        <v>107542091.964641</v>
      </c>
      <c r="F33" s="47">
        <f>((E33-E32)*2315.102)+F32</f>
        <v>187654091751.1077</v>
      </c>
      <c r="G33" s="132">
        <v>187654091751.1077</v>
      </c>
      <c r="H33" s="47">
        <f t="shared" si="2"/>
        <v>2540491176.6191711</v>
      </c>
      <c r="I33" s="47">
        <f t="shared" si="5"/>
        <v>214584615679.92773</v>
      </c>
      <c r="J33" s="47">
        <f>('Volume and Surface Area'!O33)*1000000000</f>
        <v>14515112.000806777</v>
      </c>
      <c r="K33" s="47">
        <f t="shared" si="3"/>
        <v>24535227662.539715</v>
      </c>
      <c r="L33" s="47">
        <f t="shared" si="4"/>
        <v>27075718839.158886</v>
      </c>
      <c r="M33" s="47">
        <f t="shared" si="6"/>
        <v>275572642455.51495</v>
      </c>
      <c r="N33" s="34"/>
    </row>
    <row r="34" spans="1:18" ht="15" customHeight="1" x14ac:dyDescent="0.2">
      <c r="A34" s="136"/>
      <c r="B34" s="10">
        <v>1990</v>
      </c>
      <c r="C34" s="91" t="s">
        <v>141</v>
      </c>
      <c r="D34" s="90">
        <v>1990.5</v>
      </c>
      <c r="E34" s="45">
        <f>('Volume and Surface Area'!G34)*1000000000</f>
        <v>134152359.108835</v>
      </c>
      <c r="F34" s="47">
        <f>((E34-E33)*2315.102)+F33</f>
        <v>249259574437.1655</v>
      </c>
      <c r="G34" s="132">
        <v>249259574437.1655</v>
      </c>
      <c r="H34" s="87">
        <f t="shared" si="2"/>
        <v>61605482686.0578</v>
      </c>
      <c r="I34" s="47">
        <f t="shared" si="5"/>
        <v>276190098365.98553</v>
      </c>
      <c r="J34" s="47">
        <f>('Volume and Surface Area'!O34)*1000000000</f>
        <v>3417109.1870444473</v>
      </c>
      <c r="K34" s="47">
        <f t="shared" si="3"/>
        <v>5776018252.3725319</v>
      </c>
      <c r="L34" s="47">
        <f t="shared" si="4"/>
        <v>67381500938.430328</v>
      </c>
      <c r="M34" s="47">
        <f t="shared" si="6"/>
        <v>342954143393.94531</v>
      </c>
      <c r="N34" s="34"/>
    </row>
    <row r="35" spans="1:18" ht="15" customHeight="1" x14ac:dyDescent="0.2">
      <c r="A35" s="136"/>
      <c r="B35" s="10" t="s">
        <v>99</v>
      </c>
      <c r="C35" s="91" t="s">
        <v>141</v>
      </c>
      <c r="D35" s="9">
        <v>2012.5</v>
      </c>
      <c r="E35" s="45">
        <f>('Volume and Surface Area'!G35)*1000000000</f>
        <v>163279080.41055301</v>
      </c>
      <c r="F35" s="47">
        <f>((E35-E34)*2315.102)+F34</f>
        <v>316690905176.21545</v>
      </c>
      <c r="G35" s="132">
        <v>316690905176.21545</v>
      </c>
      <c r="H35" s="47">
        <f t="shared" si="2"/>
        <v>67431330739.049957</v>
      </c>
      <c r="I35" s="47">
        <f t="shared" si="5"/>
        <v>343621429105.03552</v>
      </c>
      <c r="J35" s="47">
        <f>('Volume and Surface Area'!O35)*1000000000</f>
        <v>8666302.3953315392</v>
      </c>
      <c r="K35" s="47">
        <f t="shared" si="3"/>
        <v>14648850263.783995</v>
      </c>
      <c r="L35" s="47">
        <f t="shared" si="4"/>
        <v>82080181002.833954</v>
      </c>
      <c r="M35" s="47">
        <f t="shared" si="6"/>
        <v>425034324396.7793</v>
      </c>
      <c r="N35" s="34"/>
    </row>
    <row r="36" spans="1:18" ht="15" customHeight="1" x14ac:dyDescent="0.2">
      <c r="A36" s="136"/>
      <c r="B36" s="15" t="s">
        <v>101</v>
      </c>
      <c r="C36" s="18">
        <v>43435</v>
      </c>
      <c r="D36" s="9">
        <f>(C36/365.25)+1900</f>
        <v>2018.9185489390829</v>
      </c>
      <c r="E36" s="45">
        <f>('Volume and Surface Area'!G36)*1000000000</f>
        <v>173718741.06629699</v>
      </c>
      <c r="F36" s="47">
        <f>((E36-E35)*2315.102)+F35</f>
        <v>340859784439.64966</v>
      </c>
      <c r="G36" s="132">
        <v>340859784439.64966</v>
      </c>
      <c r="H36" s="47">
        <f t="shared" si="2"/>
        <v>24168879263.434204</v>
      </c>
      <c r="I36" s="47">
        <f t="shared" si="5"/>
        <v>367790308368.46973</v>
      </c>
      <c r="J36" s="47">
        <f>('Volume and Surface Area'!O36)*1000000000</f>
        <v>2528413.0020603263</v>
      </c>
      <c r="K36" s="47">
        <f>J36*1525</f>
        <v>3855829828.1419978</v>
      </c>
      <c r="L36" s="47">
        <f t="shared" si="4"/>
        <v>28024709091.576202</v>
      </c>
      <c r="M36" s="47">
        <f t="shared" si="6"/>
        <v>453059033488.35547</v>
      </c>
      <c r="N36" s="34"/>
    </row>
    <row r="37" spans="1:18" ht="15" customHeight="1" x14ac:dyDescent="0.2">
      <c r="A37" s="142" t="s">
        <v>103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4"/>
      <c r="N37" s="84"/>
    </row>
    <row r="38" spans="1:18" ht="15" customHeight="1" x14ac:dyDescent="0.25">
      <c r="A38" s="140" t="s">
        <v>143</v>
      </c>
      <c r="B38" s="15" t="s">
        <v>106</v>
      </c>
      <c r="C38" s="18">
        <v>43456</v>
      </c>
      <c r="D38" s="9">
        <f>(C38/365.25)+1900</f>
        <v>2018.9760438056126</v>
      </c>
      <c r="E38" s="45">
        <f>('Volume and Surface Area'!G38)*1000000000</f>
        <v>57279355.014100097</v>
      </c>
      <c r="F38" s="27">
        <f>'Post-Collapse Mass Calculations'!C12</f>
        <v>102365873478.1846</v>
      </c>
      <c r="G38" s="93">
        <v>102365873478.1846</v>
      </c>
      <c r="H38" s="86">
        <f>F38-F36</f>
        <v>-238493910961.46506</v>
      </c>
      <c r="I38" s="88"/>
      <c r="J38" s="89"/>
      <c r="K38" s="88"/>
      <c r="L38" s="53"/>
      <c r="M38" s="88"/>
    </row>
    <row r="39" spans="1:18" s="35" customFormat="1" ht="15" customHeight="1" x14ac:dyDescent="0.25">
      <c r="A39" s="140"/>
      <c r="B39" s="15" t="s">
        <v>108</v>
      </c>
      <c r="C39" s="18">
        <v>43475</v>
      </c>
      <c r="D39" s="9">
        <f t="shared" ref="D39" si="7">(C39/365.25)+1900</f>
        <v>2019.028062970568</v>
      </c>
      <c r="E39" s="45">
        <f>('Volume and Surface Area'!G39)*1000000000</f>
        <v>105707752.344082</v>
      </c>
      <c r="F39" s="47">
        <f>((E39-E38)*1690.323)+F38</f>
        <v>184225507338.19159</v>
      </c>
      <c r="G39" s="132">
        <v>184225507338.19159</v>
      </c>
      <c r="H39" s="47">
        <f t="shared" si="2"/>
        <v>81859633860.006989</v>
      </c>
      <c r="I39" s="47">
        <f>H39+I36</f>
        <v>449649942228.47668</v>
      </c>
      <c r="J39" s="47">
        <f>('Volume and Surface Area'!O39)*1000000000</f>
        <v>54927.797802805158</v>
      </c>
      <c r="K39" s="47">
        <f>J39*1690.323</f>
        <v>92845719.965431035</v>
      </c>
      <c r="L39" s="47">
        <f>K39+H39</f>
        <v>81952479579.972412</v>
      </c>
      <c r="M39" s="47">
        <f>L39+M36</f>
        <v>535011513068.32788</v>
      </c>
      <c r="N39" s="2"/>
    </row>
    <row r="40" spans="1:18" ht="15" customHeight="1" x14ac:dyDescent="0.2">
      <c r="A40" s="140"/>
      <c r="B40" s="15" t="s">
        <v>111</v>
      </c>
      <c r="C40" s="18">
        <v>43692</v>
      </c>
      <c r="D40" s="9">
        <f>(C40/365.25)+1900</f>
        <v>2019.6221765913758</v>
      </c>
      <c r="E40" s="45">
        <f>('Volume and Surface Area'!G40)*1000000000</f>
        <v>126600698.96296699</v>
      </c>
      <c r="F40" s="47">
        <f>((E40-E38)*1690.323)+F38</f>
        <v>219541335545.86517</v>
      </c>
      <c r="G40" s="132">
        <v>219541335545.86517</v>
      </c>
      <c r="H40" s="47">
        <f t="shared" si="2"/>
        <v>35315828207.673584</v>
      </c>
      <c r="I40" s="47">
        <f>H40+I39</f>
        <v>484965770436.15027</v>
      </c>
      <c r="J40" s="47">
        <f>('Volume and Surface Area'!O40)*1000000000</f>
        <v>617917.26198029157</v>
      </c>
      <c r="K40" s="47">
        <f>J40*1690.323</f>
        <v>1044479760.0223124</v>
      </c>
      <c r="L40" s="47">
        <f>K40+H40</f>
        <v>36360307967.6959</v>
      </c>
      <c r="M40" s="47">
        <f>L40+M39</f>
        <v>571371821036.0238</v>
      </c>
      <c r="N40" s="34"/>
    </row>
    <row r="41" spans="1:18" ht="15" customHeight="1" x14ac:dyDescent="0.2">
      <c r="A41" s="141" t="s">
        <v>115</v>
      </c>
      <c r="B41" s="15" t="s">
        <v>118</v>
      </c>
      <c r="C41" s="18">
        <v>44373</v>
      </c>
      <c r="D41" s="9">
        <f>(C41/365.25)+1900</f>
        <v>2021.4866529774126</v>
      </c>
      <c r="E41" s="45">
        <f>('Volume and Surface Area'!G41)*1000000000</f>
        <v>133658685.70717199</v>
      </c>
      <c r="F41" s="47">
        <f>((E41-E40)*2315.102)+F40</f>
        <v>235881294773.34766</v>
      </c>
      <c r="G41" s="132">
        <v>235881294773.34766</v>
      </c>
      <c r="H41" s="87">
        <f t="shared" si="2"/>
        <v>16339959227.482483</v>
      </c>
      <c r="I41" s="47">
        <f>H41+I40</f>
        <v>501305729663.63275</v>
      </c>
      <c r="J41" s="47">
        <f>('Volume and Surface Area'!O41)*1000000000</f>
        <v>1801970.0465509575</v>
      </c>
      <c r="K41" s="47">
        <f>J41*1690.323</f>
        <v>3045911414.9961543</v>
      </c>
      <c r="L41" s="47">
        <f>K41+H41</f>
        <v>19385870642.478638</v>
      </c>
      <c r="M41" s="47">
        <f>L41+M40</f>
        <v>590757691678.50244</v>
      </c>
      <c r="N41" s="34"/>
    </row>
    <row r="42" spans="1:18" ht="15" customHeight="1" x14ac:dyDescent="0.2">
      <c r="A42" s="141"/>
      <c r="B42" s="43" t="s">
        <v>119</v>
      </c>
      <c r="C42" s="54">
        <v>45089</v>
      </c>
      <c r="D42" s="55">
        <f>(C42/365.25)+1900</f>
        <v>2023.4469541409994</v>
      </c>
      <c r="E42" s="45">
        <f>('Volume and Surface Area'!G42)*1000000000</f>
        <v>155529231.790398</v>
      </c>
      <c r="F42" s="87">
        <f>((E42-E41)*2315.102)+F41</f>
        <v>286513839751.71637</v>
      </c>
      <c r="G42" s="133">
        <v>286513839751.71637</v>
      </c>
      <c r="H42" s="47">
        <f t="shared" si="2"/>
        <v>50632544978.368713</v>
      </c>
      <c r="I42" s="47">
        <f>H42+I40</f>
        <v>535598315414.51898</v>
      </c>
      <c r="J42" s="47">
        <f>('Volume and Surface Area'!O42)*1000000000</f>
        <v>1669088.6806770852</v>
      </c>
      <c r="K42" s="47">
        <f>J42*1690.323</f>
        <v>2821298985.988133</v>
      </c>
      <c r="L42" s="47">
        <f>K42+H42</f>
        <v>53453843964.35685</v>
      </c>
      <c r="M42" s="47">
        <f>L42+M41</f>
        <v>644211535642.85925</v>
      </c>
      <c r="N42" s="34"/>
    </row>
    <row r="43" spans="1:18" ht="15" x14ac:dyDescent="0.25">
      <c r="O43" s="27"/>
      <c r="P43" s="33"/>
      <c r="Q43" s="82"/>
      <c r="R43" s="82"/>
    </row>
    <row r="44" spans="1:18" x14ac:dyDescent="0.2">
      <c r="O44" s="33"/>
      <c r="P44" s="33"/>
    </row>
    <row r="45" spans="1:18" x14ac:dyDescent="0.2">
      <c r="F45" s="27"/>
      <c r="G45" s="27"/>
    </row>
    <row r="47" spans="1:18" x14ac:dyDescent="0.2">
      <c r="D47" s="27"/>
    </row>
    <row r="48" spans="1:18" x14ac:dyDescent="0.2">
      <c r="D48" s="27"/>
    </row>
    <row r="51" spans="3:3" x14ac:dyDescent="0.2">
      <c r="C51" s="27"/>
    </row>
    <row r="52" spans="3:3" x14ac:dyDescent="0.2">
      <c r="C52" s="27"/>
    </row>
    <row r="54" spans="3:3" x14ac:dyDescent="0.2">
      <c r="C54" s="27"/>
    </row>
  </sheetData>
  <mergeCells count="7">
    <mergeCell ref="A41:A42"/>
    <mergeCell ref="A37:M37"/>
    <mergeCell ref="C1:D1"/>
    <mergeCell ref="A2:A8"/>
    <mergeCell ref="A9:A30"/>
    <mergeCell ref="A31:A36"/>
    <mergeCell ref="A38:A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9D3D-8655-4C3A-8F16-762ECFC3DE16}">
  <dimension ref="A1:R54"/>
  <sheetViews>
    <sheetView zoomScale="90" zoomScaleNormal="90" workbookViewId="0">
      <pane ySplit="1" topLeftCell="A29" activePane="bottomLeft" state="frozen"/>
      <selection pane="bottomLeft" activeCell="D41" sqref="D41"/>
    </sheetView>
  </sheetViews>
  <sheetFormatPr defaultRowHeight="14.25" x14ac:dyDescent="0.2"/>
  <cols>
    <col min="1" max="1" width="22.7109375" style="2" customWidth="1"/>
    <col min="2" max="2" width="20.7109375" style="2" customWidth="1"/>
    <col min="3" max="4" width="12.7109375" style="2" customWidth="1"/>
    <col min="5" max="5" width="14.7109375" style="2" customWidth="1"/>
    <col min="6" max="6" width="18.7109375" style="2" customWidth="1"/>
    <col min="7" max="7" width="22.28515625" style="2" customWidth="1"/>
    <col min="8" max="12" width="18.7109375" style="2" customWidth="1"/>
    <col min="13" max="13" width="22.85546875" style="2" customWidth="1"/>
    <col min="14" max="20" width="9.140625" style="2" customWidth="1"/>
    <col min="21" max="16384" width="9.140625" style="2"/>
  </cols>
  <sheetData>
    <row r="1" spans="1:14" ht="30" customHeight="1" x14ac:dyDescent="0.2">
      <c r="A1" s="5" t="s">
        <v>121</v>
      </c>
      <c r="B1" s="42" t="s">
        <v>10</v>
      </c>
      <c r="C1" s="138" t="s">
        <v>122</v>
      </c>
      <c r="D1" s="138"/>
      <c r="E1" s="6" t="s">
        <v>145</v>
      </c>
      <c r="F1" s="6" t="s">
        <v>146</v>
      </c>
      <c r="G1" s="6" t="s">
        <v>185</v>
      </c>
      <c r="H1" s="6" t="s">
        <v>147</v>
      </c>
      <c r="I1" s="6" t="s">
        <v>148</v>
      </c>
      <c r="J1" s="6" t="s">
        <v>149</v>
      </c>
      <c r="K1" s="6" t="s">
        <v>150</v>
      </c>
      <c r="L1" s="6" t="s">
        <v>151</v>
      </c>
      <c r="M1" s="6" t="s">
        <v>152</v>
      </c>
    </row>
    <row r="2" spans="1:14" ht="15" customHeight="1" x14ac:dyDescent="0.2">
      <c r="A2" s="139" t="s">
        <v>12</v>
      </c>
      <c r="B2" s="10"/>
      <c r="C2" s="20">
        <v>10621</v>
      </c>
      <c r="D2" s="9">
        <f t="shared" ref="D2:D33" si="0">(C2/365.25)+1900</f>
        <v>1929.07871321013</v>
      </c>
      <c r="E2" s="45">
        <f>('Volume and Surface Area'!G2)*1000000000</f>
        <v>0</v>
      </c>
      <c r="F2" s="47">
        <f t="shared" ref="F2:F31" si="1">E2*1690.323</f>
        <v>0</v>
      </c>
      <c r="G2" s="132">
        <f>F2</f>
        <v>0</v>
      </c>
      <c r="H2" s="47">
        <v>0</v>
      </c>
      <c r="I2" s="47">
        <v>0</v>
      </c>
      <c r="J2" s="47">
        <v>0</v>
      </c>
      <c r="K2" s="47">
        <f>J2*1690.323</f>
        <v>0</v>
      </c>
      <c r="L2" s="47">
        <v>0</v>
      </c>
      <c r="M2" s="47">
        <v>0</v>
      </c>
    </row>
    <row r="3" spans="1:14" ht="15" customHeight="1" x14ac:dyDescent="0.2">
      <c r="A3" s="145"/>
      <c r="B3" s="14" t="s">
        <v>25</v>
      </c>
      <c r="C3" s="18">
        <v>10693</v>
      </c>
      <c r="D3" s="9">
        <f t="shared" si="0"/>
        <v>1929.2758384668036</v>
      </c>
      <c r="E3" s="45">
        <f>('Volume and Surface Area'!G3)*1000000000</f>
        <v>256319.52689272203</v>
      </c>
      <c r="F3" s="47">
        <f t="shared" si="1"/>
        <v>433262791.65588659</v>
      </c>
      <c r="G3" s="132">
        <f>F3</f>
        <v>433262791.65588659</v>
      </c>
      <c r="H3" s="47">
        <f>F3-F2</f>
        <v>433262791.65588659</v>
      </c>
      <c r="I3" s="47">
        <f>I2+H3</f>
        <v>433262791.65588659</v>
      </c>
      <c r="J3" s="85">
        <f>('Volume and Surface Area'!O3)*1000000000</f>
        <v>24995.561268905647</v>
      </c>
      <c r="K3" s="85">
        <f>J3*1690.323</f>
        <v>42250572.110740401</v>
      </c>
      <c r="L3" s="47">
        <f>K3</f>
        <v>42250572.110740401</v>
      </c>
      <c r="M3" s="47">
        <f>L3+M2</f>
        <v>42250572.110740401</v>
      </c>
      <c r="N3" s="34"/>
    </row>
    <row r="4" spans="1:14" ht="15" customHeight="1" x14ac:dyDescent="0.2">
      <c r="A4" s="145"/>
      <c r="B4" s="14"/>
      <c r="C4" s="18">
        <v>10777</v>
      </c>
      <c r="D4" s="90">
        <f t="shared" si="0"/>
        <v>1929.5058179329226</v>
      </c>
      <c r="E4" s="45">
        <f>('Volume and Surface Area'!G4)*1000000000</f>
        <v>0</v>
      </c>
      <c r="F4" s="47">
        <f t="shared" si="1"/>
        <v>0</v>
      </c>
      <c r="G4" s="132">
        <f>F4</f>
        <v>0</v>
      </c>
      <c r="H4" s="86">
        <f>F4-F3</f>
        <v>-433262791.65588659</v>
      </c>
      <c r="I4" s="43"/>
      <c r="J4" s="47"/>
      <c r="K4" s="47"/>
      <c r="L4" s="43"/>
      <c r="M4" s="47"/>
      <c r="N4" s="34"/>
    </row>
    <row r="5" spans="1:14" ht="15" customHeight="1" x14ac:dyDescent="0.2">
      <c r="A5" s="145"/>
      <c r="B5" s="14"/>
      <c r="C5" s="18">
        <v>11112</v>
      </c>
      <c r="D5" s="9">
        <f t="shared" si="0"/>
        <v>1930.422997946612</v>
      </c>
      <c r="E5" s="45">
        <f>('Volume and Surface Area'!G5)*1000000000</f>
        <v>0</v>
      </c>
      <c r="F5" s="47">
        <f t="shared" si="1"/>
        <v>0</v>
      </c>
      <c r="G5" s="132">
        <f>F5</f>
        <v>0</v>
      </c>
      <c r="H5" s="47">
        <f>F5-F4</f>
        <v>0</v>
      </c>
      <c r="I5" s="43"/>
      <c r="J5" s="43"/>
      <c r="K5" s="43"/>
      <c r="L5" s="43"/>
      <c r="M5" s="47"/>
      <c r="N5" s="34"/>
    </row>
    <row r="6" spans="1:14" ht="15" customHeight="1" x14ac:dyDescent="0.2">
      <c r="A6" s="145"/>
      <c r="B6" s="14" t="s">
        <v>30</v>
      </c>
      <c r="C6" s="18">
        <v>11140</v>
      </c>
      <c r="D6" s="9">
        <f t="shared" si="0"/>
        <v>1930.4996577686516</v>
      </c>
      <c r="E6" s="45">
        <f>('Volume and Surface Area'!G6)*1000000000</f>
        <v>1076172.5028994</v>
      </c>
      <c r="F6" s="47">
        <f t="shared" si="1"/>
        <v>1819079133.6184225</v>
      </c>
      <c r="G6" s="132">
        <f t="shared" ref="G6:G36" si="2">F6</f>
        <v>1819079133.6184225</v>
      </c>
      <c r="H6" s="47">
        <f t="shared" ref="H6:H42" si="3">F6-F5</f>
        <v>1819079133.6184225</v>
      </c>
      <c r="I6" s="47">
        <f>H6+I3</f>
        <v>2252341925.2743092</v>
      </c>
      <c r="J6" s="47">
        <f>('Volume and Surface Area'!O6)*1000000000</f>
        <v>16685.859099965404</v>
      </c>
      <c r="K6" s="47">
        <f>J6*1690.323</f>
        <v>28204491.411430825</v>
      </c>
      <c r="L6" s="47">
        <f>K6+H6</f>
        <v>1847283625.0298533</v>
      </c>
      <c r="M6" s="47">
        <f>L6+M3</f>
        <v>1889534197.1405938</v>
      </c>
      <c r="N6" s="34"/>
    </row>
    <row r="7" spans="1:14" ht="15" customHeight="1" x14ac:dyDescent="0.2">
      <c r="A7" s="145"/>
      <c r="B7" s="14"/>
      <c r="C7" s="18">
        <v>11178</v>
      </c>
      <c r="D7" s="90">
        <f t="shared" si="0"/>
        <v>1930.6036960985625</v>
      </c>
      <c r="E7" s="45">
        <f>('Volume and Surface Area'!G7)*1000000000</f>
        <v>0</v>
      </c>
      <c r="F7" s="47">
        <f t="shared" si="1"/>
        <v>0</v>
      </c>
      <c r="G7" s="132">
        <f t="shared" si="2"/>
        <v>0</v>
      </c>
      <c r="H7" s="86">
        <f t="shared" si="3"/>
        <v>-1819079133.6184225</v>
      </c>
      <c r="I7" s="47"/>
      <c r="J7" s="43"/>
      <c r="K7" s="43"/>
      <c r="L7" s="43"/>
      <c r="M7" s="47"/>
      <c r="N7" s="34"/>
    </row>
    <row r="8" spans="1:14" ht="15" customHeight="1" x14ac:dyDescent="0.2">
      <c r="A8" s="145"/>
      <c r="B8" s="14"/>
      <c r="C8" s="18">
        <v>11181</v>
      </c>
      <c r="D8" s="90">
        <f t="shared" si="0"/>
        <v>1930.611909650924</v>
      </c>
      <c r="E8" s="45">
        <f>('Volume and Surface Area'!G8)*1000000000</f>
        <v>0</v>
      </c>
      <c r="F8" s="47">
        <f t="shared" si="1"/>
        <v>0</v>
      </c>
      <c r="G8" s="132">
        <f t="shared" si="2"/>
        <v>0</v>
      </c>
      <c r="H8" s="47">
        <f t="shared" si="3"/>
        <v>0</v>
      </c>
      <c r="I8" s="47"/>
      <c r="J8" s="43"/>
      <c r="K8" s="43"/>
      <c r="L8" s="43"/>
      <c r="M8" s="47"/>
      <c r="N8" s="34"/>
    </row>
    <row r="9" spans="1:14" ht="15" customHeight="1" x14ac:dyDescent="0.2">
      <c r="A9" s="140" t="s">
        <v>33</v>
      </c>
      <c r="B9" s="14" t="s">
        <v>36</v>
      </c>
      <c r="C9" s="18">
        <v>11185</v>
      </c>
      <c r="D9" s="9">
        <f t="shared" si="0"/>
        <v>1930.6228610540725</v>
      </c>
      <c r="E9" s="45">
        <f>('Volume and Surface Area'!G9)*1000000000</f>
        <v>2386941.5045882901</v>
      </c>
      <c r="F9" s="47">
        <f t="shared" si="1"/>
        <v>4034702124.8601928</v>
      </c>
      <c r="G9" s="132">
        <f t="shared" si="2"/>
        <v>4034702124.8601928</v>
      </c>
      <c r="H9" s="47">
        <f t="shared" si="3"/>
        <v>4034702124.8601928</v>
      </c>
      <c r="I9" s="47">
        <f>H9+I6</f>
        <v>6287044050.1345024</v>
      </c>
      <c r="J9" s="47">
        <f>('Volume and Surface Area'!O9)*1000000000</f>
        <v>6052.7773463749754</v>
      </c>
      <c r="K9" s="47">
        <f>J9*1690.323</f>
        <v>10231148.762456588</v>
      </c>
      <c r="L9" s="47">
        <f>K9+H9</f>
        <v>4044933273.6226492</v>
      </c>
      <c r="M9" s="47">
        <f>L9+M6</f>
        <v>5934467470.7632427</v>
      </c>
      <c r="N9" s="34"/>
    </row>
    <row r="10" spans="1:14" ht="15" customHeight="1" x14ac:dyDescent="0.2">
      <c r="A10" s="140"/>
      <c r="B10" s="14" t="s">
        <v>42</v>
      </c>
      <c r="C10" s="18">
        <v>12115</v>
      </c>
      <c r="D10" s="9">
        <f t="shared" si="0"/>
        <v>1933.1690622861054</v>
      </c>
      <c r="E10" s="45">
        <f>('Volume and Surface Area'!G10)*1000000000</f>
        <v>13432300.9618313</v>
      </c>
      <c r="F10" s="47">
        <f t="shared" si="1"/>
        <v>22704927258.70557</v>
      </c>
      <c r="G10" s="132">
        <f t="shared" si="2"/>
        <v>22704927258.70557</v>
      </c>
      <c r="H10" s="87">
        <f t="shared" si="3"/>
        <v>18670225133.845379</v>
      </c>
      <c r="I10" s="47">
        <f>H10+I9</f>
        <v>24957269183.979881</v>
      </c>
      <c r="J10" s="47">
        <f>('Volume and Surface Area'!O10)*1000000000</f>
        <v>1873459.5245118903</v>
      </c>
      <c r="K10" s="47">
        <f>J10*1690.323</f>
        <v>3166751723.851512</v>
      </c>
      <c r="L10" s="47">
        <f>K10+H10</f>
        <v>21836976857.696892</v>
      </c>
      <c r="M10" s="47">
        <f>L10+M9</f>
        <v>27771444328.460136</v>
      </c>
      <c r="N10" s="34"/>
    </row>
    <row r="11" spans="1:14" ht="15" customHeight="1" x14ac:dyDescent="0.2">
      <c r="A11" s="140"/>
      <c r="B11" s="14" t="s">
        <v>47</v>
      </c>
      <c r="C11" s="18">
        <v>12344</v>
      </c>
      <c r="D11" s="90">
        <f t="shared" si="0"/>
        <v>1933.7960301163587</v>
      </c>
      <c r="E11" s="45">
        <f>('Volume and Surface Area'!G11)*1000000000</f>
        <v>18768378.100909598</v>
      </c>
      <c r="F11" s="47">
        <f t="shared" si="1"/>
        <v>31724621176.663818</v>
      </c>
      <c r="G11" s="132">
        <f t="shared" si="2"/>
        <v>31724621176.663818</v>
      </c>
      <c r="H11" s="47">
        <f t="shared" si="3"/>
        <v>9019693917.9582481</v>
      </c>
      <c r="I11" s="47">
        <f>H11+I10</f>
        <v>33976963101.938129</v>
      </c>
      <c r="J11" s="47">
        <f>('Volume and Surface Area'!O11)*1000000000</f>
        <v>407339.13933979376</v>
      </c>
      <c r="K11" s="47">
        <f>J11*1690.323</f>
        <v>688534716.02625823</v>
      </c>
      <c r="L11" s="47">
        <f>K11+H11</f>
        <v>9708228633.9845066</v>
      </c>
      <c r="M11" s="47">
        <f>L11+M10</f>
        <v>37479672962.444641</v>
      </c>
      <c r="N11" s="34"/>
    </row>
    <row r="12" spans="1:14" ht="15" customHeight="1" x14ac:dyDescent="0.2">
      <c r="A12" s="140"/>
      <c r="B12" s="14" t="s">
        <v>51</v>
      </c>
      <c r="C12" s="18">
        <v>12822</v>
      </c>
      <c r="D12" s="9">
        <f t="shared" si="0"/>
        <v>1935.1047227926078</v>
      </c>
      <c r="E12" s="45">
        <f>('Volume and Surface Area'!G12)*1000000000</f>
        <v>23846773.556232199</v>
      </c>
      <c r="F12" s="47">
        <f t="shared" si="1"/>
        <v>40308749817.891083</v>
      </c>
      <c r="G12" s="132">
        <f t="shared" si="2"/>
        <v>40308749817.891083</v>
      </c>
      <c r="H12" s="47">
        <f t="shared" si="3"/>
        <v>8584128641.2272644</v>
      </c>
      <c r="I12" s="47">
        <f>H12+I11</f>
        <v>42561091743.16539</v>
      </c>
      <c r="J12" s="47">
        <f>('Volume and Surface Area'!O12)*1000000000</f>
        <v>973995.5333759198</v>
      </c>
      <c r="K12" s="47">
        <f>J12*1690.323</f>
        <v>1646367051.962585</v>
      </c>
      <c r="L12" s="47">
        <f>K12+H12</f>
        <v>10230495693.18985</v>
      </c>
      <c r="M12" s="47">
        <f>L12+M11</f>
        <v>47710168655.634491</v>
      </c>
      <c r="N12" s="34"/>
    </row>
    <row r="13" spans="1:14" ht="15" customHeight="1" x14ac:dyDescent="0.2">
      <c r="A13" s="140"/>
      <c r="B13" s="14" t="s">
        <v>53</v>
      </c>
      <c r="C13" s="18">
        <v>13003</v>
      </c>
      <c r="D13" s="90">
        <f t="shared" si="0"/>
        <v>1935.6002737850788</v>
      </c>
      <c r="E13" s="45">
        <f>('Volume and Surface Area'!G13)*1000000000</f>
        <v>16574645.207558502</v>
      </c>
      <c r="F13" s="47">
        <f t="shared" si="1"/>
        <v>28016504011.175911</v>
      </c>
      <c r="G13" s="132">
        <f t="shared" si="2"/>
        <v>28016504011.175911</v>
      </c>
      <c r="H13" s="86">
        <f t="shared" si="3"/>
        <v>-12292245806.715172</v>
      </c>
      <c r="I13" s="47"/>
      <c r="J13" s="43"/>
      <c r="K13" s="43"/>
      <c r="L13" s="43"/>
      <c r="M13" s="47"/>
    </row>
    <row r="14" spans="1:14" ht="15" customHeight="1" x14ac:dyDescent="0.2">
      <c r="A14" s="140"/>
      <c r="B14" s="14" t="s">
        <v>54</v>
      </c>
      <c r="C14" s="18">
        <v>13129</v>
      </c>
      <c r="D14" s="9">
        <f t="shared" si="0"/>
        <v>1935.9452429842574</v>
      </c>
      <c r="E14" s="45">
        <f>('Volume and Surface Area'!G14)*1000000000</f>
        <v>16357240.589183999</v>
      </c>
      <c r="F14" s="47">
        <f t="shared" si="1"/>
        <v>27649019984.431267</v>
      </c>
      <c r="G14" s="132">
        <f t="shared" si="2"/>
        <v>27649019984.431267</v>
      </c>
      <c r="H14" s="86">
        <f t="shared" si="3"/>
        <v>-367484026.74464417</v>
      </c>
      <c r="I14" s="47"/>
      <c r="J14" s="43"/>
      <c r="K14" s="43"/>
      <c r="L14" s="43"/>
      <c r="M14" s="47"/>
    </row>
    <row r="15" spans="1:14" ht="15" customHeight="1" x14ac:dyDescent="0.2">
      <c r="A15" s="140"/>
      <c r="B15" s="14" t="s">
        <v>56</v>
      </c>
      <c r="C15" s="18">
        <v>13315</v>
      </c>
      <c r="D15" s="90">
        <f t="shared" si="0"/>
        <v>1936.454483230664</v>
      </c>
      <c r="E15" s="45">
        <f>('Volume and Surface Area'!G15)*1000000000</f>
        <v>15350850.440823801</v>
      </c>
      <c r="F15" s="47">
        <f t="shared" si="1"/>
        <v>25947895569.684612</v>
      </c>
      <c r="G15" s="132">
        <f t="shared" si="2"/>
        <v>25947895569.684612</v>
      </c>
      <c r="H15" s="86">
        <f t="shared" si="3"/>
        <v>-1701124414.7466545</v>
      </c>
      <c r="I15" s="47"/>
      <c r="J15" s="43"/>
      <c r="K15" s="43"/>
      <c r="L15" s="43"/>
      <c r="M15" s="47"/>
    </row>
    <row r="16" spans="1:14" ht="15" customHeight="1" x14ac:dyDescent="0.2">
      <c r="A16" s="140"/>
      <c r="B16" s="14" t="s">
        <v>58</v>
      </c>
      <c r="C16" s="18">
        <v>13376</v>
      </c>
      <c r="D16" s="9">
        <f t="shared" si="0"/>
        <v>1936.6214921286789</v>
      </c>
      <c r="E16" s="45">
        <f>('Volume and Surface Area'!G16)*1000000000</f>
        <v>16456851.704517299</v>
      </c>
      <c r="F16" s="47">
        <f t="shared" si="1"/>
        <v>27817394943.734795</v>
      </c>
      <c r="G16" s="132">
        <f t="shared" si="2"/>
        <v>27817394943.734795</v>
      </c>
      <c r="H16" s="87">
        <f t="shared" si="3"/>
        <v>1869499374.0501823</v>
      </c>
      <c r="I16" s="47">
        <f>H16+I12</f>
        <v>44430591117.215576</v>
      </c>
      <c r="J16" s="47">
        <f>('Volume and Surface Area'!O16)*1000000000</f>
        <v>114802.98422259945</v>
      </c>
      <c r="K16" s="47">
        <f>J16*1690.323</f>
        <v>194054124.70009699</v>
      </c>
      <c r="L16" s="47">
        <f>K16+H16</f>
        <v>2063553498.7502794</v>
      </c>
      <c r="M16" s="47">
        <f>L16+M12</f>
        <v>49773722154.384773</v>
      </c>
      <c r="N16" s="34"/>
    </row>
    <row r="17" spans="1:14" ht="15" customHeight="1" x14ac:dyDescent="0.2">
      <c r="A17" s="140"/>
      <c r="B17" s="14" t="s">
        <v>60</v>
      </c>
      <c r="C17" s="18">
        <v>13495</v>
      </c>
      <c r="D17" s="90">
        <f t="shared" si="0"/>
        <v>1936.9472963723476</v>
      </c>
      <c r="E17" s="45">
        <f>('Volume and Surface Area'!G17)*1000000000</f>
        <v>19975362.577812199</v>
      </c>
      <c r="F17" s="47">
        <f t="shared" si="1"/>
        <v>33764814798.61525</v>
      </c>
      <c r="G17" s="132">
        <f t="shared" si="2"/>
        <v>33764814798.61525</v>
      </c>
      <c r="H17" s="47">
        <f t="shared" si="3"/>
        <v>5947419854.880455</v>
      </c>
      <c r="I17" s="47">
        <f>H17+I16</f>
        <v>50378010972.096031</v>
      </c>
      <c r="J17" s="47">
        <f>('Volume and Surface Area'!O17)*1000000000</f>
        <v>221824.95686974147</v>
      </c>
      <c r="K17" s="47">
        <f>J17*1690.323</f>
        <v>374955826.57093203</v>
      </c>
      <c r="L17" s="47">
        <f>K17+H17</f>
        <v>6322375681.4513874</v>
      </c>
      <c r="M17" s="47">
        <f>L17+M16</f>
        <v>56096097835.836159</v>
      </c>
      <c r="N17" s="34"/>
    </row>
    <row r="18" spans="1:14" ht="15" customHeight="1" x14ac:dyDescent="0.2">
      <c r="A18" s="140"/>
      <c r="B18" s="14" t="s">
        <v>62</v>
      </c>
      <c r="C18" s="18">
        <v>13559</v>
      </c>
      <c r="D18" s="9">
        <f t="shared" si="0"/>
        <v>1937.1225188227243</v>
      </c>
      <c r="E18" s="45">
        <f>('Volume and Surface Area'!G18)*1000000000</f>
        <v>19990129.487642001</v>
      </c>
      <c r="F18" s="47">
        <f t="shared" si="1"/>
        <v>33789775645.939491</v>
      </c>
      <c r="G18" s="132">
        <f t="shared" si="2"/>
        <v>33789775645.939491</v>
      </c>
      <c r="H18" s="47">
        <f t="shared" si="3"/>
        <v>24960847.324241638</v>
      </c>
      <c r="I18" s="47">
        <f>H18+I17</f>
        <v>50402971819.420273</v>
      </c>
      <c r="J18" s="47">
        <f>('Volume and Surface Area'!O18)*1000000000</f>
        <v>118697.37293440197</v>
      </c>
      <c r="K18" s="47">
        <f>J18*1690.323</f>
        <v>200636899.51059714</v>
      </c>
      <c r="L18" s="47">
        <f>K18+H18</f>
        <v>225597746.83483878</v>
      </c>
      <c r="M18" s="47">
        <f>L18+M17</f>
        <v>56321695582.670998</v>
      </c>
      <c r="N18" s="34"/>
    </row>
    <row r="19" spans="1:14" ht="15" customHeight="1" x14ac:dyDescent="0.2">
      <c r="A19" s="140"/>
      <c r="B19" s="14" t="s">
        <v>64</v>
      </c>
      <c r="C19" s="18">
        <v>13866</v>
      </c>
      <c r="D19" s="90">
        <f t="shared" si="0"/>
        <v>1937.9630390143736</v>
      </c>
      <c r="E19" s="45">
        <f>('Volume and Surface Area'!G19)*1000000000</f>
        <v>25079028.106626999</v>
      </c>
      <c r="F19" s="47">
        <f t="shared" si="1"/>
        <v>42391658026.278069</v>
      </c>
      <c r="G19" s="132">
        <f t="shared" si="2"/>
        <v>42391658026.278069</v>
      </c>
      <c r="H19" s="87">
        <f t="shared" si="3"/>
        <v>8601882380.3385773</v>
      </c>
      <c r="I19" s="47">
        <f>H19+I18</f>
        <v>59004854199.75885</v>
      </c>
      <c r="J19" s="47">
        <f>('Volume and Surface Area'!O19)*1000000000</f>
        <v>698763.3924357323</v>
      </c>
      <c r="K19" s="47">
        <f>J19*1690.323</f>
        <v>1181135833.7921443</v>
      </c>
      <c r="L19" s="47">
        <f>K19+H19</f>
        <v>9783018214.130722</v>
      </c>
      <c r="M19" s="47">
        <f>L19+M18</f>
        <v>66104713796.80172</v>
      </c>
    </row>
    <row r="20" spans="1:14" ht="15" customHeight="1" x14ac:dyDescent="0.2">
      <c r="A20" s="140"/>
      <c r="B20" s="14" t="s">
        <v>66</v>
      </c>
      <c r="C20" s="18">
        <v>14041</v>
      </c>
      <c r="D20" s="9">
        <f t="shared" si="0"/>
        <v>1938.4421629021219</v>
      </c>
      <c r="E20" s="45">
        <f>('Volume and Surface Area'!G20)*1000000000</f>
        <v>24804728.456098702</v>
      </c>
      <c r="F20" s="47">
        <f t="shared" si="1"/>
        <v>41928003018.098129</v>
      </c>
      <c r="G20" s="132">
        <f t="shared" si="2"/>
        <v>41928003018.098129</v>
      </c>
      <c r="H20" s="86">
        <f t="shared" si="3"/>
        <v>-463655008.17993927</v>
      </c>
      <c r="I20" s="47"/>
      <c r="J20" s="43"/>
      <c r="K20" s="43"/>
      <c r="L20" s="76"/>
      <c r="M20" s="47"/>
    </row>
    <row r="21" spans="1:14" ht="15" customHeight="1" x14ac:dyDescent="0.2">
      <c r="A21" s="140"/>
      <c r="B21" s="14" t="s">
        <v>68</v>
      </c>
      <c r="C21" s="18">
        <v>14104</v>
      </c>
      <c r="D21" s="90">
        <f t="shared" si="0"/>
        <v>1938.6146475017113</v>
      </c>
      <c r="E21" s="45">
        <f>('Volume and Surface Area'!G21)*1000000000</f>
        <v>41629955.8275574</v>
      </c>
      <c r="F21" s="47">
        <f t="shared" si="1"/>
        <v>70368071824.304306</v>
      </c>
      <c r="G21" s="132">
        <f t="shared" si="2"/>
        <v>70368071824.304306</v>
      </c>
      <c r="H21" s="47">
        <f t="shared" si="3"/>
        <v>28440068806.206177</v>
      </c>
      <c r="I21" s="47">
        <f>H21+I19</f>
        <v>87444923005.965027</v>
      </c>
      <c r="J21" s="47">
        <f>('Volume and Surface Area'!O21)*1000000000</f>
        <v>151008.8530537996</v>
      </c>
      <c r="K21" s="47">
        <f>J21*1690.323</f>
        <v>255253737.52045771</v>
      </c>
      <c r="L21" s="47">
        <f>K21+H21</f>
        <v>28695322543.726635</v>
      </c>
      <c r="M21" s="47">
        <f>L21+M19</f>
        <v>94800036340.528351</v>
      </c>
      <c r="N21" s="34"/>
    </row>
    <row r="22" spans="1:14" ht="15" customHeight="1" x14ac:dyDescent="0.2">
      <c r="A22" s="140"/>
      <c r="B22" s="14" t="s">
        <v>70</v>
      </c>
      <c r="C22" s="18">
        <v>14170</v>
      </c>
      <c r="D22" s="9">
        <f t="shared" si="0"/>
        <v>1938.7953456536618</v>
      </c>
      <c r="E22" s="45">
        <f>('Volume and Surface Area'!G22)*1000000000</f>
        <v>41482178.978913799</v>
      </c>
      <c r="F22" s="47">
        <f t="shared" si="1"/>
        <v>70118281218.174515</v>
      </c>
      <c r="G22" s="132">
        <f t="shared" si="2"/>
        <v>70118281218.174515</v>
      </c>
      <c r="H22" s="86">
        <f t="shared" si="3"/>
        <v>-249790606.12979126</v>
      </c>
      <c r="I22" s="43"/>
      <c r="J22" s="43"/>
      <c r="K22" s="43"/>
      <c r="L22" s="43"/>
      <c r="M22" s="47"/>
      <c r="N22" s="34"/>
    </row>
    <row r="23" spans="1:14" ht="15" customHeight="1" x14ac:dyDescent="0.2">
      <c r="A23" s="140"/>
      <c r="B23" s="15" t="s">
        <v>72</v>
      </c>
      <c r="C23" s="18">
        <v>14411</v>
      </c>
      <c r="D23" s="90">
        <f t="shared" si="0"/>
        <v>1939.4551676933606</v>
      </c>
      <c r="E23" s="45">
        <f>('Volume and Surface Area'!G23)*1000000000</f>
        <v>44521014.090915903</v>
      </c>
      <c r="F23" s="47">
        <f t="shared" si="1"/>
        <v>75254894101.199249</v>
      </c>
      <c r="G23" s="132">
        <f t="shared" si="2"/>
        <v>75254894101.199249</v>
      </c>
      <c r="H23" s="47">
        <f t="shared" si="3"/>
        <v>5136612883.0247345</v>
      </c>
      <c r="I23" s="47">
        <f>H23+I21</f>
        <v>92581535888.989761</v>
      </c>
      <c r="J23" s="47">
        <f>('Volume and Surface Area'!O23)*1000000000</f>
        <v>581336.13800965867</v>
      </c>
      <c r="K23" s="47">
        <f>J23*1690.323</f>
        <v>982645844.80890036</v>
      </c>
      <c r="L23" s="47">
        <f>K23+H23</f>
        <v>6119258727.8336353</v>
      </c>
      <c r="M23" s="47">
        <f>L23+M21</f>
        <v>100919295068.36198</v>
      </c>
      <c r="N23" s="34"/>
    </row>
    <row r="24" spans="1:14" ht="15" customHeight="1" x14ac:dyDescent="0.2">
      <c r="A24" s="140"/>
      <c r="B24" s="10" t="s">
        <v>74</v>
      </c>
      <c r="C24" s="18">
        <v>14473</v>
      </c>
      <c r="D24" s="9">
        <f t="shared" si="0"/>
        <v>1939.6249144421629</v>
      </c>
      <c r="E24" s="45">
        <f>('Volume and Surface Area'!G24)*1000000000</f>
        <v>52476993.919345699</v>
      </c>
      <c r="F24" s="47">
        <f t="shared" si="1"/>
        <v>88703069792.730179</v>
      </c>
      <c r="G24" s="132">
        <f t="shared" si="2"/>
        <v>88703069792.730179</v>
      </c>
      <c r="H24" s="47">
        <f t="shared" si="3"/>
        <v>13448175691.53093</v>
      </c>
      <c r="I24" s="47">
        <f>H24+I23</f>
        <v>106029711580.52069</v>
      </c>
      <c r="J24" s="47">
        <f>('Volume and Surface Area'!O24)*1000000000</f>
        <v>155777.28605320468</v>
      </c>
      <c r="K24" s="47">
        <f>J24*1690.323</f>
        <v>263313929.49331111</v>
      </c>
      <c r="L24" s="47">
        <f>K24+H24</f>
        <v>13711489621.02424</v>
      </c>
      <c r="M24" s="47">
        <f>L24+M23</f>
        <v>114630784689.38623</v>
      </c>
      <c r="N24" s="34"/>
    </row>
    <row r="25" spans="1:14" ht="15" customHeight="1" x14ac:dyDescent="0.2">
      <c r="A25" s="140"/>
      <c r="B25" s="10" t="s">
        <v>76</v>
      </c>
      <c r="C25" s="18">
        <v>14961</v>
      </c>
      <c r="D25" s="90">
        <f t="shared" si="0"/>
        <v>1940.9609856262834</v>
      </c>
      <c r="E25" s="45">
        <f>('Volume and Surface Area'!G25)*1000000000</f>
        <v>51894594.653898299</v>
      </c>
      <c r="F25" s="47">
        <f t="shared" si="1"/>
        <v>87718626919.161346</v>
      </c>
      <c r="G25" s="132">
        <f t="shared" si="2"/>
        <v>87718626919.161346</v>
      </c>
      <c r="H25" s="86">
        <f t="shared" si="3"/>
        <v>-984442873.5688324</v>
      </c>
      <c r="I25" s="47"/>
      <c r="J25" s="43"/>
      <c r="K25" s="43"/>
      <c r="L25" s="43"/>
      <c r="M25" s="47"/>
      <c r="N25" s="34"/>
    </row>
    <row r="26" spans="1:14" ht="15" customHeight="1" x14ac:dyDescent="0.2">
      <c r="A26" s="140"/>
      <c r="B26" s="10" t="s">
        <v>78</v>
      </c>
      <c r="C26" s="18">
        <v>15258</v>
      </c>
      <c r="D26" s="9">
        <f t="shared" si="0"/>
        <v>1941.7741273100617</v>
      </c>
      <c r="E26" s="45">
        <f>('Volume and Surface Area'!G26)*1000000000</f>
        <v>53247203.870592803</v>
      </c>
      <c r="F26" s="47">
        <f t="shared" si="1"/>
        <v>90004973388.152039</v>
      </c>
      <c r="G26" s="132">
        <f t="shared" si="2"/>
        <v>90004973388.152039</v>
      </c>
      <c r="H26" s="47">
        <f t="shared" si="3"/>
        <v>2286346468.9906921</v>
      </c>
      <c r="I26" s="47">
        <f>H26+I24</f>
        <v>108316058049.51138</v>
      </c>
      <c r="J26" s="47">
        <f>('Volume and Surface Area'!O26)*1000000000</f>
        <v>745669.39474569226</v>
      </c>
      <c r="K26" s="47">
        <f>J26*1690.323</f>
        <v>1260422128.3347228</v>
      </c>
      <c r="L26" s="47">
        <f>K26+H26</f>
        <v>3546768597.3254147</v>
      </c>
      <c r="M26" s="47">
        <f>L26+M24</f>
        <v>118177553286.71164</v>
      </c>
      <c r="N26" s="34"/>
    </row>
    <row r="27" spans="1:14" ht="15" customHeight="1" x14ac:dyDescent="0.2">
      <c r="A27" s="140"/>
      <c r="B27" s="10" t="s">
        <v>80</v>
      </c>
      <c r="C27" s="18">
        <v>17400</v>
      </c>
      <c r="D27" s="9">
        <f t="shared" si="0"/>
        <v>1947.6386036960985</v>
      </c>
      <c r="E27" s="45">
        <f>('Volume and Surface Area'!G27)*1000000000</f>
        <v>48147918.546154402</v>
      </c>
      <c r="F27" s="47">
        <f t="shared" si="1"/>
        <v>81385534120.691345</v>
      </c>
      <c r="G27" s="132">
        <f t="shared" si="2"/>
        <v>81385534120.691345</v>
      </c>
      <c r="H27" s="86">
        <f t="shared" si="3"/>
        <v>-8619439267.4606934</v>
      </c>
      <c r="I27" s="47"/>
      <c r="J27" s="43"/>
      <c r="K27" s="43"/>
      <c r="L27" s="43"/>
      <c r="M27" s="47"/>
    </row>
    <row r="28" spans="1:14" ht="15" customHeight="1" x14ac:dyDescent="0.2">
      <c r="A28" s="140"/>
      <c r="B28" s="10" t="s">
        <v>81</v>
      </c>
      <c r="C28" s="18">
        <v>18524</v>
      </c>
      <c r="D28" s="90">
        <f t="shared" si="0"/>
        <v>1950.7159479808352</v>
      </c>
      <c r="E28" s="45">
        <f>('Volume and Surface Area'!G28)*1000000000</f>
        <v>49525061.815395698</v>
      </c>
      <c r="F28" s="47">
        <f t="shared" si="1"/>
        <v>83713351062.985107</v>
      </c>
      <c r="G28" s="132">
        <f t="shared" si="2"/>
        <v>83713351062.985107</v>
      </c>
      <c r="H28" s="87">
        <f t="shared" si="3"/>
        <v>2327816942.2937622</v>
      </c>
      <c r="I28" s="47">
        <f>H28+I26</f>
        <v>110643874991.80515</v>
      </c>
      <c r="J28" s="47">
        <f>('Volume and Surface Area'!O28)*1000000000</f>
        <v>2759203.474807519</v>
      </c>
      <c r="K28" s="47">
        <f t="shared" ref="K28:K35" si="4">J28*1690.323</f>
        <v>4663945095.1470699</v>
      </c>
      <c r="L28" s="47">
        <f t="shared" ref="L28:L36" si="5">K28+H28</f>
        <v>6991762037.4408321</v>
      </c>
      <c r="M28" s="47">
        <f>L28+M26</f>
        <v>125169315324.15247</v>
      </c>
    </row>
    <row r="29" spans="1:14" ht="15" customHeight="1" x14ac:dyDescent="0.2">
      <c r="A29" s="140"/>
      <c r="B29" s="10" t="s">
        <v>83</v>
      </c>
      <c r="C29" s="18">
        <v>19283</v>
      </c>
      <c r="D29" s="9">
        <f t="shared" si="0"/>
        <v>1952.7939767282683</v>
      </c>
      <c r="E29" s="45">
        <f>('Volume and Surface Area'!G29)*1000000000</f>
        <v>72214620.835699096</v>
      </c>
      <c r="F29" s="47">
        <f t="shared" si="1"/>
        <v>122066034534.8614</v>
      </c>
      <c r="G29" s="132">
        <f t="shared" si="2"/>
        <v>122066034534.8614</v>
      </c>
      <c r="H29" s="47">
        <f t="shared" si="3"/>
        <v>38352683471.876297</v>
      </c>
      <c r="I29" s="47">
        <f t="shared" ref="I29:I36" si="6">H29+I28</f>
        <v>148996558463.68146</v>
      </c>
      <c r="J29" s="47">
        <f>('Volume and Surface Area'!O29)*1000000000</f>
        <v>2093633.9216188542</v>
      </c>
      <c r="K29" s="47">
        <f t="shared" si="4"/>
        <v>3538917571.2925467</v>
      </c>
      <c r="L29" s="47">
        <f t="shared" si="5"/>
        <v>41891601043.168846</v>
      </c>
      <c r="M29" s="47">
        <f t="shared" ref="M29:M36" si="7">L29+M28</f>
        <v>167060916367.32132</v>
      </c>
      <c r="N29" s="34"/>
    </row>
    <row r="30" spans="1:14" ht="15" customHeight="1" x14ac:dyDescent="0.2">
      <c r="A30" s="140"/>
      <c r="B30" s="10" t="s">
        <v>85</v>
      </c>
      <c r="C30" s="18">
        <v>19643</v>
      </c>
      <c r="D30" s="90">
        <f t="shared" si="0"/>
        <v>1953.7796030116358</v>
      </c>
      <c r="E30" s="45">
        <f>('Volume and Surface Area'!G30)*1000000000</f>
        <v>81129472.53288421</v>
      </c>
      <c r="F30" s="47">
        <f t="shared" si="1"/>
        <v>137135013400.20244</v>
      </c>
      <c r="G30" s="132">
        <f t="shared" si="2"/>
        <v>137135013400.20244</v>
      </c>
      <c r="H30" s="47">
        <f t="shared" si="3"/>
        <v>15068978865.341034</v>
      </c>
      <c r="I30" s="47">
        <f t="shared" si="6"/>
        <v>164065537329.02249</v>
      </c>
      <c r="J30" s="47">
        <f>('Volume and Surface Area'!O30)*1000000000</f>
        <v>1003992.0233713581</v>
      </c>
      <c r="K30" s="47">
        <f t="shared" si="4"/>
        <v>1697070808.9211442</v>
      </c>
      <c r="L30" s="47">
        <f t="shared" si="5"/>
        <v>16766049674.262178</v>
      </c>
      <c r="M30" s="47">
        <f t="shared" si="7"/>
        <v>183826966041.5835</v>
      </c>
      <c r="N30" s="34"/>
    </row>
    <row r="31" spans="1:14" ht="15" customHeight="1" x14ac:dyDescent="0.2">
      <c r="A31" s="136" t="s">
        <v>87</v>
      </c>
      <c r="B31" s="10" t="s">
        <v>88</v>
      </c>
      <c r="C31" s="18">
        <v>21927</v>
      </c>
      <c r="D31" s="9">
        <f t="shared" si="0"/>
        <v>1960.0328542094455</v>
      </c>
      <c r="E31" s="45">
        <f>('Volume and Surface Area'!G31)*1000000000</f>
        <v>98141615.5799357</v>
      </c>
      <c r="F31" s="47">
        <f t="shared" si="1"/>
        <v>165891030071.92368</v>
      </c>
      <c r="G31" s="132">
        <f t="shared" si="2"/>
        <v>165891030071.92368</v>
      </c>
      <c r="H31" s="87">
        <f t="shared" si="3"/>
        <v>28756016671.721237</v>
      </c>
      <c r="I31" s="47">
        <f t="shared" si="6"/>
        <v>192821554000.74371</v>
      </c>
      <c r="J31" s="47">
        <f>('Volume and Surface Area'!O31)*1000000000</f>
        <v>6752405.6634342754</v>
      </c>
      <c r="K31" s="47">
        <f t="shared" si="4"/>
        <v>11413746598.233215</v>
      </c>
      <c r="L31" s="47">
        <f t="shared" si="5"/>
        <v>40169763269.954453</v>
      </c>
      <c r="M31" s="47">
        <f t="shared" si="7"/>
        <v>223996729311.53796</v>
      </c>
      <c r="N31" s="34"/>
    </row>
    <row r="32" spans="1:14" ht="15" customHeight="1" x14ac:dyDescent="0.2">
      <c r="A32" s="136"/>
      <c r="B32" s="10" t="s">
        <v>90</v>
      </c>
      <c r="C32" s="18">
        <v>23085</v>
      </c>
      <c r="D32" s="9">
        <f t="shared" si="0"/>
        <v>1963.2032854209447</v>
      </c>
      <c r="E32" s="45">
        <f>('Volume and Surface Area'!G32)*1000000000</f>
        <v>106444735.918722</v>
      </c>
      <c r="F32" s="47">
        <f>((E32-E31)*2080)+F31</f>
        <v>183161520376.59918</v>
      </c>
      <c r="G32" s="132">
        <f t="shared" si="2"/>
        <v>183161520376.59918</v>
      </c>
      <c r="H32" s="47">
        <f t="shared" si="3"/>
        <v>17270490304.675507</v>
      </c>
      <c r="I32" s="47">
        <f t="shared" si="6"/>
        <v>210092044305.41922</v>
      </c>
      <c r="J32" s="47">
        <f>('Volume and Surface Area'!O32)*1000000000</f>
        <v>3122257.5816889796</v>
      </c>
      <c r="K32" s="47">
        <f t="shared" si="4"/>
        <v>5277623802.2532616</v>
      </c>
      <c r="L32" s="47">
        <f t="shared" si="5"/>
        <v>22548114106.928768</v>
      </c>
      <c r="M32" s="47">
        <f t="shared" si="7"/>
        <v>246544843418.46674</v>
      </c>
      <c r="N32" s="34"/>
    </row>
    <row r="33" spans="1:18" ht="15" customHeight="1" x14ac:dyDescent="0.2">
      <c r="A33" s="136"/>
      <c r="B33" s="10" t="s">
        <v>96</v>
      </c>
      <c r="C33" s="18">
        <v>31260</v>
      </c>
      <c r="D33" s="9">
        <f t="shared" si="0"/>
        <v>1985.5852156057495</v>
      </c>
      <c r="E33" s="45">
        <f>('Volume and Surface Area'!G33)*1000000000</f>
        <v>107542091.964641</v>
      </c>
      <c r="F33" s="47">
        <f>((E33-E32)*2080)+F32</f>
        <v>185444020952.11072</v>
      </c>
      <c r="G33" s="132">
        <f t="shared" si="2"/>
        <v>185444020952.11072</v>
      </c>
      <c r="H33" s="47">
        <f t="shared" si="3"/>
        <v>2282500575.5115356</v>
      </c>
      <c r="I33" s="47">
        <f t="shared" si="6"/>
        <v>212374544880.93076</v>
      </c>
      <c r="J33" s="47">
        <f>('Volume and Surface Area'!O33)*1000000000</f>
        <v>14515112.000806777</v>
      </c>
      <c r="K33" s="47">
        <f t="shared" si="4"/>
        <v>24535227662.539715</v>
      </c>
      <c r="L33" s="47">
        <f t="shared" si="5"/>
        <v>26817728238.05125</v>
      </c>
      <c r="M33" s="47">
        <f t="shared" si="7"/>
        <v>273362571656.51797</v>
      </c>
      <c r="N33" s="34"/>
    </row>
    <row r="34" spans="1:18" ht="15" customHeight="1" x14ac:dyDescent="0.2">
      <c r="A34" s="136"/>
      <c r="B34" s="10">
        <v>1990</v>
      </c>
      <c r="C34" s="91" t="s">
        <v>141</v>
      </c>
      <c r="D34" s="90">
        <v>1990.5</v>
      </c>
      <c r="E34" s="45">
        <f>('Volume and Surface Area'!G34)*1000000000</f>
        <v>134152359.108835</v>
      </c>
      <c r="F34" s="47">
        <f>((E34-E33)*2080)+F33</f>
        <v>240793376612.03421</v>
      </c>
      <c r="G34" s="132">
        <f t="shared" si="2"/>
        <v>240793376612.03421</v>
      </c>
      <c r="H34" s="87">
        <f t="shared" si="3"/>
        <v>55349355659.923492</v>
      </c>
      <c r="I34" s="47">
        <f t="shared" si="6"/>
        <v>267723900540.85425</v>
      </c>
      <c r="J34" s="47">
        <f>('Volume and Surface Area'!O34)*1000000000</f>
        <v>3417109.1870444473</v>
      </c>
      <c r="K34" s="47">
        <f t="shared" si="4"/>
        <v>5776018252.3725319</v>
      </c>
      <c r="L34" s="47">
        <f t="shared" si="5"/>
        <v>61125373912.296021</v>
      </c>
      <c r="M34" s="47">
        <f t="shared" si="7"/>
        <v>334487945568.81396</v>
      </c>
      <c r="N34" s="34"/>
    </row>
    <row r="35" spans="1:18" ht="15" customHeight="1" x14ac:dyDescent="0.2">
      <c r="A35" s="136"/>
      <c r="B35" s="10" t="s">
        <v>99</v>
      </c>
      <c r="C35" s="91" t="s">
        <v>141</v>
      </c>
      <c r="D35" s="9">
        <v>2012.5</v>
      </c>
      <c r="E35" s="45">
        <f>('Volume and Surface Area'!G35)*1000000000</f>
        <v>163279080.41055301</v>
      </c>
      <c r="F35" s="47">
        <f>((E35-E34)*2080)+F34</f>
        <v>301376956919.60767</v>
      </c>
      <c r="G35" s="132">
        <f t="shared" si="2"/>
        <v>301376956919.60767</v>
      </c>
      <c r="H35" s="47">
        <f t="shared" si="3"/>
        <v>60583580307.573456</v>
      </c>
      <c r="I35" s="47">
        <f t="shared" si="6"/>
        <v>328307480848.42773</v>
      </c>
      <c r="J35" s="47">
        <f>('Volume and Surface Area'!O35)*1000000000</f>
        <v>8666302.3953315392</v>
      </c>
      <c r="K35" s="47">
        <f t="shared" si="4"/>
        <v>14648850263.783995</v>
      </c>
      <c r="L35" s="47">
        <f t="shared" si="5"/>
        <v>75232430571.357452</v>
      </c>
      <c r="M35" s="47">
        <f t="shared" si="7"/>
        <v>409720376140.17139</v>
      </c>
      <c r="N35" s="34"/>
    </row>
    <row r="36" spans="1:18" ht="15" customHeight="1" x14ac:dyDescent="0.2">
      <c r="A36" s="136"/>
      <c r="B36" s="15" t="s">
        <v>101</v>
      </c>
      <c r="C36" s="18">
        <v>43435</v>
      </c>
      <c r="D36" s="9">
        <f>(C36/365.25)+1900</f>
        <v>2018.9185489390829</v>
      </c>
      <c r="E36" s="45">
        <f>('Volume and Surface Area'!G36)*1000000000</f>
        <v>173718741.06629699</v>
      </c>
      <c r="F36" s="47">
        <f>((E36-E35)*2080)+F35</f>
        <v>323091451083.55518</v>
      </c>
      <c r="G36" s="132">
        <f t="shared" si="2"/>
        <v>323091451083.55518</v>
      </c>
      <c r="H36" s="47">
        <f t="shared" si="3"/>
        <v>21714494163.94751</v>
      </c>
      <c r="I36" s="47">
        <f t="shared" si="6"/>
        <v>350021975012.37524</v>
      </c>
      <c r="J36" s="47">
        <f>('Volume and Surface Area'!O36)*1000000000</f>
        <v>2528413.0020603263</v>
      </c>
      <c r="K36" s="47">
        <f>J36*1525</f>
        <v>3855829828.1419978</v>
      </c>
      <c r="L36" s="47">
        <f t="shared" si="5"/>
        <v>25570323992.089508</v>
      </c>
      <c r="M36" s="47">
        <f t="shared" si="7"/>
        <v>435290700132.26086</v>
      </c>
      <c r="N36" s="34"/>
    </row>
    <row r="37" spans="1:18" ht="15" customHeight="1" x14ac:dyDescent="0.2">
      <c r="A37" s="142" t="s">
        <v>103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4"/>
      <c r="N37" s="84"/>
    </row>
    <row r="38" spans="1:18" ht="15" customHeight="1" x14ac:dyDescent="0.25">
      <c r="A38" s="140" t="s">
        <v>143</v>
      </c>
      <c r="B38" s="15" t="s">
        <v>106</v>
      </c>
      <c r="C38" s="18">
        <v>43456</v>
      </c>
      <c r="D38" s="9">
        <f>(C38/365.25)+1900</f>
        <v>2018.9760438056126</v>
      </c>
      <c r="E38" s="45">
        <f>('Volume and Surface Area'!G38)*1000000000</f>
        <v>57279355.014100097</v>
      </c>
      <c r="F38" s="47">
        <f>'Post-Collapse Mass Calculations'!C31</f>
        <v>100279212033.36491</v>
      </c>
      <c r="G38" s="132">
        <f>F38</f>
        <v>100279212033.36491</v>
      </c>
      <c r="H38" s="86">
        <f>F38-F36</f>
        <v>-222812239050.19025</v>
      </c>
      <c r="I38" s="88"/>
      <c r="J38" s="89"/>
      <c r="K38" s="88"/>
      <c r="L38" s="53"/>
      <c r="M38" s="88"/>
    </row>
    <row r="39" spans="1:18" s="35" customFormat="1" ht="15" customHeight="1" x14ac:dyDescent="0.25">
      <c r="A39" s="140"/>
      <c r="B39" s="15" t="s">
        <v>108</v>
      </c>
      <c r="C39" s="18">
        <v>43475</v>
      </c>
      <c r="D39" s="9">
        <f t="shared" ref="D39" si="8">(C39/365.25)+1900</f>
        <v>2019.028062970568</v>
      </c>
      <c r="E39" s="45">
        <f>('Volume and Surface Area'!G39)*1000000000</f>
        <v>105707752.344082</v>
      </c>
      <c r="F39" s="47">
        <f>((E39-E38)*1690.323)+F38</f>
        <v>182138845893.37192</v>
      </c>
      <c r="G39" s="132">
        <f>F39</f>
        <v>182138845893.37192</v>
      </c>
      <c r="H39" s="47">
        <f t="shared" si="3"/>
        <v>81859633860.007004</v>
      </c>
      <c r="I39" s="47">
        <f>H39+I36</f>
        <v>431881608872.38226</v>
      </c>
      <c r="J39" s="47">
        <f>('Volume and Surface Area'!O39)*1000000000</f>
        <v>54927.797802805158</v>
      </c>
      <c r="K39" s="47">
        <f>J39*1690.323</f>
        <v>92845719.965431035</v>
      </c>
      <c r="L39" s="47">
        <f>K39+H39</f>
        <v>81952479579.972427</v>
      </c>
      <c r="M39" s="47">
        <f>L39+M36</f>
        <v>517243179712.23328</v>
      </c>
      <c r="N39" s="2"/>
    </row>
    <row r="40" spans="1:18" ht="15" customHeight="1" x14ac:dyDescent="0.2">
      <c r="A40" s="140"/>
      <c r="B40" s="15" t="s">
        <v>111</v>
      </c>
      <c r="C40" s="18">
        <v>43692</v>
      </c>
      <c r="D40" s="9">
        <f>(C40/365.25)+1900</f>
        <v>2019.6221765913758</v>
      </c>
      <c r="E40" s="45">
        <f>('Volume and Surface Area'!G40)*1000000000</f>
        <v>126600698.96296699</v>
      </c>
      <c r="F40" s="47">
        <f>((E40-E38)*1690.323)+F38</f>
        <v>217454674101.04547</v>
      </c>
      <c r="G40" s="132">
        <f>F40</f>
        <v>217454674101.04547</v>
      </c>
      <c r="H40" s="47">
        <f t="shared" si="3"/>
        <v>35315828207.673553</v>
      </c>
      <c r="I40" s="47">
        <f>H40+I39</f>
        <v>467197437080.05579</v>
      </c>
      <c r="J40" s="47">
        <f>('Volume and Surface Area'!O40)*1000000000</f>
        <v>617917.26198029157</v>
      </c>
      <c r="K40" s="47">
        <f>J40*1690.323</f>
        <v>1044479760.0223124</v>
      </c>
      <c r="L40" s="47">
        <f>K40+H40</f>
        <v>36360307967.695869</v>
      </c>
      <c r="M40" s="47">
        <f>L40+M39</f>
        <v>553603487679.9292</v>
      </c>
      <c r="N40" s="34"/>
    </row>
    <row r="41" spans="1:18" ht="15" customHeight="1" x14ac:dyDescent="0.2">
      <c r="A41" s="141" t="s">
        <v>115</v>
      </c>
      <c r="B41" s="15" t="s">
        <v>118</v>
      </c>
      <c r="C41" s="18">
        <v>44373</v>
      </c>
      <c r="D41" s="9">
        <f>(C41/365.25)+1900</f>
        <v>2021.4866529774126</v>
      </c>
      <c r="E41" s="45">
        <f>('Volume and Surface Area'!G41)*1000000000</f>
        <v>133658685.70717199</v>
      </c>
      <c r="F41" s="47">
        <f>((E41-E40)*2080)+F40</f>
        <v>232135286528.99188</v>
      </c>
      <c r="G41" s="132">
        <f>F41</f>
        <v>232135286528.99188</v>
      </c>
      <c r="H41" s="87">
        <f t="shared" si="3"/>
        <v>14680612427.946411</v>
      </c>
      <c r="I41" s="47">
        <f>H41+I40</f>
        <v>481878049508.0022</v>
      </c>
      <c r="J41" s="47">
        <f>('Volume and Surface Area'!O41)*1000000000</f>
        <v>1801970.0465509575</v>
      </c>
      <c r="K41" s="47">
        <f>J41*1690.323</f>
        <v>3045911414.9961543</v>
      </c>
      <c r="L41" s="47">
        <f>K41+H41</f>
        <v>17726523842.942566</v>
      </c>
      <c r="M41" s="47">
        <f>L41+M40</f>
        <v>571330011522.87183</v>
      </c>
      <c r="N41" s="34"/>
    </row>
    <row r="42" spans="1:18" ht="15" customHeight="1" x14ac:dyDescent="0.2">
      <c r="A42" s="141"/>
      <c r="B42" s="43" t="s">
        <v>119</v>
      </c>
      <c r="C42" s="54">
        <v>45089</v>
      </c>
      <c r="D42" s="55">
        <f>(C42/365.25)+1900</f>
        <v>2023.4469541409994</v>
      </c>
      <c r="E42" s="45">
        <f>('Volume and Surface Area'!G42)*1000000000</f>
        <v>155529231.790398</v>
      </c>
      <c r="F42" s="87">
        <f>((E42-E41)*2080)+F41</f>
        <v>277626022382.10199</v>
      </c>
      <c r="G42" s="133">
        <f>F42</f>
        <v>277626022382.10199</v>
      </c>
      <c r="H42" s="47">
        <f t="shared" si="3"/>
        <v>45490735853.110107</v>
      </c>
      <c r="I42" s="47">
        <f>H42+I40</f>
        <v>512688172933.16589</v>
      </c>
      <c r="J42" s="47">
        <f>('Volume and Surface Area'!O42)*1000000000</f>
        <v>1669088.6806770852</v>
      </c>
      <c r="K42" s="47">
        <f>J42*1690.323</f>
        <v>2821298985.988133</v>
      </c>
      <c r="L42" s="47">
        <f>K42+H42</f>
        <v>48312034839.098244</v>
      </c>
      <c r="M42" s="47">
        <f>L42+M41</f>
        <v>619642046361.97009</v>
      </c>
      <c r="N42" s="34"/>
    </row>
    <row r="43" spans="1:18" ht="15" x14ac:dyDescent="0.25">
      <c r="O43" s="27"/>
      <c r="P43" s="33"/>
      <c r="Q43" s="82"/>
      <c r="R43" s="82"/>
    </row>
    <row r="44" spans="1:18" x14ac:dyDescent="0.2">
      <c r="O44" s="33"/>
      <c r="P44" s="33"/>
    </row>
    <row r="45" spans="1:18" x14ac:dyDescent="0.2">
      <c r="F45" s="27"/>
      <c r="G45" s="27"/>
    </row>
    <row r="47" spans="1:18" x14ac:dyDescent="0.2">
      <c r="D47" s="27"/>
    </row>
    <row r="48" spans="1:18" x14ac:dyDescent="0.2">
      <c r="D48" s="27"/>
    </row>
    <row r="51" spans="3:3" x14ac:dyDescent="0.2">
      <c r="C51" s="27"/>
    </row>
    <row r="52" spans="3:3" x14ac:dyDescent="0.2">
      <c r="C52" s="27"/>
    </row>
    <row r="54" spans="3:3" x14ac:dyDescent="0.2">
      <c r="C54" s="27"/>
    </row>
  </sheetData>
  <mergeCells count="7">
    <mergeCell ref="A41:A42"/>
    <mergeCell ref="C1:D1"/>
    <mergeCell ref="A2:A8"/>
    <mergeCell ref="A9:A30"/>
    <mergeCell ref="A31:A36"/>
    <mergeCell ref="A37:M37"/>
    <mergeCell ref="A38:A4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9087-8E9D-4136-A3EA-29CBE332395A}">
  <dimension ref="A1:P40"/>
  <sheetViews>
    <sheetView topLeftCell="A17" workbookViewId="0">
      <selection activeCell="C30" sqref="C30"/>
    </sheetView>
  </sheetViews>
  <sheetFormatPr defaultRowHeight="14.25" x14ac:dyDescent="0.2"/>
  <cols>
    <col min="1" max="1" width="30.7109375" style="2" customWidth="1"/>
    <col min="2" max="2" width="16.7109375" style="2" customWidth="1"/>
    <col min="3" max="3" width="18.7109375" style="2" customWidth="1"/>
    <col min="4" max="4" width="9.140625" style="2" customWidth="1"/>
    <col min="5" max="6" width="9.140625" style="2"/>
    <col min="7" max="10" width="9.140625" style="2" customWidth="1"/>
    <col min="11" max="12" width="9.140625" style="2"/>
    <col min="13" max="17" width="9.140625" style="2" customWidth="1"/>
    <col min="18" max="16384" width="9.140625" style="2"/>
  </cols>
  <sheetData>
    <row r="1" spans="1:16" ht="60" customHeight="1" x14ac:dyDescent="0.2">
      <c r="A1" s="146" t="s">
        <v>192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  <c r="P1" s="84"/>
    </row>
    <row r="2" spans="1:16" ht="15" x14ac:dyDescent="0.25">
      <c r="A2" s="35"/>
      <c r="G2" s="95"/>
      <c r="H2" s="95"/>
      <c r="I2" s="95"/>
    </row>
    <row r="3" spans="1:16" ht="18" thickBot="1" x14ac:dyDescent="0.3">
      <c r="A3" s="35" t="s">
        <v>188</v>
      </c>
      <c r="E3" s="35" t="s">
        <v>153</v>
      </c>
      <c r="G3" s="95"/>
    </row>
    <row r="4" spans="1:16" ht="17.25" x14ac:dyDescent="0.25">
      <c r="A4" s="125" t="s">
        <v>154</v>
      </c>
      <c r="B4" s="126" t="s">
        <v>145</v>
      </c>
      <c r="C4" s="127" t="s">
        <v>155</v>
      </c>
      <c r="E4" s="131" t="s">
        <v>156</v>
      </c>
      <c r="G4" s="95"/>
      <c r="J4" s="131" t="s">
        <v>157</v>
      </c>
      <c r="K4" s="35"/>
    </row>
    <row r="5" spans="1:16" x14ac:dyDescent="0.2">
      <c r="A5" s="118">
        <v>1960</v>
      </c>
      <c r="B5" s="47">
        <f>'Mass (Upper bound)'!E31</f>
        <v>98141615.5799357</v>
      </c>
      <c r="C5" s="117">
        <f>'Mass (Upper bound)'!F31</f>
        <v>165891030071.92368</v>
      </c>
      <c r="G5" s="95"/>
    </row>
    <row r="6" spans="1:16" x14ac:dyDescent="0.2">
      <c r="A6" s="119" t="s">
        <v>158</v>
      </c>
      <c r="B6" s="116">
        <f>'Mass (Upper bound)'!E36</f>
        <v>173718741.06629699</v>
      </c>
      <c r="C6" s="120">
        <f>'Mass (Upper bound)'!F36</f>
        <v>340859784439.64966</v>
      </c>
      <c r="G6" s="95"/>
    </row>
    <row r="7" spans="1:16" x14ac:dyDescent="0.2">
      <c r="A7" s="121" t="s">
        <v>159</v>
      </c>
      <c r="B7" s="116">
        <f>'Mass (Upper bound)'!E38</f>
        <v>57279355.014100097</v>
      </c>
      <c r="C7" s="117">
        <f>'Mass (Upper bound)'!F38</f>
        <v>102365873478.1846</v>
      </c>
      <c r="G7" s="95"/>
    </row>
    <row r="8" spans="1:16" ht="15.75" thickBot="1" x14ac:dyDescent="0.3">
      <c r="A8" s="122" t="s">
        <v>105</v>
      </c>
      <c r="B8" s="123">
        <f>B6-B7</f>
        <v>116439386.05219689</v>
      </c>
      <c r="C8" s="124">
        <f>C6-C7</f>
        <v>238493910961.46506</v>
      </c>
      <c r="G8" s="95"/>
      <c r="L8" s="32"/>
      <c r="N8" s="35"/>
    </row>
    <row r="9" spans="1:16" ht="15" x14ac:dyDescent="0.25">
      <c r="A9" s="95"/>
      <c r="B9" s="96"/>
      <c r="C9" s="27"/>
      <c r="G9" s="95"/>
      <c r="L9" s="32"/>
      <c r="N9" s="35"/>
    </row>
    <row r="10" spans="1:16" ht="17.25" x14ac:dyDescent="0.25">
      <c r="A10" s="128" t="s">
        <v>160</v>
      </c>
      <c r="B10" s="129" t="s">
        <v>145</v>
      </c>
      <c r="C10" s="129" t="s">
        <v>155</v>
      </c>
      <c r="G10" s="95"/>
    </row>
    <row r="11" spans="1:16" x14ac:dyDescent="0.2">
      <c r="A11" s="106" t="s">
        <v>161</v>
      </c>
      <c r="B11" s="110">
        <v>48403796.980481997</v>
      </c>
      <c r="C11" s="47">
        <f>B11*1690.323</f>
        <v>81818051323.43927</v>
      </c>
      <c r="G11" s="95"/>
    </row>
    <row r="12" spans="1:16" x14ac:dyDescent="0.2">
      <c r="A12" s="106" t="s">
        <v>162</v>
      </c>
      <c r="B12" s="47">
        <f>'Mass (Upper bound)'!E38</f>
        <v>57279355.014100097</v>
      </c>
      <c r="C12" s="47">
        <f>C11+C13</f>
        <v>102365873478.1846</v>
      </c>
    </row>
    <row r="13" spans="1:16" x14ac:dyDescent="0.2">
      <c r="A13" s="107" t="s">
        <v>190</v>
      </c>
      <c r="B13" s="111">
        <f>B12-B11</f>
        <v>8875558.0336181</v>
      </c>
      <c r="C13" s="109">
        <f>B13*2315.102</f>
        <v>20547822154.745331</v>
      </c>
      <c r="M13" s="27"/>
      <c r="O13" s="27"/>
    </row>
    <row r="14" spans="1:16" x14ac:dyDescent="0.2">
      <c r="L14" s="27"/>
    </row>
    <row r="16" spans="1:16" ht="17.25" x14ac:dyDescent="0.25">
      <c r="A16" s="128" t="s">
        <v>163</v>
      </c>
      <c r="B16" s="129" t="s">
        <v>145</v>
      </c>
      <c r="C16" s="130" t="s">
        <v>155</v>
      </c>
      <c r="O16" s="27"/>
    </row>
    <row r="17" spans="1:16" x14ac:dyDescent="0.2">
      <c r="A17" s="106" t="s">
        <v>161</v>
      </c>
      <c r="B17" s="47">
        <v>49737818.599453703</v>
      </c>
      <c r="C17" s="114">
        <f>B17*1690.323</f>
        <v>84072978748.48439</v>
      </c>
      <c r="I17" s="27"/>
    </row>
    <row r="18" spans="1:16" x14ac:dyDescent="0.2">
      <c r="A18" s="112" t="s">
        <v>162</v>
      </c>
      <c r="B18" s="115">
        <v>116439386.05219699</v>
      </c>
      <c r="C18" s="113">
        <f>C17+C19</f>
        <v>238493910961.46527</v>
      </c>
      <c r="I18" s="27"/>
    </row>
    <row r="19" spans="1:16" x14ac:dyDescent="0.2">
      <c r="A19" s="106" t="s">
        <v>190</v>
      </c>
      <c r="B19" s="43">
        <f>B18-B17</f>
        <v>66701567.452743292</v>
      </c>
      <c r="C19" s="108">
        <f>B19*2315.102</f>
        <v>154420932212.9809</v>
      </c>
      <c r="M19" s="27"/>
      <c r="O19" s="27"/>
    </row>
    <row r="22" spans="1:16" ht="18" thickBot="1" x14ac:dyDescent="0.3">
      <c r="A22" s="35" t="s">
        <v>189</v>
      </c>
      <c r="E22" s="35" t="s">
        <v>164</v>
      </c>
      <c r="O22" s="27"/>
    </row>
    <row r="23" spans="1:16" ht="17.25" x14ac:dyDescent="0.25">
      <c r="A23" s="125" t="s">
        <v>154</v>
      </c>
      <c r="B23" s="126" t="s">
        <v>145</v>
      </c>
      <c r="C23" s="127" t="s">
        <v>155</v>
      </c>
      <c r="E23" s="131" t="s">
        <v>157</v>
      </c>
      <c r="J23" s="131" t="s">
        <v>165</v>
      </c>
    </row>
    <row r="24" spans="1:16" x14ac:dyDescent="0.2">
      <c r="A24" s="118">
        <v>1960</v>
      </c>
      <c r="B24" s="47">
        <f>'Mass (Lower bound)'!E31</f>
        <v>98141615.5799357</v>
      </c>
      <c r="C24" s="117">
        <f>'Mass (Lower bound)'!F31</f>
        <v>165891030071.92368</v>
      </c>
    </row>
    <row r="25" spans="1:16" x14ac:dyDescent="0.2">
      <c r="A25" s="119" t="s">
        <v>158</v>
      </c>
      <c r="B25" s="116">
        <f>'Mass (Lower bound)'!E36</f>
        <v>173718741.06629699</v>
      </c>
      <c r="C25" s="120">
        <f>'Mass (Lower bound)'!F36</f>
        <v>323091451083.55518</v>
      </c>
    </row>
    <row r="26" spans="1:16" x14ac:dyDescent="0.2">
      <c r="A26" s="121" t="s">
        <v>159</v>
      </c>
      <c r="B26" s="116">
        <f>'Mass (Lower bound)'!E38</f>
        <v>57279355.014100097</v>
      </c>
      <c r="C26" s="117">
        <f>'Mass (Lower bound)'!F38</f>
        <v>100279212033.36491</v>
      </c>
      <c r="P26" s="27"/>
    </row>
    <row r="27" spans="1:16" ht="15" thickBot="1" x14ac:dyDescent="0.25">
      <c r="A27" s="122" t="s">
        <v>105</v>
      </c>
      <c r="B27" s="123">
        <f>B25-B26</f>
        <v>116439386.05219689</v>
      </c>
      <c r="C27" s="124">
        <f>C25-C26</f>
        <v>222812239050.19025</v>
      </c>
    </row>
    <row r="28" spans="1:16" x14ac:dyDescent="0.2">
      <c r="A28" s="95"/>
      <c r="B28" s="96"/>
      <c r="C28" s="27"/>
      <c r="L28" s="27"/>
      <c r="N28" s="27"/>
      <c r="O28" s="27"/>
      <c r="P28" s="27"/>
    </row>
    <row r="29" spans="1:16" ht="17.25" x14ac:dyDescent="0.25">
      <c r="A29" s="128" t="s">
        <v>160</v>
      </c>
      <c r="B29" s="129" t="s">
        <v>145</v>
      </c>
      <c r="C29" s="129" t="s">
        <v>155</v>
      </c>
      <c r="N29" s="27"/>
    </row>
    <row r="30" spans="1:16" x14ac:dyDescent="0.2">
      <c r="A30" s="106" t="s">
        <v>161</v>
      </c>
      <c r="B30" s="110">
        <v>48403796.980481997</v>
      </c>
      <c r="C30" s="47">
        <f>B30*1690.323</f>
        <v>81818051323.43927</v>
      </c>
    </row>
    <row r="31" spans="1:16" x14ac:dyDescent="0.2">
      <c r="A31" s="106" t="s">
        <v>162</v>
      </c>
      <c r="B31" s="47">
        <f>'Mass (Lower bound)'!E38</f>
        <v>57279355.014100097</v>
      </c>
      <c r="C31" s="47">
        <f>C30+C32</f>
        <v>100279212033.36491</v>
      </c>
    </row>
    <row r="32" spans="1:16" x14ac:dyDescent="0.2">
      <c r="A32" s="107" t="s">
        <v>191</v>
      </c>
      <c r="B32" s="111">
        <f>B31-B30</f>
        <v>8875558.0336181</v>
      </c>
      <c r="C32" s="109">
        <f>B32*2080</f>
        <v>18461160709.925648</v>
      </c>
    </row>
    <row r="35" spans="1:3" ht="17.25" x14ac:dyDescent="0.25">
      <c r="A35" s="128" t="s">
        <v>163</v>
      </c>
      <c r="B35" s="129" t="s">
        <v>145</v>
      </c>
      <c r="C35" s="130" t="s">
        <v>155</v>
      </c>
    </row>
    <row r="36" spans="1:3" x14ac:dyDescent="0.2">
      <c r="A36" s="106" t="s">
        <v>161</v>
      </c>
      <c r="B36" s="47">
        <v>49737818.599453703</v>
      </c>
      <c r="C36" s="114">
        <f>B36*1690.323</f>
        <v>84072978748.48439</v>
      </c>
    </row>
    <row r="37" spans="1:3" x14ac:dyDescent="0.2">
      <c r="A37" s="112" t="s">
        <v>162</v>
      </c>
      <c r="B37" s="115">
        <v>116439386.05219699</v>
      </c>
      <c r="C37" s="113">
        <f>C36+C38</f>
        <v>222812239050.19043</v>
      </c>
    </row>
    <row r="38" spans="1:3" x14ac:dyDescent="0.2">
      <c r="A38" s="106" t="s">
        <v>190</v>
      </c>
      <c r="B38" s="43">
        <f>B37-B36</f>
        <v>66701567.452743292</v>
      </c>
      <c r="C38" s="108">
        <f>B38*2080</f>
        <v>138739260301.70605</v>
      </c>
    </row>
    <row r="40" spans="1:3" x14ac:dyDescent="0.2">
      <c r="B40" s="27"/>
      <c r="C40" s="27"/>
    </row>
  </sheetData>
  <mergeCells count="1">
    <mergeCell ref="A1:N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D6FF-065A-4F14-A546-EBF3723990C2}">
  <dimension ref="A1:Q58"/>
  <sheetViews>
    <sheetView zoomScaleNormal="100" workbookViewId="0">
      <pane ySplit="1" topLeftCell="A2" activePane="bottomLeft" state="frozen"/>
      <selection pane="bottomLeft" activeCell="P6" sqref="P6"/>
    </sheetView>
  </sheetViews>
  <sheetFormatPr defaultRowHeight="14.25" x14ac:dyDescent="0.2"/>
  <cols>
    <col min="1" max="1" width="22.7109375" style="2" customWidth="1"/>
    <col min="2" max="2" width="20.7109375" style="2" customWidth="1"/>
    <col min="3" max="4" width="12.7109375" style="2" customWidth="1"/>
    <col min="5" max="6" width="14.7109375" style="2" customWidth="1"/>
    <col min="7" max="7" width="18.7109375" style="2" customWidth="1"/>
    <col min="8" max="9" width="13.7109375" style="2" customWidth="1"/>
    <col min="10" max="11" width="18.7109375" style="2" customWidth="1"/>
    <col min="12" max="13" width="13.7109375" style="2" customWidth="1"/>
    <col min="14" max="14" width="18.7109375" style="2" customWidth="1"/>
    <col min="15" max="15" width="18.85546875" style="2" customWidth="1"/>
    <col min="16" max="18" width="9.140625" style="2" customWidth="1"/>
    <col min="19" max="16384" width="9.140625" style="2"/>
  </cols>
  <sheetData>
    <row r="1" spans="1:17" ht="32.25" x14ac:dyDescent="0.2">
      <c r="A1" s="42" t="s">
        <v>166</v>
      </c>
      <c r="B1" s="42" t="s">
        <v>167</v>
      </c>
      <c r="C1" s="138" t="s">
        <v>122</v>
      </c>
      <c r="D1" s="138"/>
      <c r="E1" s="5" t="s">
        <v>168</v>
      </c>
      <c r="F1" s="5" t="s">
        <v>169</v>
      </c>
      <c r="G1" s="5" t="s">
        <v>170</v>
      </c>
      <c r="H1" s="5" t="s">
        <v>171</v>
      </c>
      <c r="I1" s="5" t="s">
        <v>172</v>
      </c>
      <c r="J1" s="42" t="s">
        <v>173</v>
      </c>
      <c r="K1" s="5" t="s">
        <v>186</v>
      </c>
      <c r="L1" s="5" t="s">
        <v>174</v>
      </c>
      <c r="M1" s="5" t="s">
        <v>175</v>
      </c>
      <c r="N1" s="42" t="s">
        <v>176</v>
      </c>
      <c r="O1" s="5" t="s">
        <v>187</v>
      </c>
    </row>
    <row r="2" spans="1:17" ht="15" customHeight="1" x14ac:dyDescent="0.2">
      <c r="A2" s="139" t="s">
        <v>12</v>
      </c>
      <c r="B2" s="10"/>
      <c r="C2" s="20">
        <v>10621</v>
      </c>
      <c r="D2" s="9">
        <f t="shared" ref="D2:D33" si="0">(C2/365.25)+1900</f>
        <v>1929.07871321013</v>
      </c>
      <c r="E2" s="44">
        <f>('Volume and Surface Area'!E2)</f>
        <v>0</v>
      </c>
      <c r="F2" s="45">
        <f>('Volume and Surface Area'!G2)</f>
        <v>0</v>
      </c>
      <c r="G2" s="50">
        <f>('Mass (Upper bound)'!F2)</f>
        <v>0</v>
      </c>
      <c r="H2" s="47">
        <v>0</v>
      </c>
      <c r="I2" s="47">
        <v>0</v>
      </c>
      <c r="J2" s="47">
        <f>(I2*1000000000)*1690.323</f>
        <v>0</v>
      </c>
      <c r="K2" s="132">
        <v>0</v>
      </c>
      <c r="L2" s="47">
        <v>0</v>
      </c>
      <c r="M2" s="47">
        <v>0</v>
      </c>
      <c r="N2" s="47">
        <f>(M2*1000000000)*1690.323</f>
        <v>0</v>
      </c>
      <c r="O2" s="132">
        <v>0</v>
      </c>
      <c r="P2" s="27"/>
      <c r="Q2" s="102"/>
    </row>
    <row r="3" spans="1:17" ht="15" customHeight="1" x14ac:dyDescent="0.2">
      <c r="A3" s="145"/>
      <c r="B3" s="14" t="s">
        <v>25</v>
      </c>
      <c r="C3" s="18">
        <v>10693</v>
      </c>
      <c r="D3" s="9">
        <f t="shared" si="0"/>
        <v>1929.2758384668036</v>
      </c>
      <c r="E3" s="44">
        <f>('Volume and Surface Area'!E3)</f>
        <v>2.8476999999999999E-2</v>
      </c>
      <c r="F3" s="57">
        <f>('Volume and Surface Area'!G3)</f>
        <v>2.5631952689272202E-4</v>
      </c>
      <c r="G3" s="50">
        <f>('Mass (Upper bound)'!F3)</f>
        <v>433262791.65588659</v>
      </c>
      <c r="H3" s="47">
        <v>1.6150999999999999E-2</v>
      </c>
      <c r="I3" s="75">
        <v>1.54492507334018E-4</v>
      </c>
      <c r="J3" s="47">
        <f t="shared" ref="J3:J31" si="1">(I3*1000000000)*1690.323</f>
        <v>261142238.47435933</v>
      </c>
      <c r="K3" s="132">
        <v>261142238.47435933</v>
      </c>
      <c r="L3" s="47">
        <v>1.2326E-2</v>
      </c>
      <c r="M3" s="75">
        <v>1.0182701955870401E-4</v>
      </c>
      <c r="N3" s="47">
        <f t="shared" ref="N3:N31" si="2">(M3*1000000000)*1690.323</f>
        <v>172120553.18152726</v>
      </c>
      <c r="O3" s="132">
        <v>172120553.18152726</v>
      </c>
      <c r="P3" s="27"/>
      <c r="Q3" s="102"/>
    </row>
    <row r="4" spans="1:17" ht="15" customHeight="1" x14ac:dyDescent="0.2">
      <c r="A4" s="145"/>
      <c r="B4" s="14"/>
      <c r="C4" s="18">
        <v>10777</v>
      </c>
      <c r="D4" s="90">
        <f t="shared" si="0"/>
        <v>1929.5058179329226</v>
      </c>
      <c r="E4" s="44">
        <f>('Volume and Surface Area'!E4)</f>
        <v>0</v>
      </c>
      <c r="F4" s="45">
        <f>('Volume and Surface Area'!G4)</f>
        <v>0</v>
      </c>
      <c r="G4" s="50">
        <f>('Mass (Upper bound)'!F4)</f>
        <v>0</v>
      </c>
      <c r="H4" s="47">
        <v>0</v>
      </c>
      <c r="I4" s="47">
        <v>0</v>
      </c>
      <c r="J4" s="47">
        <f t="shared" si="1"/>
        <v>0</v>
      </c>
      <c r="K4" s="132">
        <v>0</v>
      </c>
      <c r="L4" s="47">
        <v>0</v>
      </c>
      <c r="M4" s="47">
        <v>0</v>
      </c>
      <c r="N4" s="47">
        <f t="shared" si="2"/>
        <v>0</v>
      </c>
      <c r="O4" s="132">
        <v>0</v>
      </c>
      <c r="P4" s="27"/>
      <c r="Q4" s="102"/>
    </row>
    <row r="5" spans="1:17" ht="15" customHeight="1" x14ac:dyDescent="0.2">
      <c r="A5" s="145"/>
      <c r="B5" s="14"/>
      <c r="C5" s="18">
        <v>11112</v>
      </c>
      <c r="D5" s="9">
        <f t="shared" si="0"/>
        <v>1930.422997946612</v>
      </c>
      <c r="E5" s="44">
        <f>('Volume and Surface Area'!E5)</f>
        <v>0</v>
      </c>
      <c r="F5" s="45">
        <f>('Volume and Surface Area'!G5)</f>
        <v>0</v>
      </c>
      <c r="G5" s="50">
        <f>('Mass (Upper bound)'!F5)</f>
        <v>0</v>
      </c>
      <c r="H5" s="47">
        <v>0</v>
      </c>
      <c r="I5" s="47">
        <v>0</v>
      </c>
      <c r="J5" s="47">
        <f t="shared" si="1"/>
        <v>0</v>
      </c>
      <c r="K5" s="132">
        <v>0</v>
      </c>
      <c r="L5" s="47">
        <v>0</v>
      </c>
      <c r="M5" s="47">
        <v>0</v>
      </c>
      <c r="N5" s="47">
        <f t="shared" si="2"/>
        <v>0</v>
      </c>
      <c r="O5" s="132">
        <v>0</v>
      </c>
      <c r="P5" s="27"/>
      <c r="Q5" s="102"/>
    </row>
    <row r="6" spans="1:17" ht="15" customHeight="1" x14ac:dyDescent="0.2">
      <c r="A6" s="145"/>
      <c r="B6" s="14" t="s">
        <v>30</v>
      </c>
      <c r="C6" s="18">
        <v>11140</v>
      </c>
      <c r="D6" s="9">
        <f t="shared" si="0"/>
        <v>1930.4996577686516</v>
      </c>
      <c r="E6" s="44">
        <f>('Volume and Surface Area'!E6)</f>
        <v>4.3865000000000001E-2</v>
      </c>
      <c r="F6" s="57">
        <f>('Volume and Surface Area'!G6)</f>
        <v>1.0761725028993999E-3</v>
      </c>
      <c r="G6" s="50">
        <f>('Mass (Upper bound)'!F6)</f>
        <v>1819079133.6184225</v>
      </c>
      <c r="H6" s="47">
        <v>2.944E-3</v>
      </c>
      <c r="I6" s="75">
        <v>6.2005353104495797E-5</v>
      </c>
      <c r="J6" s="47">
        <f t="shared" si="1"/>
        <v>104809074.47565065</v>
      </c>
      <c r="K6" s="132">
        <v>104809074.47565065</v>
      </c>
      <c r="L6" s="47">
        <v>4.0920999999999999E-2</v>
      </c>
      <c r="M6" s="75">
        <v>1.0141671497949001E-3</v>
      </c>
      <c r="N6" s="47">
        <f t="shared" si="2"/>
        <v>1714270059.142765</v>
      </c>
      <c r="O6" s="132">
        <v>1714270059.142765</v>
      </c>
      <c r="P6" s="27"/>
      <c r="Q6" s="102"/>
    </row>
    <row r="7" spans="1:17" ht="15" customHeight="1" x14ac:dyDescent="0.2">
      <c r="A7" s="145"/>
      <c r="B7" s="14"/>
      <c r="C7" s="18">
        <v>11178</v>
      </c>
      <c r="D7" s="90">
        <f t="shared" si="0"/>
        <v>1930.6036960985625</v>
      </c>
      <c r="E7" s="44">
        <f>('Volume and Surface Area'!E7)</f>
        <v>0</v>
      </c>
      <c r="F7" s="45">
        <f>('Volume and Surface Area'!G7)</f>
        <v>0</v>
      </c>
      <c r="G7" s="50">
        <f>('Mass (Upper bound)'!F7)</f>
        <v>0</v>
      </c>
      <c r="H7" s="47">
        <v>0</v>
      </c>
      <c r="I7" s="47">
        <v>0</v>
      </c>
      <c r="J7" s="47">
        <f t="shared" si="1"/>
        <v>0</v>
      </c>
      <c r="K7" s="132">
        <v>0</v>
      </c>
      <c r="L7" s="47">
        <v>0</v>
      </c>
      <c r="M7" s="47">
        <v>0</v>
      </c>
      <c r="N7" s="47">
        <f t="shared" si="2"/>
        <v>0</v>
      </c>
      <c r="O7" s="132">
        <v>0</v>
      </c>
      <c r="P7" s="27"/>
      <c r="Q7" s="102"/>
    </row>
    <row r="8" spans="1:17" ht="15" customHeight="1" x14ac:dyDescent="0.2">
      <c r="A8" s="145"/>
      <c r="B8" s="14"/>
      <c r="C8" s="18">
        <v>11181</v>
      </c>
      <c r="D8" s="90">
        <f t="shared" si="0"/>
        <v>1930.611909650924</v>
      </c>
      <c r="E8" s="44">
        <f>('Volume and Surface Area'!E8)</f>
        <v>0</v>
      </c>
      <c r="F8" s="45">
        <f>('Volume and Surface Area'!G8)</f>
        <v>0</v>
      </c>
      <c r="G8" s="50">
        <f>('Mass (Upper bound)'!F8)</f>
        <v>0</v>
      </c>
      <c r="H8" s="47">
        <v>0</v>
      </c>
      <c r="I8" s="47">
        <v>0</v>
      </c>
      <c r="J8" s="47">
        <f t="shared" si="1"/>
        <v>0</v>
      </c>
      <c r="K8" s="132">
        <v>0</v>
      </c>
      <c r="L8" s="47">
        <v>0</v>
      </c>
      <c r="M8" s="47">
        <v>0</v>
      </c>
      <c r="N8" s="47">
        <f t="shared" si="2"/>
        <v>0</v>
      </c>
      <c r="O8" s="132">
        <v>0</v>
      </c>
      <c r="P8" s="27"/>
      <c r="Q8" s="102"/>
    </row>
    <row r="9" spans="1:17" ht="15" customHeight="1" x14ac:dyDescent="0.2">
      <c r="A9" s="140" t="s">
        <v>33</v>
      </c>
      <c r="B9" s="14" t="s">
        <v>36</v>
      </c>
      <c r="C9" s="18">
        <v>11185</v>
      </c>
      <c r="D9" s="9">
        <f t="shared" si="0"/>
        <v>1930.6228610540725</v>
      </c>
      <c r="E9" s="44">
        <f>('Volume and Surface Area'!E9)</f>
        <v>0.49654799999999999</v>
      </c>
      <c r="F9" s="57">
        <f>('Volume and Surface Area'!G9)</f>
        <v>2.3869415045882901E-3</v>
      </c>
      <c r="G9" s="50">
        <f>('Mass (Upper bound)'!F9)</f>
        <v>4034702124.8601928</v>
      </c>
      <c r="H9" s="47">
        <v>1.6622000000000001E-2</v>
      </c>
      <c r="I9" s="75">
        <v>3.6929072067605198E-5</v>
      </c>
      <c r="J9" s="47">
        <f t="shared" si="1"/>
        <v>62422059.884530626</v>
      </c>
      <c r="K9" s="132">
        <v>62422059.884530626</v>
      </c>
      <c r="L9" s="47">
        <v>0.47992600000000002</v>
      </c>
      <c r="M9" s="47">
        <v>2.3500124325206801E-3</v>
      </c>
      <c r="N9" s="47">
        <f t="shared" si="2"/>
        <v>3972280064.9756536</v>
      </c>
      <c r="O9" s="132">
        <v>3972280064.9756536</v>
      </c>
      <c r="P9" s="33"/>
      <c r="Q9" s="102"/>
    </row>
    <row r="10" spans="1:17" ht="15" customHeight="1" x14ac:dyDescent="0.2">
      <c r="A10" s="140"/>
      <c r="B10" s="14" t="s">
        <v>42</v>
      </c>
      <c r="C10" s="18">
        <v>12115</v>
      </c>
      <c r="D10" s="9">
        <f t="shared" si="0"/>
        <v>1933.1690622861054</v>
      </c>
      <c r="E10" s="44">
        <f>('Volume and Surface Area'!E10)</f>
        <v>0.66019600000000001</v>
      </c>
      <c r="F10" s="57">
        <f>('Volume and Surface Area'!G10)</f>
        <v>1.34323009618313E-2</v>
      </c>
      <c r="G10" s="50">
        <f>('Mass (Upper bound)'!F10)</f>
        <v>22704927258.70557</v>
      </c>
      <c r="H10" s="47">
        <v>3.6669E-2</v>
      </c>
      <c r="I10" s="75">
        <v>3.7645413226479896E-4</v>
      </c>
      <c r="J10" s="47">
        <f t="shared" si="1"/>
        <v>636329078.21223187</v>
      </c>
      <c r="K10" s="132">
        <v>636329078.21223187</v>
      </c>
      <c r="L10" s="47">
        <v>0.62352700000000005</v>
      </c>
      <c r="M10" s="75">
        <v>1.30558468295665E-2</v>
      </c>
      <c r="N10" s="47">
        <f t="shared" si="2"/>
        <v>22068598180.493336</v>
      </c>
      <c r="O10" s="132">
        <v>22068598180.493336</v>
      </c>
      <c r="P10" s="27"/>
      <c r="Q10" s="102"/>
    </row>
    <row r="11" spans="1:17" ht="15" customHeight="1" x14ac:dyDescent="0.2">
      <c r="A11" s="140"/>
      <c r="B11" s="14" t="s">
        <v>47</v>
      </c>
      <c r="C11" s="18">
        <v>12344</v>
      </c>
      <c r="D11" s="90">
        <f t="shared" si="0"/>
        <v>1933.7960301163587</v>
      </c>
      <c r="E11" s="44">
        <f>('Volume and Surface Area'!E11)</f>
        <v>0.74582099999999996</v>
      </c>
      <c r="F11" s="57">
        <f>('Volume and Surface Area'!G11)</f>
        <v>1.8768378100909599E-2</v>
      </c>
      <c r="G11" s="50">
        <f>('Mass (Upper bound)'!F11)</f>
        <v>31724621176.663818</v>
      </c>
      <c r="H11" s="47">
        <v>6.2910999999999995E-2</v>
      </c>
      <c r="I11" s="75">
        <v>1.0557137923788401E-3</v>
      </c>
      <c r="J11" s="47">
        <f t="shared" si="1"/>
        <v>1784497304.6751781</v>
      </c>
      <c r="K11" s="132">
        <v>1784497304.6751781</v>
      </c>
      <c r="L11" s="47">
        <v>0.68291000000000002</v>
      </c>
      <c r="M11" s="75">
        <v>1.77126643085307E-2</v>
      </c>
      <c r="N11" s="47">
        <f t="shared" si="2"/>
        <v>29940123871.988541</v>
      </c>
      <c r="O11" s="132">
        <v>29940123871.988541</v>
      </c>
      <c r="P11" s="27"/>
      <c r="Q11" s="102"/>
    </row>
    <row r="12" spans="1:17" ht="15" customHeight="1" x14ac:dyDescent="0.2">
      <c r="A12" s="140"/>
      <c r="B12" s="14" t="s">
        <v>51</v>
      </c>
      <c r="C12" s="18">
        <v>12822</v>
      </c>
      <c r="D12" s="9">
        <f t="shared" si="0"/>
        <v>1935.1047227926078</v>
      </c>
      <c r="E12" s="44">
        <f>('Volume and Surface Area'!E12)</f>
        <v>0.91493199999999997</v>
      </c>
      <c r="F12" s="57">
        <f>('Volume and Surface Area'!G12)</f>
        <v>2.3846773556232197E-2</v>
      </c>
      <c r="G12" s="50">
        <f>('Mass (Upper bound)'!F12)</f>
        <v>40308749817.891083</v>
      </c>
      <c r="H12" s="47">
        <v>3.4631000000000002E-2</v>
      </c>
      <c r="I12" s="75">
        <v>7.85642243089265E-4</v>
      </c>
      <c r="J12" s="47">
        <f t="shared" si="1"/>
        <v>1327989153.2653756</v>
      </c>
      <c r="K12" s="132">
        <v>1327989153.2653756</v>
      </c>
      <c r="L12" s="47">
        <v>0.880301</v>
      </c>
      <c r="M12" s="75">
        <v>2.3061131313143E-2</v>
      </c>
      <c r="N12" s="47">
        <f t="shared" si="2"/>
        <v>38980760664.625816</v>
      </c>
      <c r="O12" s="132">
        <v>38980760664.625816</v>
      </c>
      <c r="P12" s="27"/>
      <c r="Q12" s="102"/>
    </row>
    <row r="13" spans="1:17" ht="15" customHeight="1" x14ac:dyDescent="0.2">
      <c r="A13" s="140"/>
      <c r="B13" s="14" t="s">
        <v>53</v>
      </c>
      <c r="C13" s="18">
        <v>13003</v>
      </c>
      <c r="D13" s="90">
        <f t="shared" si="0"/>
        <v>1935.6002737850788</v>
      </c>
      <c r="E13" s="44">
        <f>('Volume and Surface Area'!E13)</f>
        <v>0.93938299999999997</v>
      </c>
      <c r="F13" s="57">
        <f>('Volume and Surface Area'!G13)</f>
        <v>1.6574645207558501E-2</v>
      </c>
      <c r="G13" s="50">
        <f>('Mass (Upper bound)'!F13)</f>
        <v>28016504011.175911</v>
      </c>
      <c r="H13" s="47">
        <v>0.18319299999999999</v>
      </c>
      <c r="I13" s="75">
        <v>7.4675299736468405E-4</v>
      </c>
      <c r="J13" s="47">
        <f t="shared" si="1"/>
        <v>1262253766.7644649</v>
      </c>
      <c r="K13" s="132">
        <v>1262253766.7644649</v>
      </c>
      <c r="L13" s="47">
        <v>0.75619000000000003</v>
      </c>
      <c r="M13" s="75">
        <v>1.58278922101938E-2</v>
      </c>
      <c r="N13" s="47">
        <f t="shared" si="2"/>
        <v>26754250244.411415</v>
      </c>
      <c r="O13" s="132">
        <v>26754250244.411415</v>
      </c>
      <c r="P13" s="27"/>
      <c r="Q13" s="102"/>
    </row>
    <row r="14" spans="1:17" ht="15" customHeight="1" x14ac:dyDescent="0.2">
      <c r="A14" s="140"/>
      <c r="B14" s="14" t="s">
        <v>54</v>
      </c>
      <c r="C14" s="18">
        <v>13129</v>
      </c>
      <c r="D14" s="9">
        <f t="shared" si="0"/>
        <v>1935.9452429842574</v>
      </c>
      <c r="E14" s="44">
        <f>('Volume and Surface Area'!E14)</f>
        <v>0.92125100000000004</v>
      </c>
      <c r="F14" s="57">
        <f>('Volume and Surface Area'!G14)</f>
        <v>1.6357240589183999E-2</v>
      </c>
      <c r="G14" s="50">
        <f>('Mass (Upper bound)'!F14)</f>
        <v>27649019984.431267</v>
      </c>
      <c r="H14" s="47">
        <v>0.13006400000000001</v>
      </c>
      <c r="I14" s="75">
        <v>5.2919727163645001E-4</v>
      </c>
      <c r="J14" s="47">
        <f t="shared" si="1"/>
        <v>894514319.78433907</v>
      </c>
      <c r="K14" s="132">
        <v>894514319.78433907</v>
      </c>
      <c r="L14" s="47">
        <v>0.79118699999999997</v>
      </c>
      <c r="M14" s="75">
        <v>1.5828043317547499E-2</v>
      </c>
      <c r="N14" s="47">
        <f t="shared" si="2"/>
        <v>26754505664.646843</v>
      </c>
      <c r="O14" s="132">
        <v>26754505664.646843</v>
      </c>
      <c r="P14" s="27"/>
      <c r="Q14" s="102"/>
    </row>
    <row r="15" spans="1:17" ht="15" customHeight="1" x14ac:dyDescent="0.2">
      <c r="A15" s="140"/>
      <c r="B15" s="14" t="s">
        <v>56</v>
      </c>
      <c r="C15" s="18">
        <v>13315</v>
      </c>
      <c r="D15" s="90">
        <f t="shared" si="0"/>
        <v>1936.454483230664</v>
      </c>
      <c r="E15" s="44">
        <f>('Volume and Surface Area'!E15)</f>
        <v>0.80679599999999996</v>
      </c>
      <c r="F15" s="57">
        <f>('Volume and Surface Area'!G15)</f>
        <v>1.53508504408238E-2</v>
      </c>
      <c r="G15" s="50">
        <f>('Mass (Upper bound)'!F15)</f>
        <v>25947895569.684612</v>
      </c>
      <c r="H15" s="47">
        <v>5.1874999999999998E-2</v>
      </c>
      <c r="I15" s="75">
        <v>2.25729832685159E-4</v>
      </c>
      <c r="J15" s="47">
        <f t="shared" si="1"/>
        <v>381556327.97387606</v>
      </c>
      <c r="K15" s="132">
        <v>381556327.97387606</v>
      </c>
      <c r="L15" s="47">
        <v>0.75492099999999995</v>
      </c>
      <c r="M15" s="75">
        <v>1.51251206081387E-2</v>
      </c>
      <c r="N15" s="47">
        <f t="shared" si="2"/>
        <v>25566339241.710831</v>
      </c>
      <c r="O15" s="132">
        <v>25566339241.710831</v>
      </c>
      <c r="P15" s="27"/>
      <c r="Q15" s="102"/>
    </row>
    <row r="16" spans="1:17" ht="15" customHeight="1" x14ac:dyDescent="0.2">
      <c r="A16" s="140"/>
      <c r="B16" s="14" t="s">
        <v>58</v>
      </c>
      <c r="C16" s="18">
        <v>13376</v>
      </c>
      <c r="D16" s="9">
        <f t="shared" si="0"/>
        <v>1936.6214921286789</v>
      </c>
      <c r="E16" s="44">
        <f>('Volume and Surface Area'!E16)</f>
        <v>0.85934500000000003</v>
      </c>
      <c r="F16" s="57">
        <f>('Volume and Surface Area'!G16)</f>
        <v>1.64568517045173E-2</v>
      </c>
      <c r="G16" s="50">
        <f>('Mass (Upper bound)'!F16)</f>
        <v>27817394943.734795</v>
      </c>
      <c r="H16" s="47">
        <v>4.2323E-2</v>
      </c>
      <c r="I16" s="75">
        <v>1.8345564719212298E-4</v>
      </c>
      <c r="J16" s="47">
        <f t="shared" si="1"/>
        <v>310099299.92873096</v>
      </c>
      <c r="K16" s="132">
        <v>310099299.92873096</v>
      </c>
      <c r="L16" s="47">
        <v>0.81702200000000003</v>
      </c>
      <c r="M16" s="75">
        <v>1.6273396057325199E-2</v>
      </c>
      <c r="N16" s="47">
        <f t="shared" si="2"/>
        <v>27507295643.806103</v>
      </c>
      <c r="O16" s="132">
        <v>27507295643.806103</v>
      </c>
      <c r="P16" s="27"/>
      <c r="Q16" s="102"/>
    </row>
    <row r="17" spans="1:17" ht="15" customHeight="1" x14ac:dyDescent="0.2">
      <c r="A17" s="140"/>
      <c r="B17" s="14" t="s">
        <v>60</v>
      </c>
      <c r="C17" s="18">
        <v>13495</v>
      </c>
      <c r="D17" s="90">
        <f t="shared" si="0"/>
        <v>1936.9472963723476</v>
      </c>
      <c r="E17" s="44">
        <f>('Volume and Surface Area'!E17)</f>
        <v>0.87787199999999999</v>
      </c>
      <c r="F17" s="57">
        <f>('Volume and Surface Area'!G17)</f>
        <v>1.9975362577812197E-2</v>
      </c>
      <c r="G17" s="50">
        <f>('Mass (Upper bound)'!F17)</f>
        <v>33764814798.61525</v>
      </c>
      <c r="H17" s="47">
        <v>5.1591999999999999E-2</v>
      </c>
      <c r="I17" s="75">
        <v>1.2954673879266701E-4</v>
      </c>
      <c r="J17" s="47">
        <f t="shared" si="1"/>
        <v>218975832.1562373</v>
      </c>
      <c r="K17" s="132">
        <v>218975832.1562373</v>
      </c>
      <c r="L17" s="47">
        <v>0.82628000000000001</v>
      </c>
      <c r="M17" s="75">
        <v>1.9845815839019499E-2</v>
      </c>
      <c r="N17" s="47">
        <f t="shared" si="2"/>
        <v>33545838966.458961</v>
      </c>
      <c r="O17" s="132">
        <v>33545838966.458961</v>
      </c>
      <c r="P17" s="27"/>
      <c r="Q17" s="102"/>
    </row>
    <row r="18" spans="1:17" ht="15" customHeight="1" x14ac:dyDescent="0.2">
      <c r="A18" s="140"/>
      <c r="B18" s="14" t="s">
        <v>62</v>
      </c>
      <c r="C18" s="18">
        <v>13559</v>
      </c>
      <c r="D18" s="9">
        <f t="shared" si="0"/>
        <v>1937.1225188227243</v>
      </c>
      <c r="E18" s="44">
        <f>('Volume and Surface Area'!E18)</f>
        <v>0.86658500000000005</v>
      </c>
      <c r="F18" s="57">
        <f>('Volume and Surface Area'!G18)</f>
        <v>1.9990129487642002E-2</v>
      </c>
      <c r="G18" s="50">
        <f>('Mass (Upper bound)'!F18)</f>
        <v>33789775645.939491</v>
      </c>
      <c r="H18" s="47">
        <v>4.6360999999999999E-2</v>
      </c>
      <c r="I18" s="75">
        <v>1.3752622521281198E-4</v>
      </c>
      <c r="J18" s="47">
        <f t="shared" si="1"/>
        <v>232463741.580396</v>
      </c>
      <c r="K18" s="132">
        <v>232463741.580396</v>
      </c>
      <c r="L18" s="47">
        <v>0.82022399999999995</v>
      </c>
      <c r="M18" s="75">
        <v>1.98526032624292E-2</v>
      </c>
      <c r="N18" s="47">
        <f t="shared" si="2"/>
        <v>33557311904.359116</v>
      </c>
      <c r="O18" s="132">
        <v>33557311904.359116</v>
      </c>
      <c r="P18" s="27"/>
      <c r="Q18" s="102"/>
    </row>
    <row r="19" spans="1:17" ht="15" customHeight="1" x14ac:dyDescent="0.2">
      <c r="A19" s="140"/>
      <c r="B19" s="14" t="s">
        <v>64</v>
      </c>
      <c r="C19" s="18">
        <v>13866</v>
      </c>
      <c r="D19" s="90">
        <f t="shared" si="0"/>
        <v>1937.9630390143736</v>
      </c>
      <c r="E19" s="44">
        <f>('Volume and Surface Area'!E19)</f>
        <v>1.2130289999999999</v>
      </c>
      <c r="F19" s="57">
        <f>('Volume and Surface Area'!G19)</f>
        <v>2.5079028106626999E-2</v>
      </c>
      <c r="G19" s="50">
        <f>('Mass (Upper bound)'!F19)</f>
        <v>42391658026.278069</v>
      </c>
      <c r="H19" s="47">
        <v>0.26607900000000001</v>
      </c>
      <c r="I19" s="75">
        <v>3.9754516521301698E-3</v>
      </c>
      <c r="J19" s="47">
        <f t="shared" si="1"/>
        <v>6719797362.9836254</v>
      </c>
      <c r="K19" s="132">
        <v>6719797362.9836254</v>
      </c>
      <c r="L19" s="47">
        <v>0.94694999999999996</v>
      </c>
      <c r="M19" s="75">
        <v>2.11035764544968E-2</v>
      </c>
      <c r="N19" s="47">
        <f t="shared" si="2"/>
        <v>35671860663.294395</v>
      </c>
      <c r="O19" s="132">
        <v>35671860663.294395</v>
      </c>
      <c r="P19" s="27"/>
      <c r="Q19" s="102"/>
    </row>
    <row r="20" spans="1:17" ht="15" customHeight="1" x14ac:dyDescent="0.2">
      <c r="A20" s="140"/>
      <c r="B20" s="14" t="s">
        <v>66</v>
      </c>
      <c r="C20" s="18">
        <v>14041</v>
      </c>
      <c r="D20" s="9">
        <f t="shared" si="0"/>
        <v>1938.4421629021219</v>
      </c>
      <c r="E20" s="44">
        <f>('Volume and Surface Area'!E20)</f>
        <v>1.188148</v>
      </c>
      <c r="F20" s="57">
        <f>('Volume and Surface Area'!G20)</f>
        <v>2.4804728456098702E-2</v>
      </c>
      <c r="G20" s="50">
        <f>('Mass (Upper bound)'!F20)</f>
        <v>41928003018.098129</v>
      </c>
      <c r="H20" s="47">
        <v>0.22795599999999999</v>
      </c>
      <c r="I20" s="75">
        <v>3.28517182324391E-3</v>
      </c>
      <c r="J20" s="47">
        <f t="shared" si="1"/>
        <v>5553001491.7811155</v>
      </c>
      <c r="K20" s="132">
        <v>5553001491.7811155</v>
      </c>
      <c r="L20" s="47">
        <v>0.96019200000000005</v>
      </c>
      <c r="M20" s="75">
        <v>2.1519556632854903E-2</v>
      </c>
      <c r="N20" s="47">
        <f t="shared" si="2"/>
        <v>36375001526.3172</v>
      </c>
      <c r="O20" s="132">
        <v>36375001526.3172</v>
      </c>
      <c r="P20" s="27"/>
      <c r="Q20" s="102"/>
    </row>
    <row r="21" spans="1:17" ht="15" customHeight="1" x14ac:dyDescent="0.2">
      <c r="A21" s="140"/>
      <c r="B21" s="14" t="s">
        <v>68</v>
      </c>
      <c r="C21" s="18">
        <v>14104</v>
      </c>
      <c r="D21" s="90">
        <f t="shared" si="0"/>
        <v>1938.6146475017113</v>
      </c>
      <c r="E21" s="44">
        <f>('Volume and Surface Area'!E21)</f>
        <v>1.3635299999999999</v>
      </c>
      <c r="F21" s="57">
        <f>('Volume and Surface Area'!G21)</f>
        <v>4.1629955827557401E-2</v>
      </c>
      <c r="G21" s="50">
        <f>('Mass (Upper bound)'!F21)</f>
        <v>70368071824.304306</v>
      </c>
      <c r="H21" s="47">
        <v>0.35963600000000001</v>
      </c>
      <c r="I21" s="75">
        <v>7.985947233881999E-3</v>
      </c>
      <c r="J21" s="47">
        <f t="shared" si="1"/>
        <v>13498830286.217123</v>
      </c>
      <c r="K21" s="132">
        <v>13498830286.217123</v>
      </c>
      <c r="L21" s="47">
        <v>1.0038940000000001</v>
      </c>
      <c r="M21" s="75">
        <v>3.3644008593675501E-2</v>
      </c>
      <c r="N21" s="47">
        <f t="shared" si="2"/>
        <v>56869241538.087357</v>
      </c>
      <c r="O21" s="132">
        <v>56869241538.087357</v>
      </c>
      <c r="P21" s="27"/>
      <c r="Q21" s="102"/>
    </row>
    <row r="22" spans="1:17" ht="15" customHeight="1" x14ac:dyDescent="0.2">
      <c r="A22" s="140"/>
      <c r="B22" s="14" t="s">
        <v>70</v>
      </c>
      <c r="C22" s="18">
        <v>14170</v>
      </c>
      <c r="D22" s="9">
        <f t="shared" si="0"/>
        <v>1938.7953456536618</v>
      </c>
      <c r="E22" s="44">
        <f>('Volume and Surface Area'!E22)</f>
        <v>1.373238</v>
      </c>
      <c r="F22" s="57">
        <f>('Volume and Surface Area'!G22)</f>
        <v>4.1482178978913799E-2</v>
      </c>
      <c r="G22" s="50">
        <f>('Mass (Upper bound)'!F22)</f>
        <v>70118281218.174515</v>
      </c>
      <c r="H22" s="47">
        <v>0.36510999999999999</v>
      </c>
      <c r="I22" s="75">
        <v>7.4544179577872398E-3</v>
      </c>
      <c r="J22" s="47">
        <f t="shared" si="1"/>
        <v>12600374125.660801</v>
      </c>
      <c r="K22" s="132">
        <v>12600374125.660801</v>
      </c>
      <c r="L22" s="47">
        <v>1.0081279999999999</v>
      </c>
      <c r="M22" s="75">
        <v>3.4027761021126701E-2</v>
      </c>
      <c r="N22" s="47">
        <f t="shared" si="2"/>
        <v>57517907092.513954</v>
      </c>
      <c r="O22" s="132">
        <v>57517907092.513954</v>
      </c>
      <c r="P22" s="27"/>
      <c r="Q22" s="102"/>
    </row>
    <row r="23" spans="1:17" ht="15" customHeight="1" x14ac:dyDescent="0.2">
      <c r="A23" s="140"/>
      <c r="B23" s="15" t="s">
        <v>72</v>
      </c>
      <c r="C23" s="18">
        <v>14411</v>
      </c>
      <c r="D23" s="90">
        <f t="shared" si="0"/>
        <v>1939.4551676933606</v>
      </c>
      <c r="E23" s="44">
        <f>('Volume and Surface Area'!E23)</f>
        <v>1.4715769999999999</v>
      </c>
      <c r="F23" s="57">
        <f>('Volume and Surface Area'!G23)</f>
        <v>4.4521014090915904E-2</v>
      </c>
      <c r="G23" s="50">
        <f>('Mass (Upper bound)'!F23)</f>
        <v>75254894101.199249</v>
      </c>
      <c r="H23" s="47">
        <v>0.40369100000000002</v>
      </c>
      <c r="I23" s="75">
        <v>7.9910612733397907E-3</v>
      </c>
      <c r="J23" s="47">
        <f t="shared" si="1"/>
        <v>13507474664.735535</v>
      </c>
      <c r="K23" s="132">
        <v>13507474664.735535</v>
      </c>
      <c r="L23" s="47">
        <v>1.0678859999999999</v>
      </c>
      <c r="M23" s="75">
        <v>3.6529952817576199E-2</v>
      </c>
      <c r="N23" s="47">
        <f t="shared" si="2"/>
        <v>61747419436.46386</v>
      </c>
      <c r="O23" s="132">
        <v>61747419436.46386</v>
      </c>
      <c r="P23" s="27"/>
      <c r="Q23" s="102"/>
    </row>
    <row r="24" spans="1:17" ht="15" customHeight="1" x14ac:dyDescent="0.2">
      <c r="A24" s="140"/>
      <c r="B24" s="10" t="s">
        <v>74</v>
      </c>
      <c r="C24" s="18">
        <v>14473</v>
      </c>
      <c r="D24" s="9">
        <f t="shared" si="0"/>
        <v>1939.6249144421629</v>
      </c>
      <c r="E24" s="44">
        <f>('Volume and Surface Area'!E24)</f>
        <v>1.525825</v>
      </c>
      <c r="F24" s="57">
        <f>('Volume and Surface Area'!G24)</f>
        <v>5.2476993919345696E-2</v>
      </c>
      <c r="G24" s="50">
        <f>('Mass (Upper bound)'!F24)</f>
        <v>88703069792.730179</v>
      </c>
      <c r="H24" s="47">
        <v>0.43897799999999998</v>
      </c>
      <c r="I24" s="75">
        <v>1.1424007750416101E-2</v>
      </c>
      <c r="J24" s="47">
        <f t="shared" si="1"/>
        <v>19310263052.706596</v>
      </c>
      <c r="K24" s="132">
        <v>19310263052.706596</v>
      </c>
      <c r="L24" s="47">
        <v>1.0868469999999999</v>
      </c>
      <c r="M24" s="75">
        <v>4.1052986168929599E-2</v>
      </c>
      <c r="N24" s="47">
        <f t="shared" si="2"/>
        <v>69392806740.02359</v>
      </c>
      <c r="O24" s="132">
        <v>69392806740.02359</v>
      </c>
      <c r="P24" s="27"/>
      <c r="Q24" s="102"/>
    </row>
    <row r="25" spans="1:17" ht="15" customHeight="1" x14ac:dyDescent="0.2">
      <c r="A25" s="140"/>
      <c r="B25" s="10" t="s">
        <v>76</v>
      </c>
      <c r="C25" s="18">
        <v>14961</v>
      </c>
      <c r="D25" s="90">
        <f t="shared" si="0"/>
        <v>1940.9609856262834</v>
      </c>
      <c r="E25" s="44">
        <f>('Volume and Surface Area'!E25)</f>
        <v>1.438461</v>
      </c>
      <c r="F25" s="57">
        <f>('Volume and Surface Area'!G25)</f>
        <v>5.1894594653898299E-2</v>
      </c>
      <c r="G25" s="50">
        <f>('Mass (Upper bound)'!F25)</f>
        <v>87718626919.161346</v>
      </c>
      <c r="H25" s="47">
        <v>0.29278799999999999</v>
      </c>
      <c r="I25" s="75">
        <v>7.7278436961874097E-3</v>
      </c>
      <c r="J25" s="47">
        <f t="shared" si="1"/>
        <v>13062551940.070591</v>
      </c>
      <c r="K25" s="132">
        <v>13062551940.070591</v>
      </c>
      <c r="L25" s="47">
        <v>1.1456729999999999</v>
      </c>
      <c r="M25" s="75">
        <v>4.4166750957710804E-2</v>
      </c>
      <c r="N25" s="47">
        <f t="shared" si="2"/>
        <v>74656074979.090607</v>
      </c>
      <c r="O25" s="132">
        <v>74656074979.090607</v>
      </c>
      <c r="P25" s="27"/>
      <c r="Q25" s="102"/>
    </row>
    <row r="26" spans="1:17" ht="15" customHeight="1" x14ac:dyDescent="0.2">
      <c r="A26" s="140"/>
      <c r="B26" s="10" t="s">
        <v>78</v>
      </c>
      <c r="C26" s="18">
        <v>15258</v>
      </c>
      <c r="D26" s="9">
        <f t="shared" si="0"/>
        <v>1941.7741273100617</v>
      </c>
      <c r="E26" s="44">
        <f>('Volume and Surface Area'!E26)</f>
        <v>1.5604039999999999</v>
      </c>
      <c r="F26" s="57">
        <f>('Volume and Surface Area'!G26)</f>
        <v>5.3247203870592799E-2</v>
      </c>
      <c r="G26" s="50">
        <f>('Mass (Upper bound)'!F26)</f>
        <v>90004973388.152039</v>
      </c>
      <c r="H26" s="47">
        <v>0.35154299999999999</v>
      </c>
      <c r="I26" s="75">
        <v>7.9438466561704505E-3</v>
      </c>
      <c r="J26" s="47">
        <f t="shared" si="1"/>
        <v>13427666711.398005</v>
      </c>
      <c r="K26" s="132">
        <v>13427666711.398005</v>
      </c>
      <c r="L26" s="47">
        <v>1.208861</v>
      </c>
      <c r="M26" s="75">
        <v>4.5303357214422399E-2</v>
      </c>
      <c r="N26" s="47">
        <f t="shared" si="2"/>
        <v>76577306676.75412</v>
      </c>
      <c r="O26" s="132">
        <v>76577306676.75412</v>
      </c>
      <c r="P26" s="27"/>
      <c r="Q26" s="102"/>
    </row>
    <row r="27" spans="1:17" ht="15" customHeight="1" x14ac:dyDescent="0.2">
      <c r="A27" s="140"/>
      <c r="B27" s="10" t="s">
        <v>80</v>
      </c>
      <c r="C27" s="18">
        <v>17400</v>
      </c>
      <c r="D27" s="9">
        <f t="shared" si="0"/>
        <v>1947.6386036960985</v>
      </c>
      <c r="E27" s="44">
        <f>('Volume and Surface Area'!E27)</f>
        <v>1.309963</v>
      </c>
      <c r="F27" s="57">
        <f>('Volume and Surface Area'!G27)</f>
        <v>4.8147918546154404E-2</v>
      </c>
      <c r="G27" s="50">
        <f>('Mass (Upper bound)'!F27)</f>
        <v>81385534120.691345</v>
      </c>
      <c r="H27" s="47">
        <v>0.13858999999999999</v>
      </c>
      <c r="I27" s="75">
        <v>3.1813515153183698E-3</v>
      </c>
      <c r="J27" s="47">
        <f t="shared" si="1"/>
        <v>5377511637.4274931</v>
      </c>
      <c r="K27" s="132">
        <v>5377511637.4274931</v>
      </c>
      <c r="L27" s="47">
        <v>1.171373</v>
      </c>
      <c r="M27" s="75">
        <v>4.4966567030835798E-2</v>
      </c>
      <c r="N27" s="47">
        <f t="shared" si="2"/>
        <v>76008022483.263474</v>
      </c>
      <c r="O27" s="132">
        <v>76008022483.263474</v>
      </c>
      <c r="P27" s="27"/>
      <c r="Q27" s="102"/>
    </row>
    <row r="28" spans="1:17" ht="15" customHeight="1" x14ac:dyDescent="0.2">
      <c r="A28" s="140"/>
      <c r="B28" s="10" t="s">
        <v>81</v>
      </c>
      <c r="C28" s="18">
        <v>18524</v>
      </c>
      <c r="D28" s="90">
        <f t="shared" si="0"/>
        <v>1950.7159479808352</v>
      </c>
      <c r="E28" s="44">
        <f>('Volume and Surface Area'!E28)</f>
        <v>1.333545</v>
      </c>
      <c r="F28" s="57">
        <f>('Volume and Surface Area'!G28)</f>
        <v>4.9525061815395698E-2</v>
      </c>
      <c r="G28" s="50">
        <f>('Mass (Upper bound)'!F28)</f>
        <v>83713351062.985107</v>
      </c>
      <c r="H28" s="47">
        <v>7.6898999999999995E-2</v>
      </c>
      <c r="I28" s="75">
        <v>1.6395773016064199E-3</v>
      </c>
      <c r="J28" s="47">
        <f t="shared" si="1"/>
        <v>2771415223.1832685</v>
      </c>
      <c r="K28" s="132">
        <v>2771415223.1832685</v>
      </c>
      <c r="L28" s="47">
        <v>1.2566459999999999</v>
      </c>
      <c r="M28" s="75">
        <v>4.7885484513789399E-2</v>
      </c>
      <c r="N28" s="47">
        <f t="shared" si="2"/>
        <v>80941935839.802048</v>
      </c>
      <c r="O28" s="132">
        <v>80941935839.802048</v>
      </c>
      <c r="P28" s="27"/>
      <c r="Q28" s="102"/>
    </row>
    <row r="29" spans="1:17" ht="15" customHeight="1" x14ac:dyDescent="0.2">
      <c r="A29" s="140"/>
      <c r="B29" s="10" t="s">
        <v>83</v>
      </c>
      <c r="C29" s="18">
        <v>19283</v>
      </c>
      <c r="D29" s="9">
        <f t="shared" si="0"/>
        <v>1952.7939767282683</v>
      </c>
      <c r="E29" s="44">
        <f>('Volume and Surface Area'!E29)</f>
        <v>1.891308</v>
      </c>
      <c r="F29" s="57">
        <f>('Volume and Surface Area'!G29)</f>
        <v>7.22146208356991E-2</v>
      </c>
      <c r="G29" s="50">
        <f>('Mass (Upper bound)'!F29)</f>
        <v>122066034534.8614</v>
      </c>
      <c r="H29" s="47">
        <v>0.53168899999999997</v>
      </c>
      <c r="I29" s="75">
        <v>1.4352557709107799E-2</v>
      </c>
      <c r="J29" s="47">
        <f t="shared" si="1"/>
        <v>24260458404.532223</v>
      </c>
      <c r="K29" s="132">
        <v>24260458404.532223</v>
      </c>
      <c r="L29" s="47">
        <v>1.3596189999999999</v>
      </c>
      <c r="M29" s="75">
        <v>5.7862063126591701E-2</v>
      </c>
      <c r="N29" s="47">
        <f t="shared" si="2"/>
        <v>97805576130.329865</v>
      </c>
      <c r="O29" s="132">
        <v>97805576130.329865</v>
      </c>
      <c r="P29" s="27"/>
      <c r="Q29" s="102"/>
    </row>
    <row r="30" spans="1:17" ht="15" customHeight="1" x14ac:dyDescent="0.2">
      <c r="A30" s="140"/>
      <c r="B30" s="10" t="s">
        <v>85</v>
      </c>
      <c r="C30" s="18">
        <v>19643</v>
      </c>
      <c r="D30" s="90">
        <f t="shared" si="0"/>
        <v>1953.7796030116358</v>
      </c>
      <c r="E30" s="44">
        <f>('Volume and Surface Area'!E30)</f>
        <v>1.9324319999999999</v>
      </c>
      <c r="F30" s="57">
        <f>('Volume and Surface Area'!G30)</f>
        <v>8.1129472532884203E-2</v>
      </c>
      <c r="G30" s="50">
        <f>('Mass (Upper bound)'!F30)</f>
        <v>137135013400.20244</v>
      </c>
      <c r="H30" s="47">
        <v>0.54779</v>
      </c>
      <c r="I30" s="75">
        <v>1.7722460763028702E-2</v>
      </c>
      <c r="J30" s="47">
        <f t="shared" si="1"/>
        <v>29956683044.344963</v>
      </c>
      <c r="K30" s="132">
        <v>29956683044.344963</v>
      </c>
      <c r="L30" s="47">
        <v>1.3846419999999999</v>
      </c>
      <c r="M30" s="75">
        <v>6.3407011769854804E-2</v>
      </c>
      <c r="N30" s="47">
        <f t="shared" si="2"/>
        <v>107178330355.85629</v>
      </c>
      <c r="O30" s="132">
        <v>107178330355.85629</v>
      </c>
      <c r="P30" s="27"/>
      <c r="Q30" s="102"/>
    </row>
    <row r="31" spans="1:17" ht="15" customHeight="1" x14ac:dyDescent="0.2">
      <c r="A31" s="136" t="s">
        <v>87</v>
      </c>
      <c r="B31" s="10" t="s">
        <v>88</v>
      </c>
      <c r="C31" s="18">
        <v>21927</v>
      </c>
      <c r="D31" s="9">
        <f t="shared" si="0"/>
        <v>1960.0328542094455</v>
      </c>
      <c r="E31" s="44">
        <f>('Volume and Surface Area'!E31)</f>
        <v>2.0800179999999999</v>
      </c>
      <c r="F31" s="57">
        <f>('Volume and Surface Area'!G31)</f>
        <v>9.8141615579935698E-2</v>
      </c>
      <c r="G31" s="50">
        <f>('Mass (Upper bound)'!F31)</f>
        <v>165891030071.92368</v>
      </c>
      <c r="H31" s="47">
        <v>0.506463</v>
      </c>
      <c r="I31" s="75">
        <v>2.2006087069160199E-2</v>
      </c>
      <c r="J31" s="47">
        <f t="shared" si="1"/>
        <v>37197395113.004082</v>
      </c>
      <c r="K31" s="132">
        <v>37197395113.004082</v>
      </c>
      <c r="L31" s="47">
        <v>1.573555</v>
      </c>
      <c r="M31" s="75">
        <v>7.6135528510775111E-2</v>
      </c>
      <c r="N31" s="47">
        <f t="shared" si="2"/>
        <v>128693634958.91891</v>
      </c>
      <c r="O31" s="132">
        <v>128693634958.91891</v>
      </c>
      <c r="P31" s="27"/>
      <c r="Q31" s="102"/>
    </row>
    <row r="32" spans="1:17" ht="15" customHeight="1" x14ac:dyDescent="0.2">
      <c r="A32" s="136"/>
      <c r="B32" s="10" t="s">
        <v>90</v>
      </c>
      <c r="C32" s="18">
        <v>23085</v>
      </c>
      <c r="D32" s="9">
        <f t="shared" si="0"/>
        <v>1963.2032854209447</v>
      </c>
      <c r="E32" s="44">
        <f>('Volume and Surface Area'!E32)</f>
        <v>2.0051540000000001</v>
      </c>
      <c r="F32" s="57">
        <f>('Volume and Surface Area'!G32)</f>
        <v>0.106444735918722</v>
      </c>
      <c r="G32" s="50">
        <f>('Mass (Upper bound)'!F32)</f>
        <v>185113600574.48853</v>
      </c>
      <c r="H32" s="47">
        <v>0.51164299999999996</v>
      </c>
      <c r="I32" s="75">
        <v>2.76666978448156E-2</v>
      </c>
      <c r="J32" s="47">
        <f>(((I32-I31)*1000000000)*2315.102)+J31</f>
        <v>50302286440.94545</v>
      </c>
      <c r="K32" s="132">
        <v>50302286440.94545</v>
      </c>
      <c r="L32" s="47">
        <v>1.493511</v>
      </c>
      <c r="M32" s="75">
        <v>7.8778038073906598E-2</v>
      </c>
      <c r="N32" s="47">
        <f>(((M32-M31)*1000000000)*2315.102)+N31</f>
        <v>134811314133.54375</v>
      </c>
      <c r="O32" s="132">
        <v>134811314133.54375</v>
      </c>
      <c r="P32" s="27"/>
      <c r="Q32" s="102"/>
    </row>
    <row r="33" spans="1:17" ht="15" customHeight="1" x14ac:dyDescent="0.2">
      <c r="A33" s="136"/>
      <c r="B33" s="10" t="s">
        <v>96</v>
      </c>
      <c r="C33" s="18">
        <v>31260</v>
      </c>
      <c r="D33" s="9">
        <f t="shared" si="0"/>
        <v>1985.5852156057495</v>
      </c>
      <c r="E33" s="44">
        <f>('Volume and Surface Area'!E33)</f>
        <v>2.412588</v>
      </c>
      <c r="F33" s="57">
        <f>('Volume and Surface Area'!G33)</f>
        <v>0.107542091964641</v>
      </c>
      <c r="G33" s="50">
        <f>('Mass (Upper bound)'!F33)</f>
        <v>187654091751.1077</v>
      </c>
      <c r="H33" s="47">
        <v>0.82996999999999999</v>
      </c>
      <c r="I33" s="75">
        <v>3.1290554165506801E-2</v>
      </c>
      <c r="J33" s="47">
        <f t="shared" ref="J33:J36" si="3">(((I33-I32)*1000000000)*2315.102)+J32</f>
        <v>58691883456.690292</v>
      </c>
      <c r="K33" s="132">
        <v>58691883456.690292</v>
      </c>
      <c r="L33" s="47">
        <v>1.5826180000000001</v>
      </c>
      <c r="M33" s="75">
        <v>7.62515377991346E-2</v>
      </c>
      <c r="N33" s="47">
        <f t="shared" ref="N33:N36" si="4">(((M33-M32)*1000000000)*2315.102)+N32</f>
        <v>128962208294.41855</v>
      </c>
      <c r="O33" s="132">
        <v>128962208294.41855</v>
      </c>
      <c r="P33" s="27"/>
      <c r="Q33" s="102"/>
    </row>
    <row r="34" spans="1:17" ht="15" customHeight="1" x14ac:dyDescent="0.2">
      <c r="A34" s="136"/>
      <c r="B34" s="10">
        <v>1990</v>
      </c>
      <c r="C34" s="91" t="s">
        <v>141</v>
      </c>
      <c r="D34" s="90">
        <v>1990.5</v>
      </c>
      <c r="E34" s="44">
        <f>('Volume and Surface Area'!E34)</f>
        <v>2.5879409999999998</v>
      </c>
      <c r="F34" s="57">
        <f>('Volume and Surface Area'!G34)</f>
        <v>0.134152359108835</v>
      </c>
      <c r="G34" s="50">
        <f>('Mass (Upper bound)'!F34)</f>
        <v>249259574437.1655</v>
      </c>
      <c r="H34" s="47">
        <v>0.96214200000000005</v>
      </c>
      <c r="I34" s="75">
        <v>4.6943548825770599E-2</v>
      </c>
      <c r="J34" s="47">
        <f t="shared" si="3"/>
        <v>94930162700.656342</v>
      </c>
      <c r="K34" s="132">
        <v>94930162700.656342</v>
      </c>
      <c r="L34" s="47">
        <v>1.625799</v>
      </c>
      <c r="M34" s="75">
        <v>8.7208810283063987E-2</v>
      </c>
      <c r="N34" s="47">
        <f t="shared" si="4"/>
        <v>154329411736.50842</v>
      </c>
      <c r="O34" s="132">
        <v>154329411736.50842</v>
      </c>
      <c r="P34" s="27"/>
      <c r="Q34" s="102"/>
    </row>
    <row r="35" spans="1:17" ht="15" customHeight="1" x14ac:dyDescent="0.2">
      <c r="A35" s="136"/>
      <c r="B35" s="10" t="s">
        <v>99</v>
      </c>
      <c r="C35" s="91" t="s">
        <v>141</v>
      </c>
      <c r="D35" s="9">
        <v>2012.5</v>
      </c>
      <c r="E35" s="44">
        <f>('Volume and Surface Area'!E35)</f>
        <v>3.2157768985170603</v>
      </c>
      <c r="F35" s="57">
        <f>('Volume and Surface Area'!G35)</f>
        <v>0.163279080410553</v>
      </c>
      <c r="G35" s="50">
        <f>('Mass (Upper bound)'!F35)</f>
        <v>316690905176.21545</v>
      </c>
      <c r="H35" s="47">
        <v>1.1256113524587001</v>
      </c>
      <c r="I35" s="75">
        <v>5.6834047741579602E-2</v>
      </c>
      <c r="J35" s="47">
        <f t="shared" si="3"/>
        <v>117827676521.64359</v>
      </c>
      <c r="K35" s="132">
        <v>117827676521.64359</v>
      </c>
      <c r="L35" s="47">
        <v>2.0901655460577802</v>
      </c>
      <c r="M35" s="75">
        <v>0.10644503266894401</v>
      </c>
      <c r="N35" s="47">
        <f>(((M35-M34)*1000000000)*2315.102)+N34</f>
        <v>198863228654.50403</v>
      </c>
      <c r="O35" s="132">
        <v>198863228654.50403</v>
      </c>
      <c r="P35" s="27"/>
      <c r="Q35" s="102"/>
    </row>
    <row r="36" spans="1:17" ht="15" customHeight="1" x14ac:dyDescent="0.2">
      <c r="A36" s="136"/>
      <c r="B36" s="15" t="s">
        <v>101</v>
      </c>
      <c r="C36" s="18">
        <v>43435</v>
      </c>
      <c r="D36" s="9">
        <f>(C36/365.25)+1900</f>
        <v>2018.9185489390829</v>
      </c>
      <c r="E36" s="44">
        <f>('Volume and Surface Area'!E36)</f>
        <v>2.8548</v>
      </c>
      <c r="F36" s="57">
        <f>('Volume and Surface Area'!G36)</f>
        <v>0.17371874106629701</v>
      </c>
      <c r="G36" s="50">
        <f>('Mass (Upper bound)'!F36)</f>
        <v>340859784439.64966</v>
      </c>
      <c r="H36" s="47">
        <v>0.99539999999999995</v>
      </c>
      <c r="I36" s="75">
        <v>6.9058103617283595E-2</v>
      </c>
      <c r="J36" s="47">
        <f t="shared" si="3"/>
        <v>146127612727.59766</v>
      </c>
      <c r="K36" s="132">
        <v>146127612727.59766</v>
      </c>
      <c r="L36" s="47">
        <v>1.8593999999999999</v>
      </c>
      <c r="M36" s="75">
        <v>0.10466063744901299</v>
      </c>
      <c r="N36" s="47">
        <f t="shared" si="4"/>
        <v>194732171712.0513</v>
      </c>
      <c r="O36" s="132">
        <v>194732171712.0513</v>
      </c>
      <c r="P36" s="27"/>
      <c r="Q36" s="102"/>
    </row>
    <row r="37" spans="1:17" ht="15" customHeight="1" x14ac:dyDescent="0.25">
      <c r="A37" s="147" t="s">
        <v>103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27"/>
      <c r="Q37" s="102"/>
    </row>
    <row r="38" spans="1:17" ht="15" customHeight="1" x14ac:dyDescent="0.2">
      <c r="A38" s="140" t="s">
        <v>143</v>
      </c>
      <c r="B38" s="15" t="s">
        <v>106</v>
      </c>
      <c r="C38" s="18">
        <v>43456</v>
      </c>
      <c r="D38" s="9">
        <f>(C38/365.25)+1900</f>
        <v>2018.9760438056126</v>
      </c>
      <c r="E38" s="44">
        <f>('Volume and Surface Area'!E38)</f>
        <v>1.5206</v>
      </c>
      <c r="F38" s="57">
        <f>('Volume and Surface Area'!G38)</f>
        <v>5.72793550141001E-2</v>
      </c>
      <c r="G38" s="50">
        <f>('Mass (Upper bound)'!F38)</f>
        <v>102365873478.1846</v>
      </c>
      <c r="H38" s="47">
        <v>0</v>
      </c>
      <c r="I38" s="47">
        <v>0</v>
      </c>
      <c r="J38" s="47">
        <v>0</v>
      </c>
      <c r="K38" s="132">
        <v>0</v>
      </c>
      <c r="L38" s="47">
        <v>1.5206</v>
      </c>
      <c r="M38" s="75">
        <v>5.72793550141001E-2</v>
      </c>
      <c r="N38" s="47">
        <f>G38</f>
        <v>102365873478.1846</v>
      </c>
      <c r="O38" s="134">
        <v>102365873478.1846</v>
      </c>
      <c r="P38" s="27"/>
      <c r="Q38" s="102"/>
    </row>
    <row r="39" spans="1:17" ht="15" customHeight="1" x14ac:dyDescent="0.2">
      <c r="A39" s="140"/>
      <c r="B39" s="15" t="s">
        <v>108</v>
      </c>
      <c r="C39" s="18">
        <v>43475</v>
      </c>
      <c r="D39" s="9">
        <f t="shared" ref="D39" si="5">(C39/365.25)+1900</f>
        <v>2019.028062970568</v>
      </c>
      <c r="E39" s="44">
        <f>('Volume and Surface Area'!E39)</f>
        <v>2.9983309999999999</v>
      </c>
      <c r="F39" s="57">
        <f>('Volume and Surface Area'!G39)</f>
        <v>0.105707752344082</v>
      </c>
      <c r="G39" s="50">
        <f>('Mass (Upper bound)'!F39)</f>
        <v>184225507338.19159</v>
      </c>
      <c r="H39" s="47">
        <v>0.70535400000000004</v>
      </c>
      <c r="I39" s="75">
        <v>1.48360514505402E-2</v>
      </c>
      <c r="J39" s="47">
        <f>(I39*1000000000)*1690.323</f>
        <v>25077718996.031464</v>
      </c>
      <c r="K39" s="132">
        <v>25077718996.031464</v>
      </c>
      <c r="L39" s="47">
        <v>2.292977</v>
      </c>
      <c r="M39" s="75">
        <v>9.0871700893542309E-2</v>
      </c>
      <c r="N39" s="47">
        <f>(((M39-M38)*1000000000)*1690.323)+N38</f>
        <v>159147788342.16101</v>
      </c>
      <c r="O39" s="132">
        <v>159147788342.16101</v>
      </c>
      <c r="P39" s="27"/>
      <c r="Q39" s="102"/>
    </row>
    <row r="40" spans="1:17" ht="15" customHeight="1" x14ac:dyDescent="0.2">
      <c r="A40" s="140"/>
      <c r="B40" s="15" t="s">
        <v>111</v>
      </c>
      <c r="C40" s="18">
        <v>43692</v>
      </c>
      <c r="D40" s="9">
        <f>(C40/365.25)+1900</f>
        <v>2019.6221765913758</v>
      </c>
      <c r="E40" s="44">
        <f>('Volume and Surface Area'!E40)</f>
        <v>2.9763897697221102</v>
      </c>
      <c r="F40" s="57">
        <f>('Volume and Surface Area'!G40)</f>
        <v>0.126600698962967</v>
      </c>
      <c r="G40" s="50">
        <f>('Mass (Upper bound)'!F40)</f>
        <v>219541335545.86517</v>
      </c>
      <c r="H40" s="47">
        <v>0.656098626086426</v>
      </c>
      <c r="I40" s="75">
        <v>1.44020403779451E-2</v>
      </c>
      <c r="J40" s="47">
        <f>(((I40-I39)*1000000000)*1690.323)+J39</f>
        <v>24344100097.769295</v>
      </c>
      <c r="K40" s="132">
        <v>24344100097.769295</v>
      </c>
      <c r="L40" s="47">
        <v>2.3202911436351199</v>
      </c>
      <c r="M40" s="75">
        <v>0.112198658584997</v>
      </c>
      <c r="N40" s="47">
        <f>(((M40-M39)*1000000000)*1690.323)+N39</f>
        <v>195197235448.05377</v>
      </c>
      <c r="O40" s="132">
        <v>195197235448.05377</v>
      </c>
      <c r="P40" s="27"/>
      <c r="Q40" s="102"/>
    </row>
    <row r="41" spans="1:17" ht="15" customHeight="1" x14ac:dyDescent="0.2">
      <c r="A41" s="141" t="s">
        <v>115</v>
      </c>
      <c r="B41" s="15" t="s">
        <v>118</v>
      </c>
      <c r="C41" s="18">
        <v>44373</v>
      </c>
      <c r="D41" s="9">
        <f>(C41/365.25)+1900</f>
        <v>2021.4866529774126</v>
      </c>
      <c r="E41" s="44">
        <f>('Volume and Surface Area'!E41)</f>
        <v>2.8382057500208502</v>
      </c>
      <c r="F41" s="57">
        <f>('Volume and Surface Area'!G41)</f>
        <v>0.13365868570717199</v>
      </c>
      <c r="G41" s="50">
        <f>('Mass (Upper bound)'!F41)</f>
        <v>235881294773.34766</v>
      </c>
      <c r="H41" s="47">
        <v>0.64791588662984001</v>
      </c>
      <c r="I41" s="75">
        <v>1.88896179320804E-2</v>
      </c>
      <c r="J41" s="47">
        <f>(((I41-I40)*1000000000)*2315.102)+J40</f>
        <v>34733299868.503036</v>
      </c>
      <c r="K41" s="132">
        <v>34733299868.503036</v>
      </c>
      <c r="L41" s="47">
        <v>2.1902898550207199</v>
      </c>
      <c r="M41" s="75">
        <v>0.11476906777506864</v>
      </c>
      <c r="N41" s="47">
        <f>(((M41-M40)*1000000000)*2315.102)+N40</f>
        <v>201147994904.80701</v>
      </c>
      <c r="O41" s="132">
        <v>201147994904.80701</v>
      </c>
      <c r="P41" s="27"/>
      <c r="Q41" s="102"/>
    </row>
    <row r="42" spans="1:17" ht="15" customHeight="1" x14ac:dyDescent="0.2">
      <c r="A42" s="141"/>
      <c r="B42" s="43" t="s">
        <v>119</v>
      </c>
      <c r="C42" s="54">
        <v>45089</v>
      </c>
      <c r="D42" s="55">
        <f>(C42/365.25)+1900</f>
        <v>2023.4469541409994</v>
      </c>
      <c r="E42" s="44">
        <f>('Volume and Surface Area'!E42)</f>
        <v>3.12829857038163</v>
      </c>
      <c r="F42" s="57">
        <f>('Volume and Surface Area'!G42)</f>
        <v>0.15552923179039801</v>
      </c>
      <c r="G42" s="50">
        <f>('Mass (Upper bound)'!F42)</f>
        <v>286513839751.71637</v>
      </c>
      <c r="H42" s="47">
        <v>0.83515595777699003</v>
      </c>
      <c r="I42" s="75">
        <v>3.3645564309970198E-2</v>
      </c>
      <c r="J42" s="47">
        <f>(((I42-I41)*1000000000)*2315.102)+J41</f>
        <v>68894820839.848465</v>
      </c>
      <c r="K42" s="132">
        <v>68894820839.848465</v>
      </c>
      <c r="L42" s="47">
        <v>2.2929388136933504</v>
      </c>
      <c r="M42" s="75">
        <v>0.12188279840381301</v>
      </c>
      <c r="N42" s="47">
        <f>(((M42-M41)*1000000000)*2315.102)+N41</f>
        <v>217617006910.87436</v>
      </c>
      <c r="O42" s="132">
        <v>217617006910.87436</v>
      </c>
      <c r="P42" s="27"/>
      <c r="Q42" s="30"/>
    </row>
    <row r="43" spans="1:17" x14ac:dyDescent="0.2">
      <c r="D43" s="27"/>
      <c r="E43" s="32"/>
      <c r="G43" s="27"/>
      <c r="I43" s="98"/>
      <c r="J43" s="27"/>
      <c r="K43" s="27"/>
    </row>
    <row r="44" spans="1:17" x14ac:dyDescent="0.2">
      <c r="C44" s="92"/>
      <c r="D44" s="27"/>
      <c r="G44" s="27"/>
      <c r="H44" s="30"/>
      <c r="N44" s="98"/>
      <c r="P44" s="27"/>
    </row>
    <row r="45" spans="1:17" x14ac:dyDescent="0.2">
      <c r="C45" s="92"/>
      <c r="D45" s="27"/>
      <c r="G45" s="27"/>
      <c r="H45" s="30"/>
      <c r="I45" s="34"/>
      <c r="P45" s="30"/>
    </row>
    <row r="46" spans="1:17" x14ac:dyDescent="0.2">
      <c r="C46" s="92"/>
      <c r="D46" s="27"/>
      <c r="E46" s="27"/>
      <c r="F46" s="100"/>
      <c r="H46" s="30"/>
      <c r="I46" s="34"/>
      <c r="J46" s="30"/>
      <c r="K46" s="30"/>
      <c r="N46" s="101"/>
      <c r="P46" s="30"/>
    </row>
    <row r="47" spans="1:17" x14ac:dyDescent="0.2">
      <c r="C47" s="92"/>
      <c r="D47" s="27"/>
      <c r="F47" s="100"/>
      <c r="J47" s="93"/>
      <c r="K47" s="93"/>
      <c r="M47" s="27"/>
      <c r="N47" s="101"/>
      <c r="P47" s="101"/>
    </row>
    <row r="48" spans="1:17" x14ac:dyDescent="0.2">
      <c r="C48" s="32"/>
      <c r="D48" s="27"/>
      <c r="F48" s="100"/>
      <c r="H48" s="27"/>
      <c r="J48" s="97"/>
      <c r="K48" s="97"/>
      <c r="N48" s="38"/>
      <c r="P48" s="101"/>
    </row>
    <row r="49" spans="9:16" x14ac:dyDescent="0.2">
      <c r="J49" s="97"/>
      <c r="K49" s="97"/>
      <c r="N49" s="101"/>
      <c r="P49" s="105"/>
    </row>
    <row r="50" spans="9:16" x14ac:dyDescent="0.2">
      <c r="I50" s="33"/>
      <c r="N50" s="101"/>
      <c r="P50" s="105"/>
    </row>
    <row r="51" spans="9:16" x14ac:dyDescent="0.2">
      <c r="J51" s="27"/>
      <c r="K51" s="27"/>
      <c r="N51" s="27"/>
      <c r="P51" s="105"/>
    </row>
    <row r="55" spans="9:16" x14ac:dyDescent="0.2">
      <c r="I55" s="27"/>
      <c r="P55" s="104"/>
    </row>
    <row r="56" spans="9:16" x14ac:dyDescent="0.2">
      <c r="P56" s="104"/>
    </row>
    <row r="57" spans="9:16" x14ac:dyDescent="0.2">
      <c r="P57" s="104"/>
    </row>
    <row r="58" spans="9:16" x14ac:dyDescent="0.2">
      <c r="P58" s="104"/>
    </row>
  </sheetData>
  <mergeCells count="7">
    <mergeCell ref="A41:A42"/>
    <mergeCell ref="C1:D1"/>
    <mergeCell ref="A2:A8"/>
    <mergeCell ref="A9:A30"/>
    <mergeCell ref="A31:A36"/>
    <mergeCell ref="A37:O37"/>
    <mergeCell ref="A38:A4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E500-22D5-42C8-8379-0DF7B6498571}">
  <dimension ref="A1:Q58"/>
  <sheetViews>
    <sheetView topLeftCell="H1" zoomScaleNormal="100" workbookViewId="0">
      <pane ySplit="1" topLeftCell="A27" activePane="bottomLeft" state="frozen"/>
      <selection pane="bottomLeft" activeCell="K42" sqref="K42"/>
    </sheetView>
  </sheetViews>
  <sheetFormatPr defaultRowHeight="14.25" x14ac:dyDescent="0.2"/>
  <cols>
    <col min="1" max="1" width="22.7109375" style="2" customWidth="1"/>
    <col min="2" max="2" width="20.7109375" style="2" customWidth="1"/>
    <col min="3" max="4" width="12.7109375" style="2" customWidth="1"/>
    <col min="5" max="6" width="14.7109375" style="2" customWidth="1"/>
    <col min="7" max="7" width="18.7109375" style="2" customWidth="1"/>
    <col min="8" max="9" width="13.7109375" style="2" customWidth="1"/>
    <col min="10" max="11" width="18.7109375" style="2" customWidth="1"/>
    <col min="12" max="13" width="13.7109375" style="2" customWidth="1"/>
    <col min="14" max="14" width="18.7109375" style="2" customWidth="1"/>
    <col min="15" max="15" width="18.85546875" style="2" customWidth="1"/>
    <col min="16" max="18" width="9.140625" style="2" customWidth="1"/>
    <col min="19" max="16384" width="9.140625" style="2"/>
  </cols>
  <sheetData>
    <row r="1" spans="1:17" ht="32.25" x14ac:dyDescent="0.2">
      <c r="A1" s="42" t="s">
        <v>166</v>
      </c>
      <c r="B1" s="42" t="s">
        <v>167</v>
      </c>
      <c r="C1" s="138" t="s">
        <v>122</v>
      </c>
      <c r="D1" s="138"/>
      <c r="E1" s="5" t="s">
        <v>168</v>
      </c>
      <c r="F1" s="5" t="s">
        <v>169</v>
      </c>
      <c r="G1" s="5" t="s">
        <v>170</v>
      </c>
      <c r="H1" s="5" t="s">
        <v>171</v>
      </c>
      <c r="I1" s="5" t="s">
        <v>172</v>
      </c>
      <c r="J1" s="42" t="s">
        <v>173</v>
      </c>
      <c r="K1" s="5" t="s">
        <v>186</v>
      </c>
      <c r="L1" s="5" t="s">
        <v>174</v>
      </c>
      <c r="M1" s="5" t="s">
        <v>175</v>
      </c>
      <c r="N1" s="42" t="s">
        <v>176</v>
      </c>
      <c r="O1" s="5" t="s">
        <v>187</v>
      </c>
    </row>
    <row r="2" spans="1:17" ht="15" customHeight="1" x14ac:dyDescent="0.2">
      <c r="A2" s="139" t="s">
        <v>12</v>
      </c>
      <c r="B2" s="10"/>
      <c r="C2" s="20">
        <v>10621</v>
      </c>
      <c r="D2" s="9">
        <f t="shared" ref="D2:D33" si="0">(C2/365.25)+1900</f>
        <v>1929.07871321013</v>
      </c>
      <c r="E2" s="44">
        <f>('Volume and Surface Area'!E2)</f>
        <v>0</v>
      </c>
      <c r="F2" s="45">
        <f>('Volume and Surface Area'!G2)</f>
        <v>0</v>
      </c>
      <c r="G2" s="50">
        <f>('Mass (Lower bound)'!F2)</f>
        <v>0</v>
      </c>
      <c r="H2" s="47">
        <v>0</v>
      </c>
      <c r="I2" s="47">
        <v>0</v>
      </c>
      <c r="J2" s="47">
        <f>(I2*1000000000)*1690.323</f>
        <v>0</v>
      </c>
      <c r="K2" s="132">
        <f>J2</f>
        <v>0</v>
      </c>
      <c r="L2" s="47">
        <v>0</v>
      </c>
      <c r="M2" s="47">
        <v>0</v>
      </c>
      <c r="N2" s="47">
        <f>(M2*1000000000)*1690.323</f>
        <v>0</v>
      </c>
      <c r="O2" s="132">
        <f>N2</f>
        <v>0</v>
      </c>
      <c r="P2" s="27"/>
      <c r="Q2" s="102"/>
    </row>
    <row r="3" spans="1:17" ht="15" customHeight="1" x14ac:dyDescent="0.2">
      <c r="A3" s="145"/>
      <c r="B3" s="14" t="s">
        <v>25</v>
      </c>
      <c r="C3" s="18">
        <v>10693</v>
      </c>
      <c r="D3" s="9">
        <f t="shared" si="0"/>
        <v>1929.2758384668036</v>
      </c>
      <c r="E3" s="44">
        <f>('Volume and Surface Area'!E3)</f>
        <v>2.8476999999999999E-2</v>
      </c>
      <c r="F3" s="57">
        <f>('Volume and Surface Area'!G3)</f>
        <v>2.5631952689272202E-4</v>
      </c>
      <c r="G3" s="50">
        <f>('Mass (Lower bound)'!F3)</f>
        <v>433262791.65588659</v>
      </c>
      <c r="H3" s="47">
        <v>1.6150999999999999E-2</v>
      </c>
      <c r="I3" s="75">
        <v>1.54492507334018E-4</v>
      </c>
      <c r="J3" s="47">
        <f t="shared" ref="J3:J31" si="1">(I3*1000000000)*1690.323</f>
        <v>261142238.47435933</v>
      </c>
      <c r="K3" s="132">
        <f>J3</f>
        <v>261142238.47435933</v>
      </c>
      <c r="L3" s="47">
        <v>1.2326E-2</v>
      </c>
      <c r="M3" s="75">
        <v>1.0182701955870401E-4</v>
      </c>
      <c r="N3" s="47">
        <f t="shared" ref="N3:N31" si="2">(M3*1000000000)*1690.323</f>
        <v>172120553.18152726</v>
      </c>
      <c r="O3" s="132">
        <f>N3</f>
        <v>172120553.18152726</v>
      </c>
      <c r="P3" s="27"/>
      <c r="Q3" s="102"/>
    </row>
    <row r="4" spans="1:17" ht="15" customHeight="1" x14ac:dyDescent="0.2">
      <c r="A4" s="145"/>
      <c r="B4" s="14"/>
      <c r="C4" s="18">
        <v>10777</v>
      </c>
      <c r="D4" s="90">
        <f t="shared" si="0"/>
        <v>1929.5058179329226</v>
      </c>
      <c r="E4" s="44">
        <f>('Volume and Surface Area'!E4)</f>
        <v>0</v>
      </c>
      <c r="F4" s="45">
        <f>('Volume and Surface Area'!G4)</f>
        <v>0</v>
      </c>
      <c r="G4" s="50">
        <f>('Mass (Lower bound)'!F4)</f>
        <v>0</v>
      </c>
      <c r="H4" s="47">
        <v>0</v>
      </c>
      <c r="I4" s="47">
        <v>0</v>
      </c>
      <c r="J4" s="47">
        <f t="shared" si="1"/>
        <v>0</v>
      </c>
      <c r="K4" s="132">
        <f t="shared" ref="K4:K36" si="3">J4</f>
        <v>0</v>
      </c>
      <c r="L4" s="47">
        <v>0</v>
      </c>
      <c r="M4" s="47">
        <v>0</v>
      </c>
      <c r="N4" s="47">
        <f t="shared" si="2"/>
        <v>0</v>
      </c>
      <c r="O4" s="132">
        <f t="shared" ref="O4:O36" si="4">N4</f>
        <v>0</v>
      </c>
      <c r="P4" s="27"/>
      <c r="Q4" s="102"/>
    </row>
    <row r="5" spans="1:17" ht="15" customHeight="1" x14ac:dyDescent="0.2">
      <c r="A5" s="145"/>
      <c r="B5" s="14"/>
      <c r="C5" s="18">
        <v>11112</v>
      </c>
      <c r="D5" s="9">
        <f t="shared" si="0"/>
        <v>1930.422997946612</v>
      </c>
      <c r="E5" s="44">
        <f>('Volume and Surface Area'!E5)</f>
        <v>0</v>
      </c>
      <c r="F5" s="45">
        <f>('Volume and Surface Area'!G5)</f>
        <v>0</v>
      </c>
      <c r="G5" s="50">
        <f>('Mass (Lower bound)'!F5)</f>
        <v>0</v>
      </c>
      <c r="H5" s="47">
        <v>0</v>
      </c>
      <c r="I5" s="47">
        <v>0</v>
      </c>
      <c r="J5" s="47">
        <f t="shared" si="1"/>
        <v>0</v>
      </c>
      <c r="K5" s="132">
        <f t="shared" si="3"/>
        <v>0</v>
      </c>
      <c r="L5" s="47">
        <v>0</v>
      </c>
      <c r="M5" s="47">
        <v>0</v>
      </c>
      <c r="N5" s="47">
        <f t="shared" si="2"/>
        <v>0</v>
      </c>
      <c r="O5" s="132">
        <f t="shared" si="4"/>
        <v>0</v>
      </c>
      <c r="P5" s="27"/>
      <c r="Q5" s="102"/>
    </row>
    <row r="6" spans="1:17" ht="15" customHeight="1" x14ac:dyDescent="0.2">
      <c r="A6" s="145"/>
      <c r="B6" s="14" t="s">
        <v>30</v>
      </c>
      <c r="C6" s="18">
        <v>11140</v>
      </c>
      <c r="D6" s="9">
        <f t="shared" si="0"/>
        <v>1930.4996577686516</v>
      </c>
      <c r="E6" s="44">
        <f>('Volume and Surface Area'!E6)</f>
        <v>4.3865000000000001E-2</v>
      </c>
      <c r="F6" s="57">
        <f>('Volume and Surface Area'!G6)</f>
        <v>1.0761725028993999E-3</v>
      </c>
      <c r="G6" s="50">
        <f>('Mass (Lower bound)'!F6)</f>
        <v>1819079133.6184225</v>
      </c>
      <c r="H6" s="47">
        <v>2.944E-3</v>
      </c>
      <c r="I6" s="75">
        <v>6.2005353104495797E-5</v>
      </c>
      <c r="J6" s="47">
        <f t="shared" si="1"/>
        <v>104809074.47565065</v>
      </c>
      <c r="K6" s="132">
        <f t="shared" si="3"/>
        <v>104809074.47565065</v>
      </c>
      <c r="L6" s="47">
        <v>4.0920999999999999E-2</v>
      </c>
      <c r="M6" s="75">
        <v>1.0141671497949001E-3</v>
      </c>
      <c r="N6" s="47">
        <f t="shared" si="2"/>
        <v>1714270059.142765</v>
      </c>
      <c r="O6" s="132">
        <f t="shared" si="4"/>
        <v>1714270059.142765</v>
      </c>
      <c r="P6" s="27"/>
      <c r="Q6" s="102"/>
    </row>
    <row r="7" spans="1:17" ht="15" customHeight="1" x14ac:dyDescent="0.2">
      <c r="A7" s="145"/>
      <c r="B7" s="14"/>
      <c r="C7" s="18">
        <v>11178</v>
      </c>
      <c r="D7" s="90">
        <f t="shared" si="0"/>
        <v>1930.6036960985625</v>
      </c>
      <c r="E7" s="44">
        <f>('Volume and Surface Area'!E7)</f>
        <v>0</v>
      </c>
      <c r="F7" s="45">
        <f>('Volume and Surface Area'!G7)</f>
        <v>0</v>
      </c>
      <c r="G7" s="50">
        <f>('Mass (Lower bound)'!F7)</f>
        <v>0</v>
      </c>
      <c r="H7" s="47">
        <v>0</v>
      </c>
      <c r="I7" s="47">
        <v>0</v>
      </c>
      <c r="J7" s="47">
        <f t="shared" si="1"/>
        <v>0</v>
      </c>
      <c r="K7" s="132">
        <f t="shared" si="3"/>
        <v>0</v>
      </c>
      <c r="L7" s="47">
        <v>0</v>
      </c>
      <c r="M7" s="47">
        <v>0</v>
      </c>
      <c r="N7" s="47">
        <f t="shared" si="2"/>
        <v>0</v>
      </c>
      <c r="O7" s="132">
        <f t="shared" si="4"/>
        <v>0</v>
      </c>
      <c r="P7" s="27"/>
      <c r="Q7" s="102"/>
    </row>
    <row r="8" spans="1:17" ht="15" customHeight="1" x14ac:dyDescent="0.2">
      <c r="A8" s="145"/>
      <c r="B8" s="14"/>
      <c r="C8" s="18">
        <v>11181</v>
      </c>
      <c r="D8" s="90">
        <f t="shared" si="0"/>
        <v>1930.611909650924</v>
      </c>
      <c r="E8" s="44">
        <f>('Volume and Surface Area'!E8)</f>
        <v>0</v>
      </c>
      <c r="F8" s="45">
        <f>('Volume and Surface Area'!G8)</f>
        <v>0</v>
      </c>
      <c r="G8" s="50">
        <f>('Mass (Lower bound)'!F8)</f>
        <v>0</v>
      </c>
      <c r="H8" s="47">
        <v>0</v>
      </c>
      <c r="I8" s="47">
        <v>0</v>
      </c>
      <c r="J8" s="47">
        <f t="shared" si="1"/>
        <v>0</v>
      </c>
      <c r="K8" s="132">
        <f t="shared" si="3"/>
        <v>0</v>
      </c>
      <c r="L8" s="47">
        <v>0</v>
      </c>
      <c r="M8" s="47">
        <v>0</v>
      </c>
      <c r="N8" s="47">
        <f t="shared" si="2"/>
        <v>0</v>
      </c>
      <c r="O8" s="132">
        <f t="shared" si="4"/>
        <v>0</v>
      </c>
      <c r="P8" s="27"/>
      <c r="Q8" s="102"/>
    </row>
    <row r="9" spans="1:17" ht="15" customHeight="1" x14ac:dyDescent="0.2">
      <c r="A9" s="140" t="s">
        <v>33</v>
      </c>
      <c r="B9" s="14" t="s">
        <v>36</v>
      </c>
      <c r="C9" s="18">
        <v>11185</v>
      </c>
      <c r="D9" s="9">
        <f t="shared" si="0"/>
        <v>1930.6228610540725</v>
      </c>
      <c r="E9" s="44">
        <f>('Volume and Surface Area'!E9)</f>
        <v>0.49654799999999999</v>
      </c>
      <c r="F9" s="57">
        <f>('Volume and Surface Area'!G9)</f>
        <v>2.3869415045882901E-3</v>
      </c>
      <c r="G9" s="50">
        <f>('Mass (Lower bound)'!F9)</f>
        <v>4034702124.8601928</v>
      </c>
      <c r="H9" s="47">
        <v>1.6622000000000001E-2</v>
      </c>
      <c r="I9" s="75">
        <v>3.6929072067605198E-5</v>
      </c>
      <c r="J9" s="47">
        <f t="shared" si="1"/>
        <v>62422059.884530626</v>
      </c>
      <c r="K9" s="132">
        <f t="shared" si="3"/>
        <v>62422059.884530626</v>
      </c>
      <c r="L9" s="47">
        <v>0.47992600000000002</v>
      </c>
      <c r="M9" s="47">
        <v>2.3500124325206801E-3</v>
      </c>
      <c r="N9" s="47">
        <f t="shared" si="2"/>
        <v>3972280064.9756536</v>
      </c>
      <c r="O9" s="132">
        <f t="shared" si="4"/>
        <v>3972280064.9756536</v>
      </c>
      <c r="P9" s="33"/>
      <c r="Q9" s="102"/>
    </row>
    <row r="10" spans="1:17" ht="15" customHeight="1" x14ac:dyDescent="0.2">
      <c r="A10" s="140"/>
      <c r="B10" s="14" t="s">
        <v>42</v>
      </c>
      <c r="C10" s="18">
        <v>12115</v>
      </c>
      <c r="D10" s="9">
        <f t="shared" si="0"/>
        <v>1933.1690622861054</v>
      </c>
      <c r="E10" s="44">
        <f>('Volume and Surface Area'!E10)</f>
        <v>0.66019600000000001</v>
      </c>
      <c r="F10" s="57">
        <f>('Volume and Surface Area'!G10)</f>
        <v>1.34323009618313E-2</v>
      </c>
      <c r="G10" s="50">
        <f>('Mass (Lower bound)'!F10)</f>
        <v>22704927258.70557</v>
      </c>
      <c r="H10" s="47">
        <v>3.6669E-2</v>
      </c>
      <c r="I10" s="75">
        <v>3.7645413226479896E-4</v>
      </c>
      <c r="J10" s="47">
        <f t="shared" si="1"/>
        <v>636329078.21223187</v>
      </c>
      <c r="K10" s="132">
        <f t="shared" si="3"/>
        <v>636329078.21223187</v>
      </c>
      <c r="L10" s="47">
        <v>0.62352700000000005</v>
      </c>
      <c r="M10" s="75">
        <v>1.30558468295665E-2</v>
      </c>
      <c r="N10" s="47">
        <f t="shared" si="2"/>
        <v>22068598180.493336</v>
      </c>
      <c r="O10" s="132">
        <f t="shared" si="4"/>
        <v>22068598180.493336</v>
      </c>
      <c r="P10" s="27"/>
      <c r="Q10" s="102"/>
    </row>
    <row r="11" spans="1:17" ht="15" customHeight="1" x14ac:dyDescent="0.2">
      <c r="A11" s="140"/>
      <c r="B11" s="14" t="s">
        <v>47</v>
      </c>
      <c r="C11" s="18">
        <v>12344</v>
      </c>
      <c r="D11" s="90">
        <f t="shared" si="0"/>
        <v>1933.7960301163587</v>
      </c>
      <c r="E11" s="44">
        <f>('Volume and Surface Area'!E11)</f>
        <v>0.74582099999999996</v>
      </c>
      <c r="F11" s="57">
        <f>('Volume and Surface Area'!G11)</f>
        <v>1.8768378100909599E-2</v>
      </c>
      <c r="G11" s="50">
        <f>('Mass (Lower bound)'!F11)</f>
        <v>31724621176.663818</v>
      </c>
      <c r="H11" s="47">
        <v>6.2910999999999995E-2</v>
      </c>
      <c r="I11" s="75">
        <v>1.0557137923788401E-3</v>
      </c>
      <c r="J11" s="47">
        <f t="shared" si="1"/>
        <v>1784497304.6751781</v>
      </c>
      <c r="K11" s="132">
        <f t="shared" si="3"/>
        <v>1784497304.6751781</v>
      </c>
      <c r="L11" s="47">
        <v>0.68291000000000002</v>
      </c>
      <c r="M11" s="75">
        <v>1.77126643085307E-2</v>
      </c>
      <c r="N11" s="47">
        <f t="shared" si="2"/>
        <v>29940123871.988541</v>
      </c>
      <c r="O11" s="132">
        <f t="shared" si="4"/>
        <v>29940123871.988541</v>
      </c>
      <c r="P11" s="27"/>
      <c r="Q11" s="102"/>
    </row>
    <row r="12" spans="1:17" ht="15" customHeight="1" x14ac:dyDescent="0.2">
      <c r="A12" s="140"/>
      <c r="B12" s="14" t="s">
        <v>51</v>
      </c>
      <c r="C12" s="18">
        <v>12822</v>
      </c>
      <c r="D12" s="9">
        <f t="shared" si="0"/>
        <v>1935.1047227926078</v>
      </c>
      <c r="E12" s="44">
        <f>('Volume and Surface Area'!E12)</f>
        <v>0.91493199999999997</v>
      </c>
      <c r="F12" s="57">
        <f>('Volume and Surface Area'!G12)</f>
        <v>2.3846773556232197E-2</v>
      </c>
      <c r="G12" s="50">
        <f>('Mass (Lower bound)'!F12)</f>
        <v>40308749817.891083</v>
      </c>
      <c r="H12" s="47">
        <v>3.4631000000000002E-2</v>
      </c>
      <c r="I12" s="75">
        <v>7.85642243089265E-4</v>
      </c>
      <c r="J12" s="47">
        <f t="shared" si="1"/>
        <v>1327989153.2653756</v>
      </c>
      <c r="K12" s="132">
        <f t="shared" si="3"/>
        <v>1327989153.2653756</v>
      </c>
      <c r="L12" s="47">
        <v>0.880301</v>
      </c>
      <c r="M12" s="75">
        <v>2.3061131313143E-2</v>
      </c>
      <c r="N12" s="47">
        <f t="shared" si="2"/>
        <v>38980760664.625816</v>
      </c>
      <c r="O12" s="132">
        <f t="shared" si="4"/>
        <v>38980760664.625816</v>
      </c>
      <c r="P12" s="27"/>
      <c r="Q12" s="102"/>
    </row>
    <row r="13" spans="1:17" ht="15" customHeight="1" x14ac:dyDescent="0.2">
      <c r="A13" s="140"/>
      <c r="B13" s="14" t="s">
        <v>53</v>
      </c>
      <c r="C13" s="18">
        <v>13003</v>
      </c>
      <c r="D13" s="90">
        <f t="shared" si="0"/>
        <v>1935.6002737850788</v>
      </c>
      <c r="E13" s="44">
        <f>('Volume and Surface Area'!E13)</f>
        <v>0.93938299999999997</v>
      </c>
      <c r="F13" s="57">
        <f>('Volume and Surface Area'!G13)</f>
        <v>1.6574645207558501E-2</v>
      </c>
      <c r="G13" s="50">
        <f>('Mass (Lower bound)'!F13)</f>
        <v>28016504011.175911</v>
      </c>
      <c r="H13" s="47">
        <v>0.18319299999999999</v>
      </c>
      <c r="I13" s="75">
        <v>7.4675299736468405E-4</v>
      </c>
      <c r="J13" s="47">
        <f t="shared" si="1"/>
        <v>1262253766.7644649</v>
      </c>
      <c r="K13" s="132">
        <f t="shared" si="3"/>
        <v>1262253766.7644649</v>
      </c>
      <c r="L13" s="47">
        <v>0.75619000000000003</v>
      </c>
      <c r="M13" s="75">
        <v>1.58278922101938E-2</v>
      </c>
      <c r="N13" s="47">
        <f t="shared" si="2"/>
        <v>26754250244.411415</v>
      </c>
      <c r="O13" s="132">
        <f t="shared" si="4"/>
        <v>26754250244.411415</v>
      </c>
      <c r="P13" s="27"/>
      <c r="Q13" s="102"/>
    </row>
    <row r="14" spans="1:17" ht="15" customHeight="1" x14ac:dyDescent="0.2">
      <c r="A14" s="140"/>
      <c r="B14" s="14" t="s">
        <v>54</v>
      </c>
      <c r="C14" s="18">
        <v>13129</v>
      </c>
      <c r="D14" s="9">
        <f t="shared" si="0"/>
        <v>1935.9452429842574</v>
      </c>
      <c r="E14" s="44">
        <f>('Volume and Surface Area'!E14)</f>
        <v>0.92125100000000004</v>
      </c>
      <c r="F14" s="57">
        <f>('Volume and Surface Area'!G14)</f>
        <v>1.6357240589183999E-2</v>
      </c>
      <c r="G14" s="50">
        <f>('Mass (Lower bound)'!F14)</f>
        <v>27649019984.431267</v>
      </c>
      <c r="H14" s="47">
        <v>0.13006400000000001</v>
      </c>
      <c r="I14" s="75">
        <v>5.2919727163645001E-4</v>
      </c>
      <c r="J14" s="47">
        <f t="shared" si="1"/>
        <v>894514319.78433907</v>
      </c>
      <c r="K14" s="132">
        <f t="shared" si="3"/>
        <v>894514319.78433907</v>
      </c>
      <c r="L14" s="47">
        <v>0.79118699999999997</v>
      </c>
      <c r="M14" s="75">
        <v>1.5828043317547499E-2</v>
      </c>
      <c r="N14" s="47">
        <f t="shared" si="2"/>
        <v>26754505664.646843</v>
      </c>
      <c r="O14" s="132">
        <f t="shared" si="4"/>
        <v>26754505664.646843</v>
      </c>
      <c r="P14" s="27"/>
      <c r="Q14" s="102"/>
    </row>
    <row r="15" spans="1:17" ht="15" customHeight="1" x14ac:dyDescent="0.2">
      <c r="A15" s="140"/>
      <c r="B15" s="14" t="s">
        <v>56</v>
      </c>
      <c r="C15" s="18">
        <v>13315</v>
      </c>
      <c r="D15" s="90">
        <f t="shared" si="0"/>
        <v>1936.454483230664</v>
      </c>
      <c r="E15" s="44">
        <f>('Volume and Surface Area'!E15)</f>
        <v>0.80679599999999996</v>
      </c>
      <c r="F15" s="57">
        <f>('Volume and Surface Area'!G15)</f>
        <v>1.53508504408238E-2</v>
      </c>
      <c r="G15" s="50">
        <f>('Mass (Lower bound)'!F15)</f>
        <v>25947895569.684612</v>
      </c>
      <c r="H15" s="47">
        <v>5.1874999999999998E-2</v>
      </c>
      <c r="I15" s="75">
        <v>2.25729832685159E-4</v>
      </c>
      <c r="J15" s="47">
        <f t="shared" si="1"/>
        <v>381556327.97387606</v>
      </c>
      <c r="K15" s="132">
        <f t="shared" si="3"/>
        <v>381556327.97387606</v>
      </c>
      <c r="L15" s="47">
        <v>0.75492099999999995</v>
      </c>
      <c r="M15" s="75">
        <v>1.51251206081387E-2</v>
      </c>
      <c r="N15" s="47">
        <f t="shared" si="2"/>
        <v>25566339241.710831</v>
      </c>
      <c r="O15" s="132">
        <f t="shared" si="4"/>
        <v>25566339241.710831</v>
      </c>
      <c r="P15" s="27"/>
      <c r="Q15" s="102"/>
    </row>
    <row r="16" spans="1:17" ht="15" customHeight="1" x14ac:dyDescent="0.2">
      <c r="A16" s="140"/>
      <c r="B16" s="14" t="s">
        <v>58</v>
      </c>
      <c r="C16" s="18">
        <v>13376</v>
      </c>
      <c r="D16" s="9">
        <f t="shared" si="0"/>
        <v>1936.6214921286789</v>
      </c>
      <c r="E16" s="44">
        <f>('Volume and Surface Area'!E16)</f>
        <v>0.85934500000000003</v>
      </c>
      <c r="F16" s="57">
        <f>('Volume and Surface Area'!G16)</f>
        <v>1.64568517045173E-2</v>
      </c>
      <c r="G16" s="50">
        <f>('Mass (Lower bound)'!F16)</f>
        <v>27817394943.734795</v>
      </c>
      <c r="H16" s="47">
        <v>4.2323E-2</v>
      </c>
      <c r="I16" s="75">
        <v>1.8345564719212298E-4</v>
      </c>
      <c r="J16" s="47">
        <f t="shared" si="1"/>
        <v>310099299.92873096</v>
      </c>
      <c r="K16" s="132">
        <f t="shared" si="3"/>
        <v>310099299.92873096</v>
      </c>
      <c r="L16" s="47">
        <v>0.81702200000000003</v>
      </c>
      <c r="M16" s="75">
        <v>1.6273396057325199E-2</v>
      </c>
      <c r="N16" s="47">
        <f t="shared" si="2"/>
        <v>27507295643.806103</v>
      </c>
      <c r="O16" s="132">
        <f t="shared" si="4"/>
        <v>27507295643.806103</v>
      </c>
      <c r="P16" s="27"/>
      <c r="Q16" s="102"/>
    </row>
    <row r="17" spans="1:17" ht="15" customHeight="1" x14ac:dyDescent="0.2">
      <c r="A17" s="140"/>
      <c r="B17" s="14" t="s">
        <v>60</v>
      </c>
      <c r="C17" s="18">
        <v>13495</v>
      </c>
      <c r="D17" s="90">
        <f t="shared" si="0"/>
        <v>1936.9472963723476</v>
      </c>
      <c r="E17" s="44">
        <f>('Volume and Surface Area'!E17)</f>
        <v>0.87787199999999999</v>
      </c>
      <c r="F17" s="57">
        <f>('Volume and Surface Area'!G17)</f>
        <v>1.9975362577812197E-2</v>
      </c>
      <c r="G17" s="50">
        <f>('Mass (Lower bound)'!F17)</f>
        <v>33764814798.61525</v>
      </c>
      <c r="H17" s="47">
        <v>5.1591999999999999E-2</v>
      </c>
      <c r="I17" s="75">
        <v>1.2954673879266701E-4</v>
      </c>
      <c r="J17" s="47">
        <f t="shared" si="1"/>
        <v>218975832.1562373</v>
      </c>
      <c r="K17" s="132">
        <f t="shared" si="3"/>
        <v>218975832.1562373</v>
      </c>
      <c r="L17" s="47">
        <v>0.82628000000000001</v>
      </c>
      <c r="M17" s="75">
        <v>1.9845815839019499E-2</v>
      </c>
      <c r="N17" s="47">
        <f t="shared" si="2"/>
        <v>33545838966.458961</v>
      </c>
      <c r="O17" s="132">
        <f t="shared" si="4"/>
        <v>33545838966.458961</v>
      </c>
      <c r="P17" s="27"/>
      <c r="Q17" s="102"/>
    </row>
    <row r="18" spans="1:17" ht="15" customHeight="1" x14ac:dyDescent="0.2">
      <c r="A18" s="140"/>
      <c r="B18" s="14" t="s">
        <v>62</v>
      </c>
      <c r="C18" s="18">
        <v>13559</v>
      </c>
      <c r="D18" s="9">
        <f t="shared" si="0"/>
        <v>1937.1225188227243</v>
      </c>
      <c r="E18" s="44">
        <f>('Volume and Surface Area'!E18)</f>
        <v>0.86658500000000005</v>
      </c>
      <c r="F18" s="57">
        <f>('Volume and Surface Area'!G18)</f>
        <v>1.9990129487642002E-2</v>
      </c>
      <c r="G18" s="50">
        <f>('Mass (Lower bound)'!F18)</f>
        <v>33789775645.939491</v>
      </c>
      <c r="H18" s="47">
        <v>4.6360999999999999E-2</v>
      </c>
      <c r="I18" s="75">
        <v>1.3752622521281198E-4</v>
      </c>
      <c r="J18" s="47">
        <f t="shared" si="1"/>
        <v>232463741.580396</v>
      </c>
      <c r="K18" s="132">
        <f t="shared" si="3"/>
        <v>232463741.580396</v>
      </c>
      <c r="L18" s="47">
        <v>0.82022399999999995</v>
      </c>
      <c r="M18" s="75">
        <v>1.98526032624292E-2</v>
      </c>
      <c r="N18" s="47">
        <f t="shared" si="2"/>
        <v>33557311904.359116</v>
      </c>
      <c r="O18" s="132">
        <f t="shared" si="4"/>
        <v>33557311904.359116</v>
      </c>
      <c r="P18" s="27"/>
      <c r="Q18" s="102"/>
    </row>
    <row r="19" spans="1:17" ht="15" customHeight="1" x14ac:dyDescent="0.2">
      <c r="A19" s="140"/>
      <c r="B19" s="14" t="s">
        <v>64</v>
      </c>
      <c r="C19" s="18">
        <v>13866</v>
      </c>
      <c r="D19" s="90">
        <f t="shared" si="0"/>
        <v>1937.9630390143736</v>
      </c>
      <c r="E19" s="44">
        <f>('Volume and Surface Area'!E19)</f>
        <v>1.2130289999999999</v>
      </c>
      <c r="F19" s="57">
        <f>('Volume and Surface Area'!G19)</f>
        <v>2.5079028106626999E-2</v>
      </c>
      <c r="G19" s="50">
        <f>('Mass (Lower bound)'!F19)</f>
        <v>42391658026.278069</v>
      </c>
      <c r="H19" s="47">
        <v>0.26607900000000001</v>
      </c>
      <c r="I19" s="75">
        <v>3.9754516521301698E-3</v>
      </c>
      <c r="J19" s="47">
        <f t="shared" si="1"/>
        <v>6719797362.9836254</v>
      </c>
      <c r="K19" s="132">
        <f t="shared" si="3"/>
        <v>6719797362.9836254</v>
      </c>
      <c r="L19" s="47">
        <v>0.94694999999999996</v>
      </c>
      <c r="M19" s="75">
        <v>2.11035764544968E-2</v>
      </c>
      <c r="N19" s="47">
        <f t="shared" si="2"/>
        <v>35671860663.294395</v>
      </c>
      <c r="O19" s="132">
        <f t="shared" si="4"/>
        <v>35671860663.294395</v>
      </c>
      <c r="P19" s="27"/>
      <c r="Q19" s="102"/>
    </row>
    <row r="20" spans="1:17" ht="15" customHeight="1" x14ac:dyDescent="0.2">
      <c r="A20" s="140"/>
      <c r="B20" s="14" t="s">
        <v>66</v>
      </c>
      <c r="C20" s="18">
        <v>14041</v>
      </c>
      <c r="D20" s="9">
        <f t="shared" si="0"/>
        <v>1938.4421629021219</v>
      </c>
      <c r="E20" s="44">
        <f>('Volume and Surface Area'!E20)</f>
        <v>1.188148</v>
      </c>
      <c r="F20" s="57">
        <f>('Volume and Surface Area'!G20)</f>
        <v>2.4804728456098702E-2</v>
      </c>
      <c r="G20" s="50">
        <f>('Mass (Lower bound)'!F20)</f>
        <v>41928003018.098129</v>
      </c>
      <c r="H20" s="47">
        <v>0.22795599999999999</v>
      </c>
      <c r="I20" s="75">
        <v>3.28517182324391E-3</v>
      </c>
      <c r="J20" s="47">
        <f t="shared" si="1"/>
        <v>5553001491.7811155</v>
      </c>
      <c r="K20" s="132">
        <f t="shared" si="3"/>
        <v>5553001491.7811155</v>
      </c>
      <c r="L20" s="47">
        <v>0.96019200000000005</v>
      </c>
      <c r="M20" s="75">
        <v>2.1519556632854903E-2</v>
      </c>
      <c r="N20" s="47">
        <f t="shared" si="2"/>
        <v>36375001526.3172</v>
      </c>
      <c r="O20" s="132">
        <f t="shared" si="4"/>
        <v>36375001526.3172</v>
      </c>
      <c r="P20" s="27"/>
      <c r="Q20" s="102"/>
    </row>
    <row r="21" spans="1:17" ht="15" customHeight="1" x14ac:dyDescent="0.2">
      <c r="A21" s="140"/>
      <c r="B21" s="14" t="s">
        <v>68</v>
      </c>
      <c r="C21" s="18">
        <v>14104</v>
      </c>
      <c r="D21" s="90">
        <f t="shared" si="0"/>
        <v>1938.6146475017113</v>
      </c>
      <c r="E21" s="44">
        <f>('Volume and Surface Area'!E21)</f>
        <v>1.3635299999999999</v>
      </c>
      <c r="F21" s="57">
        <f>('Volume and Surface Area'!G21)</f>
        <v>4.1629955827557401E-2</v>
      </c>
      <c r="G21" s="50">
        <f>('Mass (Lower bound)'!F21)</f>
        <v>70368071824.304306</v>
      </c>
      <c r="H21" s="47">
        <v>0.35963600000000001</v>
      </c>
      <c r="I21" s="75">
        <v>7.985947233881999E-3</v>
      </c>
      <c r="J21" s="47">
        <f t="shared" si="1"/>
        <v>13498830286.217123</v>
      </c>
      <c r="K21" s="132">
        <f t="shared" si="3"/>
        <v>13498830286.217123</v>
      </c>
      <c r="L21" s="47">
        <v>1.0038940000000001</v>
      </c>
      <c r="M21" s="75">
        <v>3.3644008593675501E-2</v>
      </c>
      <c r="N21" s="47">
        <f t="shared" si="2"/>
        <v>56869241538.087357</v>
      </c>
      <c r="O21" s="132">
        <f t="shared" si="4"/>
        <v>56869241538.087357</v>
      </c>
      <c r="P21" s="27"/>
      <c r="Q21" s="102"/>
    </row>
    <row r="22" spans="1:17" ht="15" customHeight="1" x14ac:dyDescent="0.2">
      <c r="A22" s="140"/>
      <c r="B22" s="14" t="s">
        <v>70</v>
      </c>
      <c r="C22" s="18">
        <v>14170</v>
      </c>
      <c r="D22" s="9">
        <f t="shared" si="0"/>
        <v>1938.7953456536618</v>
      </c>
      <c r="E22" s="44">
        <f>('Volume and Surface Area'!E22)</f>
        <v>1.373238</v>
      </c>
      <c r="F22" s="57">
        <f>('Volume and Surface Area'!G22)</f>
        <v>4.1482178978913799E-2</v>
      </c>
      <c r="G22" s="50">
        <f>('Mass (Lower bound)'!F22)</f>
        <v>70118281218.174515</v>
      </c>
      <c r="H22" s="47">
        <v>0.36510999999999999</v>
      </c>
      <c r="I22" s="75">
        <v>7.4544179577872398E-3</v>
      </c>
      <c r="J22" s="47">
        <f t="shared" si="1"/>
        <v>12600374125.660801</v>
      </c>
      <c r="K22" s="132">
        <f t="shared" si="3"/>
        <v>12600374125.660801</v>
      </c>
      <c r="L22" s="47">
        <v>1.0081279999999999</v>
      </c>
      <c r="M22" s="75">
        <v>3.4027761021126701E-2</v>
      </c>
      <c r="N22" s="47">
        <f t="shared" si="2"/>
        <v>57517907092.513954</v>
      </c>
      <c r="O22" s="132">
        <f t="shared" si="4"/>
        <v>57517907092.513954</v>
      </c>
      <c r="P22" s="27"/>
      <c r="Q22" s="102"/>
    </row>
    <row r="23" spans="1:17" ht="15" customHeight="1" x14ac:dyDescent="0.2">
      <c r="A23" s="140"/>
      <c r="B23" s="15" t="s">
        <v>72</v>
      </c>
      <c r="C23" s="18">
        <v>14411</v>
      </c>
      <c r="D23" s="90">
        <f t="shared" si="0"/>
        <v>1939.4551676933606</v>
      </c>
      <c r="E23" s="44">
        <f>('Volume and Surface Area'!E23)</f>
        <v>1.4715769999999999</v>
      </c>
      <c r="F23" s="57">
        <f>('Volume and Surface Area'!G23)</f>
        <v>4.4521014090915904E-2</v>
      </c>
      <c r="G23" s="50">
        <f>('Mass (Lower bound)'!F23)</f>
        <v>75254894101.199249</v>
      </c>
      <c r="H23" s="47">
        <v>0.40369100000000002</v>
      </c>
      <c r="I23" s="75">
        <v>7.9910612733397907E-3</v>
      </c>
      <c r="J23" s="47">
        <f t="shared" si="1"/>
        <v>13507474664.735535</v>
      </c>
      <c r="K23" s="132">
        <f t="shared" si="3"/>
        <v>13507474664.735535</v>
      </c>
      <c r="L23" s="47">
        <v>1.0678859999999999</v>
      </c>
      <c r="M23" s="75">
        <v>3.6529952817576199E-2</v>
      </c>
      <c r="N23" s="47">
        <f t="shared" si="2"/>
        <v>61747419436.46386</v>
      </c>
      <c r="O23" s="132">
        <f t="shared" si="4"/>
        <v>61747419436.46386</v>
      </c>
      <c r="P23" s="27"/>
      <c r="Q23" s="102"/>
    </row>
    <row r="24" spans="1:17" ht="15" customHeight="1" x14ac:dyDescent="0.2">
      <c r="A24" s="140"/>
      <c r="B24" s="10" t="s">
        <v>74</v>
      </c>
      <c r="C24" s="18">
        <v>14473</v>
      </c>
      <c r="D24" s="9">
        <f t="shared" si="0"/>
        <v>1939.6249144421629</v>
      </c>
      <c r="E24" s="44">
        <f>('Volume and Surface Area'!E24)</f>
        <v>1.525825</v>
      </c>
      <c r="F24" s="57">
        <f>('Volume and Surface Area'!G24)</f>
        <v>5.2476993919345696E-2</v>
      </c>
      <c r="G24" s="50">
        <f>('Mass (Lower bound)'!F24)</f>
        <v>88703069792.730179</v>
      </c>
      <c r="H24" s="47">
        <v>0.43897799999999998</v>
      </c>
      <c r="I24" s="75">
        <v>1.1424007750416101E-2</v>
      </c>
      <c r="J24" s="47">
        <f t="shared" si="1"/>
        <v>19310263052.706596</v>
      </c>
      <c r="K24" s="132">
        <f t="shared" si="3"/>
        <v>19310263052.706596</v>
      </c>
      <c r="L24" s="47">
        <v>1.0868469999999999</v>
      </c>
      <c r="M24" s="75">
        <v>4.1052986168929599E-2</v>
      </c>
      <c r="N24" s="47">
        <f t="shared" si="2"/>
        <v>69392806740.02359</v>
      </c>
      <c r="O24" s="132">
        <f t="shared" si="4"/>
        <v>69392806740.02359</v>
      </c>
      <c r="P24" s="27"/>
      <c r="Q24" s="102"/>
    </row>
    <row r="25" spans="1:17" ht="15" customHeight="1" x14ac:dyDescent="0.2">
      <c r="A25" s="140"/>
      <c r="B25" s="10" t="s">
        <v>76</v>
      </c>
      <c r="C25" s="18">
        <v>14961</v>
      </c>
      <c r="D25" s="90">
        <f t="shared" si="0"/>
        <v>1940.9609856262834</v>
      </c>
      <c r="E25" s="44">
        <f>('Volume and Surface Area'!E25)</f>
        <v>1.438461</v>
      </c>
      <c r="F25" s="57">
        <f>('Volume and Surface Area'!G25)</f>
        <v>5.1894594653898299E-2</v>
      </c>
      <c r="G25" s="50">
        <f>('Mass (Lower bound)'!F25)</f>
        <v>87718626919.161346</v>
      </c>
      <c r="H25" s="47">
        <v>0.29278799999999999</v>
      </c>
      <c r="I25" s="75">
        <v>7.7278436961874097E-3</v>
      </c>
      <c r="J25" s="47">
        <f t="shared" si="1"/>
        <v>13062551940.070591</v>
      </c>
      <c r="K25" s="132">
        <f t="shared" si="3"/>
        <v>13062551940.070591</v>
      </c>
      <c r="L25" s="47">
        <v>1.1456729999999999</v>
      </c>
      <c r="M25" s="75">
        <v>4.4166750957710804E-2</v>
      </c>
      <c r="N25" s="47">
        <f t="shared" si="2"/>
        <v>74656074979.090607</v>
      </c>
      <c r="O25" s="132">
        <f t="shared" si="4"/>
        <v>74656074979.090607</v>
      </c>
      <c r="P25" s="27"/>
      <c r="Q25" s="102"/>
    </row>
    <row r="26" spans="1:17" ht="15" customHeight="1" x14ac:dyDescent="0.2">
      <c r="A26" s="140"/>
      <c r="B26" s="10" t="s">
        <v>78</v>
      </c>
      <c r="C26" s="18">
        <v>15258</v>
      </c>
      <c r="D26" s="9">
        <f t="shared" si="0"/>
        <v>1941.7741273100617</v>
      </c>
      <c r="E26" s="44">
        <f>('Volume and Surface Area'!E26)</f>
        <v>1.5604039999999999</v>
      </c>
      <c r="F26" s="57">
        <f>('Volume and Surface Area'!G26)</f>
        <v>5.3247203870592799E-2</v>
      </c>
      <c r="G26" s="50">
        <f>('Mass (Lower bound)'!F26)</f>
        <v>90004973388.152039</v>
      </c>
      <c r="H26" s="47">
        <v>0.35154299999999999</v>
      </c>
      <c r="I26" s="75">
        <v>7.9438466561704505E-3</v>
      </c>
      <c r="J26" s="47">
        <f t="shared" si="1"/>
        <v>13427666711.398005</v>
      </c>
      <c r="K26" s="132">
        <f t="shared" si="3"/>
        <v>13427666711.398005</v>
      </c>
      <c r="L26" s="47">
        <v>1.208861</v>
      </c>
      <c r="M26" s="75">
        <v>4.5303357214422399E-2</v>
      </c>
      <c r="N26" s="47">
        <f t="shared" si="2"/>
        <v>76577306676.75412</v>
      </c>
      <c r="O26" s="132">
        <f t="shared" si="4"/>
        <v>76577306676.75412</v>
      </c>
      <c r="P26" s="27"/>
      <c r="Q26" s="102"/>
    </row>
    <row r="27" spans="1:17" ht="15" customHeight="1" x14ac:dyDescent="0.2">
      <c r="A27" s="140"/>
      <c r="B27" s="10" t="s">
        <v>80</v>
      </c>
      <c r="C27" s="18">
        <v>17400</v>
      </c>
      <c r="D27" s="9">
        <f t="shared" si="0"/>
        <v>1947.6386036960985</v>
      </c>
      <c r="E27" s="44">
        <f>('Volume and Surface Area'!E27)</f>
        <v>1.309963</v>
      </c>
      <c r="F27" s="57">
        <f>('Volume and Surface Area'!G27)</f>
        <v>4.8147918546154404E-2</v>
      </c>
      <c r="G27" s="50">
        <f>('Mass (Lower bound)'!F27)</f>
        <v>81385534120.691345</v>
      </c>
      <c r="H27" s="47">
        <v>0.13858999999999999</v>
      </c>
      <c r="I27" s="75">
        <v>3.1813515153183698E-3</v>
      </c>
      <c r="J27" s="47">
        <f t="shared" si="1"/>
        <v>5377511637.4274931</v>
      </c>
      <c r="K27" s="132">
        <f t="shared" si="3"/>
        <v>5377511637.4274931</v>
      </c>
      <c r="L27" s="47">
        <v>1.171373</v>
      </c>
      <c r="M27" s="75">
        <v>4.4966567030835798E-2</v>
      </c>
      <c r="N27" s="47">
        <f t="shared" si="2"/>
        <v>76008022483.263474</v>
      </c>
      <c r="O27" s="132">
        <f t="shared" si="4"/>
        <v>76008022483.263474</v>
      </c>
      <c r="P27" s="27"/>
      <c r="Q27" s="102"/>
    </row>
    <row r="28" spans="1:17" ht="15" customHeight="1" x14ac:dyDescent="0.2">
      <c r="A28" s="140"/>
      <c r="B28" s="10" t="s">
        <v>81</v>
      </c>
      <c r="C28" s="18">
        <v>18524</v>
      </c>
      <c r="D28" s="90">
        <f t="shared" si="0"/>
        <v>1950.7159479808352</v>
      </c>
      <c r="E28" s="44">
        <f>('Volume and Surface Area'!E28)</f>
        <v>1.333545</v>
      </c>
      <c r="F28" s="57">
        <f>('Volume and Surface Area'!G28)</f>
        <v>4.9525061815395698E-2</v>
      </c>
      <c r="G28" s="50">
        <f>('Mass (Lower bound)'!F28)</f>
        <v>83713351062.985107</v>
      </c>
      <c r="H28" s="47">
        <v>7.6898999999999995E-2</v>
      </c>
      <c r="I28" s="75">
        <v>1.6395773016064199E-3</v>
      </c>
      <c r="J28" s="47">
        <f t="shared" si="1"/>
        <v>2771415223.1832685</v>
      </c>
      <c r="K28" s="132">
        <f t="shared" si="3"/>
        <v>2771415223.1832685</v>
      </c>
      <c r="L28" s="47">
        <v>1.2566459999999999</v>
      </c>
      <c r="M28" s="75">
        <v>4.7885484513789399E-2</v>
      </c>
      <c r="N28" s="47">
        <f t="shared" si="2"/>
        <v>80941935839.802048</v>
      </c>
      <c r="O28" s="132">
        <f t="shared" si="4"/>
        <v>80941935839.802048</v>
      </c>
      <c r="P28" s="27"/>
      <c r="Q28" s="102"/>
    </row>
    <row r="29" spans="1:17" ht="15" customHeight="1" x14ac:dyDescent="0.2">
      <c r="A29" s="140"/>
      <c r="B29" s="10" t="s">
        <v>83</v>
      </c>
      <c r="C29" s="18">
        <v>19283</v>
      </c>
      <c r="D29" s="9">
        <f t="shared" si="0"/>
        <v>1952.7939767282683</v>
      </c>
      <c r="E29" s="44">
        <f>('Volume and Surface Area'!E29)</f>
        <v>1.891308</v>
      </c>
      <c r="F29" s="57">
        <f>('Volume and Surface Area'!G29)</f>
        <v>7.22146208356991E-2</v>
      </c>
      <c r="G29" s="50">
        <f>('Mass (Lower bound)'!F29)</f>
        <v>122066034534.8614</v>
      </c>
      <c r="H29" s="47">
        <v>0.53168899999999997</v>
      </c>
      <c r="I29" s="75">
        <v>1.4352557709107799E-2</v>
      </c>
      <c r="J29" s="47">
        <f t="shared" si="1"/>
        <v>24260458404.532223</v>
      </c>
      <c r="K29" s="132">
        <f t="shared" si="3"/>
        <v>24260458404.532223</v>
      </c>
      <c r="L29" s="47">
        <v>1.3596189999999999</v>
      </c>
      <c r="M29" s="75">
        <v>5.7862063126591701E-2</v>
      </c>
      <c r="N29" s="47">
        <f t="shared" si="2"/>
        <v>97805576130.329865</v>
      </c>
      <c r="O29" s="132">
        <f t="shared" si="4"/>
        <v>97805576130.329865</v>
      </c>
      <c r="P29" s="27"/>
      <c r="Q29" s="102"/>
    </row>
    <row r="30" spans="1:17" ht="15" customHeight="1" x14ac:dyDescent="0.2">
      <c r="A30" s="140"/>
      <c r="B30" s="10" t="s">
        <v>85</v>
      </c>
      <c r="C30" s="18">
        <v>19643</v>
      </c>
      <c r="D30" s="90">
        <f t="shared" si="0"/>
        <v>1953.7796030116358</v>
      </c>
      <c r="E30" s="44">
        <f>('Volume and Surface Area'!E30)</f>
        <v>1.9324319999999999</v>
      </c>
      <c r="F30" s="57">
        <f>('Volume and Surface Area'!G30)</f>
        <v>8.1129472532884203E-2</v>
      </c>
      <c r="G30" s="50">
        <f>('Mass (Lower bound)'!F30)</f>
        <v>137135013400.20244</v>
      </c>
      <c r="H30" s="47">
        <v>0.54779</v>
      </c>
      <c r="I30" s="75">
        <v>1.7722460763028702E-2</v>
      </c>
      <c r="J30" s="47">
        <f t="shared" si="1"/>
        <v>29956683044.344963</v>
      </c>
      <c r="K30" s="132">
        <f t="shared" si="3"/>
        <v>29956683044.344963</v>
      </c>
      <c r="L30" s="47">
        <v>1.3846419999999999</v>
      </c>
      <c r="M30" s="75">
        <v>6.3407011769854804E-2</v>
      </c>
      <c r="N30" s="47">
        <f t="shared" si="2"/>
        <v>107178330355.85629</v>
      </c>
      <c r="O30" s="132">
        <f t="shared" si="4"/>
        <v>107178330355.85629</v>
      </c>
      <c r="P30" s="27"/>
      <c r="Q30" s="102"/>
    </row>
    <row r="31" spans="1:17" ht="15" customHeight="1" x14ac:dyDescent="0.2">
      <c r="A31" s="136" t="s">
        <v>87</v>
      </c>
      <c r="B31" s="10" t="s">
        <v>88</v>
      </c>
      <c r="C31" s="18">
        <v>21927</v>
      </c>
      <c r="D31" s="9">
        <f t="shared" si="0"/>
        <v>1960.0328542094455</v>
      </c>
      <c r="E31" s="44">
        <f>('Volume and Surface Area'!E31)</f>
        <v>2.0800179999999999</v>
      </c>
      <c r="F31" s="57">
        <f>('Volume and Surface Area'!G31)</f>
        <v>9.8141615579935698E-2</v>
      </c>
      <c r="G31" s="50">
        <f>('Mass (Lower bound)'!F31)</f>
        <v>165891030071.92368</v>
      </c>
      <c r="H31" s="47">
        <v>0.506463</v>
      </c>
      <c r="I31" s="75">
        <v>2.2006087069160199E-2</v>
      </c>
      <c r="J31" s="47">
        <f t="shared" si="1"/>
        <v>37197395113.004082</v>
      </c>
      <c r="K31" s="132">
        <f t="shared" si="3"/>
        <v>37197395113.004082</v>
      </c>
      <c r="L31" s="47">
        <v>1.573555</v>
      </c>
      <c r="M31" s="75">
        <v>7.6135528510775111E-2</v>
      </c>
      <c r="N31" s="47">
        <f t="shared" si="2"/>
        <v>128693634958.91891</v>
      </c>
      <c r="O31" s="132">
        <f t="shared" si="4"/>
        <v>128693634958.91891</v>
      </c>
      <c r="P31" s="27"/>
      <c r="Q31" s="102"/>
    </row>
    <row r="32" spans="1:17" ht="15" customHeight="1" x14ac:dyDescent="0.2">
      <c r="A32" s="136"/>
      <c r="B32" s="10" t="s">
        <v>90</v>
      </c>
      <c r="C32" s="18">
        <v>23085</v>
      </c>
      <c r="D32" s="9">
        <f t="shared" si="0"/>
        <v>1963.2032854209447</v>
      </c>
      <c r="E32" s="44">
        <f>('Volume and Surface Area'!E32)</f>
        <v>2.0051540000000001</v>
      </c>
      <c r="F32" s="57">
        <f>('Volume and Surface Area'!G32)</f>
        <v>0.106444735918722</v>
      </c>
      <c r="G32" s="50">
        <f>('Mass (Lower bound)'!F32)</f>
        <v>183161520376.59918</v>
      </c>
      <c r="H32" s="47">
        <v>0.51164299999999996</v>
      </c>
      <c r="I32" s="75">
        <v>2.76666978448156E-2</v>
      </c>
      <c r="J32" s="47">
        <f>(((I32-I31)*1000000000)*2080)+J31</f>
        <v>48971465526.367317</v>
      </c>
      <c r="K32" s="132">
        <f t="shared" si="3"/>
        <v>48971465526.367317</v>
      </c>
      <c r="L32" s="47">
        <v>1.493511</v>
      </c>
      <c r="M32" s="75">
        <v>7.8778038073906598E-2</v>
      </c>
      <c r="N32" s="47">
        <f>(((M32-M31)*1000000000)*2080)+N31</f>
        <v>134190054850.23241</v>
      </c>
      <c r="O32" s="132">
        <f t="shared" si="4"/>
        <v>134190054850.23241</v>
      </c>
      <c r="P32" s="27"/>
      <c r="Q32" s="102"/>
    </row>
    <row r="33" spans="1:17" ht="15" customHeight="1" x14ac:dyDescent="0.2">
      <c r="A33" s="136"/>
      <c r="B33" s="10" t="s">
        <v>96</v>
      </c>
      <c r="C33" s="18">
        <v>31260</v>
      </c>
      <c r="D33" s="9">
        <f t="shared" si="0"/>
        <v>1985.5852156057495</v>
      </c>
      <c r="E33" s="44">
        <f>('Volume and Surface Area'!E33)</f>
        <v>2.412588</v>
      </c>
      <c r="F33" s="57">
        <f>('Volume and Surface Area'!G33)</f>
        <v>0.107542091964641</v>
      </c>
      <c r="G33" s="50">
        <f>('Mass (Lower bound)'!F33)</f>
        <v>185444020952.11072</v>
      </c>
      <c r="H33" s="47">
        <v>0.82996999999999999</v>
      </c>
      <c r="I33" s="75">
        <v>3.1290554165506801E-2</v>
      </c>
      <c r="J33" s="47">
        <f>(((I33-I32)*1000000000)*2080)+J32</f>
        <v>56509086673.405014</v>
      </c>
      <c r="K33" s="132">
        <f t="shared" si="3"/>
        <v>56509086673.405014</v>
      </c>
      <c r="L33" s="47">
        <v>1.5826180000000001</v>
      </c>
      <c r="M33" s="75">
        <v>7.62515377991346E-2</v>
      </c>
      <c r="N33" s="47">
        <f>(((M33-M32)*1000000000)*2080)+N32</f>
        <v>128934934278.70665</v>
      </c>
      <c r="O33" s="132">
        <f t="shared" si="4"/>
        <v>128934934278.70665</v>
      </c>
      <c r="P33" s="27"/>
      <c r="Q33" s="102"/>
    </row>
    <row r="34" spans="1:17" ht="15" customHeight="1" x14ac:dyDescent="0.2">
      <c r="A34" s="136"/>
      <c r="B34" s="10">
        <v>1990</v>
      </c>
      <c r="C34" s="91" t="s">
        <v>141</v>
      </c>
      <c r="D34" s="90">
        <v>1990.5</v>
      </c>
      <c r="E34" s="44">
        <f>('Volume and Surface Area'!E34)</f>
        <v>2.5879409999999998</v>
      </c>
      <c r="F34" s="57">
        <f>('Volume and Surface Area'!G34)</f>
        <v>0.134152359108835</v>
      </c>
      <c r="G34" s="50">
        <f>('Mass (Lower bound)'!F34)</f>
        <v>240793376612.03421</v>
      </c>
      <c r="H34" s="47">
        <v>0.96214200000000005</v>
      </c>
      <c r="I34" s="75">
        <v>4.6943548825770599E-2</v>
      </c>
      <c r="J34" s="47">
        <f>(((I34-I33)*1000000000)*2080)+J33</f>
        <v>89067315566.753723</v>
      </c>
      <c r="K34" s="132">
        <f t="shared" si="3"/>
        <v>89067315566.753723</v>
      </c>
      <c r="L34" s="47">
        <v>1.625799</v>
      </c>
      <c r="M34" s="75">
        <v>8.7208810283063987E-2</v>
      </c>
      <c r="N34" s="47">
        <f>(((M34-M33)*1000000000)*2080)+N33</f>
        <v>151726061045.27979</v>
      </c>
      <c r="O34" s="132">
        <f t="shared" si="4"/>
        <v>151726061045.27979</v>
      </c>
      <c r="P34" s="27"/>
      <c r="Q34" s="102"/>
    </row>
    <row r="35" spans="1:17" ht="15" customHeight="1" x14ac:dyDescent="0.2">
      <c r="A35" s="136"/>
      <c r="B35" s="10" t="s">
        <v>99</v>
      </c>
      <c r="C35" s="91" t="s">
        <v>141</v>
      </c>
      <c r="D35" s="9">
        <v>2012.5</v>
      </c>
      <c r="E35" s="44">
        <f>('Volume and Surface Area'!E35)</f>
        <v>3.2157768985170603</v>
      </c>
      <c r="F35" s="57">
        <f>('Volume and Surface Area'!G35)</f>
        <v>0.163279080410553</v>
      </c>
      <c r="G35" s="50">
        <f>('Mass (Lower bound)'!F35)</f>
        <v>301376956919.60767</v>
      </c>
      <c r="H35" s="47">
        <v>1.1256113524587001</v>
      </c>
      <c r="I35" s="75">
        <v>5.6834047741579602E-2</v>
      </c>
      <c r="J35" s="47">
        <f>(((I35-I34)*1000000000)*2080)+J34</f>
        <v>109639553311.63644</v>
      </c>
      <c r="K35" s="132">
        <f t="shared" si="3"/>
        <v>109639553311.63644</v>
      </c>
      <c r="L35" s="47">
        <v>2.0901655460577802</v>
      </c>
      <c r="M35" s="75">
        <v>0.10644503266894401</v>
      </c>
      <c r="N35" s="47">
        <f>(((M35-M34)*1000000000)*2080)+N34</f>
        <v>191737403607.91022</v>
      </c>
      <c r="O35" s="132">
        <f t="shared" si="4"/>
        <v>191737403607.91022</v>
      </c>
      <c r="P35" s="27"/>
      <c r="Q35" s="102"/>
    </row>
    <row r="36" spans="1:17" ht="15" customHeight="1" x14ac:dyDescent="0.2">
      <c r="A36" s="136"/>
      <c r="B36" s="15" t="s">
        <v>101</v>
      </c>
      <c r="C36" s="18">
        <v>43435</v>
      </c>
      <c r="D36" s="9">
        <f>(C36/365.25)+1900</f>
        <v>2018.9185489390829</v>
      </c>
      <c r="E36" s="44">
        <f>('Volume and Surface Area'!E36)</f>
        <v>2.8548</v>
      </c>
      <c r="F36" s="57">
        <f>('Volume and Surface Area'!G36)</f>
        <v>0.17371874106629701</v>
      </c>
      <c r="G36" s="50">
        <f>('Mass (Lower bound)'!F36)</f>
        <v>323091451083.55518</v>
      </c>
      <c r="H36" s="47">
        <v>0.99539999999999995</v>
      </c>
      <c r="I36" s="75">
        <v>6.9058103617283595E-2</v>
      </c>
      <c r="J36" s="47">
        <f>(((I36-I35)*1000000000)*2080)+J35</f>
        <v>135065589533.10075</v>
      </c>
      <c r="K36" s="132">
        <f t="shared" si="3"/>
        <v>135065589533.10075</v>
      </c>
      <c r="L36" s="47">
        <v>1.8593999999999999</v>
      </c>
      <c r="M36" s="75">
        <v>0.10466063744901299</v>
      </c>
      <c r="N36" s="47">
        <f>(((M36-M35)*1000000000)*2080)+N35</f>
        <v>188025861550.4537</v>
      </c>
      <c r="O36" s="132">
        <f t="shared" si="4"/>
        <v>188025861550.4537</v>
      </c>
      <c r="P36" s="27"/>
      <c r="Q36" s="102"/>
    </row>
    <row r="37" spans="1:17" ht="15" customHeight="1" x14ac:dyDescent="0.25">
      <c r="A37" s="147" t="s">
        <v>103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27"/>
      <c r="Q37" s="102"/>
    </row>
    <row r="38" spans="1:17" ht="15" customHeight="1" x14ac:dyDescent="0.2">
      <c r="A38" s="140" t="s">
        <v>143</v>
      </c>
      <c r="B38" s="15" t="s">
        <v>106</v>
      </c>
      <c r="C38" s="18">
        <v>43456</v>
      </c>
      <c r="D38" s="9">
        <f>(C38/365.25)+1900</f>
        <v>2018.9760438056126</v>
      </c>
      <c r="E38" s="44">
        <f>('Volume and Surface Area'!E38)</f>
        <v>1.5206</v>
      </c>
      <c r="F38" s="57">
        <f>('Volume and Surface Area'!G38)</f>
        <v>5.72793550141001E-2</v>
      </c>
      <c r="G38" s="50">
        <f>('Mass (Lower bound)'!F38)</f>
        <v>100279212033.36491</v>
      </c>
      <c r="H38" s="47">
        <v>0</v>
      </c>
      <c r="I38" s="47">
        <v>0</v>
      </c>
      <c r="J38" s="47">
        <v>0</v>
      </c>
      <c r="K38" s="132">
        <f>J38</f>
        <v>0</v>
      </c>
      <c r="L38" s="47">
        <v>1.5206</v>
      </c>
      <c r="M38" s="75">
        <v>5.72793550141001E-2</v>
      </c>
      <c r="N38" s="47">
        <f>G38</f>
        <v>100279212033.36491</v>
      </c>
      <c r="O38" s="134">
        <f>N38</f>
        <v>100279212033.36491</v>
      </c>
      <c r="P38" s="27"/>
      <c r="Q38" s="102"/>
    </row>
    <row r="39" spans="1:17" ht="15" customHeight="1" x14ac:dyDescent="0.2">
      <c r="A39" s="140"/>
      <c r="B39" s="15" t="s">
        <v>108</v>
      </c>
      <c r="C39" s="18">
        <v>43475</v>
      </c>
      <c r="D39" s="9">
        <f t="shared" ref="D39" si="5">(C39/365.25)+1900</f>
        <v>2019.028062970568</v>
      </c>
      <c r="E39" s="44">
        <f>('Volume and Surface Area'!E39)</f>
        <v>2.9983309999999999</v>
      </c>
      <c r="F39" s="57">
        <f>('Volume and Surface Area'!G39)</f>
        <v>0.105707752344082</v>
      </c>
      <c r="G39" s="50">
        <f>('Mass (Lower bound)'!F39)</f>
        <v>182138845893.37192</v>
      </c>
      <c r="H39" s="47">
        <v>0.70535400000000004</v>
      </c>
      <c r="I39" s="75">
        <v>1.48360514505402E-2</v>
      </c>
      <c r="J39" s="47">
        <f>(I39*1000000000)*1690.323</f>
        <v>25077718996.031464</v>
      </c>
      <c r="K39" s="132">
        <f>J39</f>
        <v>25077718996.031464</v>
      </c>
      <c r="L39" s="47">
        <v>2.292977</v>
      </c>
      <c r="M39" s="75">
        <v>9.0871700893542309E-2</v>
      </c>
      <c r="N39" s="47">
        <f>(((M39-M38)*1000000000)*1690.323)+N38</f>
        <v>157061126897.34131</v>
      </c>
      <c r="O39" s="132">
        <f>N39</f>
        <v>157061126897.34131</v>
      </c>
      <c r="P39" s="27"/>
      <c r="Q39" s="102"/>
    </row>
    <row r="40" spans="1:17" ht="15" customHeight="1" x14ac:dyDescent="0.2">
      <c r="A40" s="140"/>
      <c r="B40" s="15" t="s">
        <v>111</v>
      </c>
      <c r="C40" s="18">
        <v>43692</v>
      </c>
      <c r="D40" s="9">
        <f>(C40/365.25)+1900</f>
        <v>2019.6221765913758</v>
      </c>
      <c r="E40" s="44">
        <f>('Volume and Surface Area'!E40)</f>
        <v>2.9763897697221102</v>
      </c>
      <c r="F40" s="57">
        <f>('Volume and Surface Area'!G40)</f>
        <v>0.126600698962967</v>
      </c>
      <c r="G40" s="50">
        <f>('Mass (Lower bound)'!F40)</f>
        <v>217454674101.04547</v>
      </c>
      <c r="H40" s="47">
        <v>0.656098626086426</v>
      </c>
      <c r="I40" s="75">
        <v>1.44020403779451E-2</v>
      </c>
      <c r="J40" s="47">
        <f>(((I40-I39)*1000000000)*1690.323)+J39</f>
        <v>24344100097.769295</v>
      </c>
      <c r="K40" s="132">
        <f>J40</f>
        <v>24344100097.769295</v>
      </c>
      <c r="L40" s="47">
        <v>2.3202911436351199</v>
      </c>
      <c r="M40" s="75">
        <v>0.112198658584997</v>
      </c>
      <c r="N40" s="47">
        <f>(((M40-M39)*1000000000)*1690.323)+N39</f>
        <v>193110574003.23407</v>
      </c>
      <c r="O40" s="132">
        <f>N40</f>
        <v>193110574003.23407</v>
      </c>
      <c r="P40" s="27"/>
      <c r="Q40" s="102"/>
    </row>
    <row r="41" spans="1:17" ht="15" customHeight="1" x14ac:dyDescent="0.2">
      <c r="A41" s="141" t="s">
        <v>115</v>
      </c>
      <c r="B41" s="15" t="s">
        <v>118</v>
      </c>
      <c r="C41" s="18">
        <v>44373</v>
      </c>
      <c r="D41" s="9">
        <f>(C41/365.25)+1900</f>
        <v>2021.4866529774126</v>
      </c>
      <c r="E41" s="44">
        <f>('Volume and Surface Area'!E41)</f>
        <v>2.8382057500208502</v>
      </c>
      <c r="F41" s="57">
        <f>('Volume and Surface Area'!G41)</f>
        <v>0.13365868570717199</v>
      </c>
      <c r="G41" s="50">
        <f>('Mass (Lower bound)'!F41)</f>
        <v>232135286528.99188</v>
      </c>
      <c r="H41" s="47">
        <v>0.64791588662984001</v>
      </c>
      <c r="I41" s="75">
        <v>1.88896179320804E-2</v>
      </c>
      <c r="J41" s="47">
        <f>(((I41-I40)*1000000000)*2080)+J40</f>
        <v>33678261410.37072</v>
      </c>
      <c r="K41" s="132">
        <f>J41</f>
        <v>33678261410.37072</v>
      </c>
      <c r="L41" s="47">
        <v>2.1902898550207199</v>
      </c>
      <c r="M41" s="75">
        <v>0.11476906777506864</v>
      </c>
      <c r="N41" s="47">
        <f>(((M41-M40)*1000000000)*2080)+N40</f>
        <v>198457025118.58307</v>
      </c>
      <c r="O41" s="132">
        <f>N41</f>
        <v>198457025118.58307</v>
      </c>
      <c r="P41" s="27"/>
      <c r="Q41" s="102"/>
    </row>
    <row r="42" spans="1:17" ht="15" customHeight="1" x14ac:dyDescent="0.2">
      <c r="A42" s="141"/>
      <c r="B42" s="43" t="s">
        <v>119</v>
      </c>
      <c r="C42" s="54">
        <v>45089</v>
      </c>
      <c r="D42" s="55">
        <f>(C42/365.25)+1900</f>
        <v>2023.4469541409994</v>
      </c>
      <c r="E42" s="44">
        <f>('Volume and Surface Area'!E42)</f>
        <v>3.12829857038163</v>
      </c>
      <c r="F42" s="57">
        <f>('Volume and Surface Area'!G42)</f>
        <v>0.15552923179039801</v>
      </c>
      <c r="G42" s="50">
        <f>('Mass (Lower bound)'!F42)</f>
        <v>277626022382.10199</v>
      </c>
      <c r="H42" s="47">
        <v>0.83515595777699003</v>
      </c>
      <c r="I42" s="75">
        <v>3.3645564309970198E-2</v>
      </c>
      <c r="J42" s="47">
        <f>(((I42-I41)*1000000000)*2080)+J41</f>
        <v>64370629876.3815</v>
      </c>
      <c r="K42" s="132">
        <f>J42</f>
        <v>64370629876.3815</v>
      </c>
      <c r="L42" s="47">
        <v>2.2929388136933504</v>
      </c>
      <c r="M42" s="75">
        <v>0.12188279840381301</v>
      </c>
      <c r="N42" s="47">
        <f>(((M42-M41)*1000000000)*2080)+N41</f>
        <v>213253584826.37137</v>
      </c>
      <c r="O42" s="132">
        <f>N42</f>
        <v>213253584826.37137</v>
      </c>
      <c r="P42" s="27"/>
      <c r="Q42" s="30"/>
    </row>
    <row r="43" spans="1:17" x14ac:dyDescent="0.2">
      <c r="D43" s="27"/>
      <c r="E43" s="32"/>
      <c r="G43" s="27"/>
      <c r="I43" s="98"/>
      <c r="J43" s="27"/>
      <c r="K43" s="27"/>
    </row>
    <row r="44" spans="1:17" x14ac:dyDescent="0.2">
      <c r="C44" s="92"/>
      <c r="D44" s="27"/>
      <c r="G44" s="27"/>
      <c r="H44" s="30"/>
      <c r="N44" s="98"/>
      <c r="P44" s="27"/>
    </row>
    <row r="45" spans="1:17" x14ac:dyDescent="0.2">
      <c r="C45" s="92"/>
      <c r="D45" s="27"/>
      <c r="G45" s="27"/>
      <c r="H45" s="30"/>
      <c r="I45" s="34"/>
      <c r="P45" s="30"/>
    </row>
    <row r="46" spans="1:17" x14ac:dyDescent="0.2">
      <c r="C46" s="92"/>
      <c r="D46" s="27"/>
      <c r="E46" s="27"/>
      <c r="F46" s="100"/>
      <c r="H46" s="30"/>
      <c r="I46" s="34"/>
      <c r="J46" s="30"/>
      <c r="K46" s="30"/>
      <c r="N46" s="101"/>
      <c r="P46" s="30"/>
    </row>
    <row r="47" spans="1:17" x14ac:dyDescent="0.2">
      <c r="C47" s="92"/>
      <c r="D47" s="27"/>
      <c r="F47" s="100"/>
      <c r="J47" s="93"/>
      <c r="K47" s="93"/>
      <c r="M47" s="27"/>
      <c r="N47" s="101"/>
      <c r="P47" s="101"/>
    </row>
    <row r="48" spans="1:17" x14ac:dyDescent="0.2">
      <c r="C48" s="32"/>
      <c r="D48" s="27"/>
      <c r="F48" s="100"/>
      <c r="H48" s="27"/>
      <c r="J48" s="97"/>
      <c r="K48" s="97"/>
      <c r="N48" s="38"/>
      <c r="P48" s="101"/>
    </row>
    <row r="49" spans="9:16" x14ac:dyDescent="0.2">
      <c r="J49" s="97"/>
      <c r="K49" s="97"/>
      <c r="N49" s="101"/>
      <c r="P49" s="105"/>
    </row>
    <row r="50" spans="9:16" x14ac:dyDescent="0.2">
      <c r="I50" s="33"/>
      <c r="N50" s="101"/>
      <c r="P50" s="105"/>
    </row>
    <row r="51" spans="9:16" x14ac:dyDescent="0.2">
      <c r="J51" s="27"/>
      <c r="K51" s="27"/>
      <c r="N51" s="27"/>
      <c r="P51" s="105"/>
    </row>
    <row r="55" spans="9:16" x14ac:dyDescent="0.2">
      <c r="I55" s="27"/>
      <c r="P55" s="104"/>
    </row>
    <row r="56" spans="9:16" x14ac:dyDescent="0.2">
      <c r="P56" s="104"/>
    </row>
    <row r="57" spans="9:16" x14ac:dyDescent="0.2">
      <c r="P57" s="104"/>
    </row>
    <row r="58" spans="9:16" x14ac:dyDescent="0.2">
      <c r="P58" s="104"/>
    </row>
  </sheetData>
  <mergeCells count="7">
    <mergeCell ref="A41:A42"/>
    <mergeCell ref="C1:D1"/>
    <mergeCell ref="A2:A8"/>
    <mergeCell ref="A9:A30"/>
    <mergeCell ref="A31:A36"/>
    <mergeCell ref="A38:A40"/>
    <mergeCell ref="A37:O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Height</vt:lpstr>
      <vt:lpstr>Volume and Surface Area</vt:lpstr>
      <vt:lpstr>Mass (Upper bound)</vt:lpstr>
      <vt:lpstr>Mass (Lower bound)</vt:lpstr>
      <vt:lpstr>Post-Collapse Mass Calculations</vt:lpstr>
      <vt:lpstr>Loading (Upper bound)</vt:lpstr>
      <vt:lpstr>Loading (Lower bound)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Kerys Meredew</dc:creator>
  <cp:keywords/>
  <dc:description/>
  <cp:lastModifiedBy>Kerys Meredew (PhD Earth Sciences FT)</cp:lastModifiedBy>
  <cp:revision/>
  <dcterms:created xsi:type="dcterms:W3CDTF">2023-07-24T11:12:42Z</dcterms:created>
  <dcterms:modified xsi:type="dcterms:W3CDTF">2026-02-19T13:59:18Z</dcterms:modified>
  <cp:category/>
  <cp:contentStatus/>
</cp:coreProperties>
</file>