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ort/Documents/Research folder/Campanian Folder/Campanian thermal mag/CI thermal ppr folder/For review folder/Supp Mat folder/"/>
    </mc:Choice>
  </mc:AlternateContent>
  <xr:revisionPtr revIDLastSave="0" documentId="8_{42021495-1B6A-BA4B-A748-26B742FE185C}" xr6:coauthVersionLast="47" xr6:coauthVersionMax="47" xr10:uidLastSave="{00000000-0000-0000-0000-000000000000}"/>
  <bookViews>
    <workbookView xWindow="0" yWindow="500" windowWidth="28020" windowHeight="16260" xr2:uid="{0CA0090C-EC4F-4DFC-8620-D08B228520D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 s="1"/>
  <c r="I7" i="1" s="1"/>
  <c r="G18" i="1"/>
  <c r="H9" i="1"/>
  <c r="K8" i="1"/>
  <c r="K7" i="1"/>
  <c r="K6" i="1"/>
  <c r="K5" i="1"/>
  <c r="B7" i="1"/>
  <c r="B8" i="1" s="1"/>
  <c r="I8" i="1" l="1"/>
  <c r="I9" i="1" s="1"/>
  <c r="J7" i="1"/>
  <c r="J5" i="1"/>
  <c r="K9" i="1"/>
  <c r="N9" i="1" s="1"/>
  <c r="J6" i="1"/>
  <c r="H10" i="1"/>
  <c r="I10" i="1" l="1"/>
  <c r="J10" i="1" s="1"/>
  <c r="L10" i="1" s="1"/>
  <c r="L5" i="1"/>
  <c r="M5" i="1" s="1"/>
  <c r="Q5" i="1" s="1"/>
  <c r="R5" i="1" s="1"/>
  <c r="S5" i="1" s="1"/>
  <c r="J9" i="1"/>
  <c r="L9" i="1" s="1"/>
  <c r="M9" i="1" s="1"/>
  <c r="Q9" i="1" s="1"/>
  <c r="R9" i="1" s="1"/>
  <c r="S9" i="1" s="1"/>
  <c r="L6" i="1"/>
  <c r="M6" i="1" s="1"/>
  <c r="Q6" i="1" s="1"/>
  <c r="R6" i="1" s="1"/>
  <c r="S6" i="1" s="1"/>
  <c r="J8" i="1"/>
  <c r="L8" i="1" s="1"/>
  <c r="M8" i="1" s="1"/>
  <c r="Q8" i="1" s="1"/>
  <c r="R8" i="1" s="1"/>
  <c r="S8" i="1" s="1"/>
  <c r="L7" i="1"/>
  <c r="H11" i="1"/>
  <c r="K10" i="1"/>
  <c r="O9" i="1" l="1"/>
  <c r="M10" i="1"/>
  <c r="Q10" i="1" s="1"/>
  <c r="R10" i="1" s="1"/>
  <c r="S10" i="1" s="1"/>
  <c r="I11" i="1"/>
  <c r="J11" i="1" s="1"/>
  <c r="L11" i="1" s="1"/>
  <c r="M7" i="1"/>
  <c r="Q7" i="1" s="1"/>
  <c r="R7" i="1" s="1"/>
  <c r="S7" i="1" s="1"/>
  <c r="K11" i="1"/>
  <c r="H12" i="1"/>
  <c r="M11" i="1" l="1"/>
  <c r="Q11" i="1" s="1"/>
  <c r="R11" i="1" s="1"/>
  <c r="S11" i="1" s="1"/>
  <c r="I12" i="1"/>
  <c r="J12" i="1" s="1"/>
  <c r="L12" i="1" s="1"/>
  <c r="K12" i="1"/>
  <c r="H13" i="1"/>
  <c r="M12" i="1" l="1"/>
  <c r="Q12" i="1" s="1"/>
  <c r="I13" i="1"/>
  <c r="J13" i="1" s="1"/>
  <c r="L13" i="1" s="1"/>
  <c r="K13" i="1"/>
  <c r="H14" i="1"/>
  <c r="R12" i="1"/>
  <c r="S12" i="1" s="1"/>
  <c r="M13" i="1" l="1"/>
  <c r="Q13" i="1" s="1"/>
  <c r="R13" i="1" s="1"/>
  <c r="S13" i="1" s="1"/>
  <c r="I14" i="1"/>
  <c r="J14" i="1" s="1"/>
  <c r="L14" i="1" s="1"/>
  <c r="H15" i="1"/>
  <c r="K14" i="1"/>
  <c r="M14" i="1" l="1"/>
  <c r="Q14" i="1" s="1"/>
  <c r="R14" i="1" s="1"/>
  <c r="S14" i="1" s="1"/>
  <c r="I15" i="1"/>
  <c r="J15" i="1" s="1"/>
  <c r="L15" i="1" s="1"/>
  <c r="L18" i="1"/>
  <c r="K15" i="1"/>
  <c r="M15" i="1" l="1"/>
  <c r="Q15" i="1" s="1"/>
  <c r="R15" i="1"/>
</calcChain>
</file>

<file path=xl/sharedStrings.xml><?xml version="1.0" encoding="utf-8"?>
<sst xmlns="http://schemas.openxmlformats.org/spreadsheetml/2006/main" count="95" uniqueCount="61">
  <si>
    <t>DATA</t>
  </si>
  <si>
    <t>flow volume (m3)</t>
  </si>
  <si>
    <t>flow thickness (m)</t>
  </si>
  <si>
    <t>Ri (rhom-rhoa)gh/rhom v2</t>
  </si>
  <si>
    <t>av velocity</t>
  </si>
  <si>
    <t>CI mass</t>
  </si>
  <si>
    <t>CI mass Silleni et al 2024</t>
  </si>
  <si>
    <t>distance (m)</t>
  </si>
  <si>
    <t>mass erupted (kg)</t>
  </si>
  <si>
    <t>mass below Mts (kg)</t>
  </si>
  <si>
    <t>density below Mts (kg/m3)</t>
  </si>
  <si>
    <t>flow density (kg/m3)</t>
  </si>
  <si>
    <t>CI av velocity Silleni et al 2024</t>
  </si>
  <si>
    <t>Maximum runout (m)</t>
  </si>
  <si>
    <t>Average runout (m)</t>
  </si>
  <si>
    <t>Flow duration (s)</t>
  </si>
  <si>
    <t>Sedimentation rate (kg/s m2)</t>
  </si>
  <si>
    <t>Bursik and Woods (1996)</t>
  </si>
  <si>
    <t>Average flow velocity (m/s)</t>
  </si>
  <si>
    <t>Mass flux (kg/s)</t>
  </si>
  <si>
    <t>VALUE</t>
  </si>
  <si>
    <t>REFERENCE</t>
  </si>
  <si>
    <t>Silleni et al. (2024)</t>
  </si>
  <si>
    <t>Average distance from first mt ridge (m)</t>
  </si>
  <si>
    <t>Average height of  first mt ridge (m)</t>
  </si>
  <si>
    <t>% of ig mass deposited before first mt ridge</t>
  </si>
  <si>
    <t>% of flow mass distributed below first mt ridge</t>
  </si>
  <si>
    <t xml:space="preserve">Mass of the onshore ignimbrite (kg) </t>
  </si>
  <si>
    <t>Total mass (ig+ig offshore+coig+intracaldera) (kg)</t>
  </si>
  <si>
    <t>Flow density decay pattern</t>
  </si>
  <si>
    <t>exponential</t>
  </si>
  <si>
    <t>Flow velocity  decay pattern</t>
  </si>
  <si>
    <t>Flow density at liftoff (&lt; air density)</t>
  </si>
  <si>
    <t>Initial flow density (kg/m3)</t>
  </si>
  <si>
    <t>Calabrò et al. (2022)</t>
  </si>
  <si>
    <t>supercritical</t>
  </si>
  <si>
    <t>subcritical</t>
  </si>
  <si>
    <t>unstable</t>
  </si>
  <si>
    <t>liftoff</t>
  </si>
  <si>
    <t>flow regime</t>
  </si>
  <si>
    <t>high</t>
  </si>
  <si>
    <t>moderate</t>
  </si>
  <si>
    <t>low</t>
  </si>
  <si>
    <t>air density (kg/m3)</t>
  </si>
  <si>
    <t>acceleration of gravity (m/s2)</t>
  </si>
  <si>
    <t>flow mass  (kg)</t>
  </si>
  <si>
    <t>air entrainment rate</t>
  </si>
  <si>
    <t>m/s</t>
  </si>
  <si>
    <t xml:space="preserve">velocity </t>
  </si>
  <si>
    <t>s</t>
  </si>
  <si>
    <t xml:space="preserve">t </t>
  </si>
  <si>
    <t>m</t>
  </si>
  <si>
    <t>m2</t>
  </si>
  <si>
    <t>kg</t>
  </si>
  <si>
    <t>kg/m3</t>
  </si>
  <si>
    <t>m3</t>
  </si>
  <si>
    <t>Ri</t>
  </si>
  <si>
    <t>deposit</t>
  </si>
  <si>
    <t xml:space="preserve">area </t>
  </si>
  <si>
    <t>Table S4 - Data used for calculations of the Campanian Ignimbrite flow thickness and regime</t>
  </si>
  <si>
    <t xml:space="preserve">Table S5 Calculation of flow thickness at different times considering average mass flux and variable velocity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</si>
</sst>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5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3" fillId="0" borderId="2" xfId="0" applyFont="1" applyBorder="1"/>
    <xf numFmtId="0" fontId="3" fillId="0" borderId="1" xfId="0" applyFont="1" applyBorder="1"/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2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/>
    <xf numFmtId="164" fontId="0" fillId="0" borderId="1" xfId="0" applyNumberFormat="1" applyBorder="1"/>
    <xf numFmtId="2" fontId="0" fillId="0" borderId="1" xfId="0" applyNumberFormat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Foglio1!$G$2</c:f>
              <c:strCache>
                <c:ptCount val="1"/>
                <c:pt idx="0">
                  <c:v>velocity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Foglio1!$I$4:$I$15</c:f>
              <c:numCache>
                <c:formatCode>General</c:formatCode>
                <c:ptCount val="12"/>
                <c:pt idx="1">
                  <c:v>7800</c:v>
                </c:pt>
                <c:pt idx="2">
                  <c:v>13800</c:v>
                </c:pt>
                <c:pt idx="3">
                  <c:v>23400</c:v>
                </c:pt>
                <c:pt idx="4">
                  <c:v>37150</c:v>
                </c:pt>
                <c:pt idx="5">
                  <c:v>42550</c:v>
                </c:pt>
                <c:pt idx="6">
                  <c:v>47950</c:v>
                </c:pt>
                <c:pt idx="7">
                  <c:v>52750</c:v>
                </c:pt>
                <c:pt idx="8">
                  <c:v>56950</c:v>
                </c:pt>
                <c:pt idx="9">
                  <c:v>60550</c:v>
                </c:pt>
                <c:pt idx="10">
                  <c:v>64150</c:v>
                </c:pt>
                <c:pt idx="11">
                  <c:v>64150</c:v>
                </c:pt>
              </c:numCache>
            </c:numRef>
          </c:xVal>
          <c:yVal>
            <c:numRef>
              <c:f>Foglio1!$P$4:$P$15</c:f>
              <c:numCache>
                <c:formatCode>General</c:formatCode>
                <c:ptCount val="12"/>
                <c:pt idx="0">
                  <c:v>100</c:v>
                </c:pt>
                <c:pt idx="1">
                  <c:v>65</c:v>
                </c:pt>
                <c:pt idx="2">
                  <c:v>50</c:v>
                </c:pt>
                <c:pt idx="3">
                  <c:v>35</c:v>
                </c:pt>
                <c:pt idx="4">
                  <c:v>17</c:v>
                </c:pt>
                <c:pt idx="5">
                  <c:v>12</c:v>
                </c:pt>
                <c:pt idx="6">
                  <c:v>8</c:v>
                </c:pt>
                <c:pt idx="7">
                  <c:v>5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14-43CF-9BE9-9948BE71E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8303104"/>
        <c:axId val="1058320384"/>
      </c:scatterChart>
      <c:valAx>
        <c:axId val="1058303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320384"/>
        <c:crosses val="autoZero"/>
        <c:crossBetween val="midCat"/>
      </c:valAx>
      <c:valAx>
        <c:axId val="1058320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303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Foglio1!$P$2</c:f>
              <c:strCache>
                <c:ptCount val="1"/>
                <c:pt idx="0">
                  <c:v>flow density (kg/m3)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xVal>
            <c:numRef>
              <c:f>Foglio1!$I$4:$I$15</c:f>
              <c:numCache>
                <c:formatCode>General</c:formatCode>
                <c:ptCount val="12"/>
                <c:pt idx="1">
                  <c:v>7800</c:v>
                </c:pt>
                <c:pt idx="2">
                  <c:v>13800</c:v>
                </c:pt>
                <c:pt idx="3">
                  <c:v>23400</c:v>
                </c:pt>
                <c:pt idx="4">
                  <c:v>37150</c:v>
                </c:pt>
                <c:pt idx="5">
                  <c:v>42550</c:v>
                </c:pt>
                <c:pt idx="6">
                  <c:v>47950</c:v>
                </c:pt>
                <c:pt idx="7">
                  <c:v>52750</c:v>
                </c:pt>
                <c:pt idx="8">
                  <c:v>56950</c:v>
                </c:pt>
                <c:pt idx="9">
                  <c:v>60550</c:v>
                </c:pt>
                <c:pt idx="10">
                  <c:v>64150</c:v>
                </c:pt>
                <c:pt idx="11">
                  <c:v>64150</c:v>
                </c:pt>
              </c:numCache>
            </c:numRef>
          </c:xVal>
          <c:yVal>
            <c:numRef>
              <c:f>Foglio1!$G$4:$G$15</c:f>
              <c:numCache>
                <c:formatCode>General</c:formatCode>
                <c:ptCount val="12"/>
                <c:pt idx="0">
                  <c:v>160</c:v>
                </c:pt>
                <c:pt idx="1">
                  <c:v>130</c:v>
                </c:pt>
                <c:pt idx="2">
                  <c:v>100</c:v>
                </c:pt>
                <c:pt idx="3">
                  <c:v>80</c:v>
                </c:pt>
                <c:pt idx="4">
                  <c:v>62.5</c:v>
                </c:pt>
                <c:pt idx="5">
                  <c:v>45</c:v>
                </c:pt>
                <c:pt idx="6">
                  <c:v>45</c:v>
                </c:pt>
                <c:pt idx="7">
                  <c:v>40</c:v>
                </c:pt>
                <c:pt idx="8">
                  <c:v>35</c:v>
                </c:pt>
                <c:pt idx="9">
                  <c:v>30</c:v>
                </c:pt>
                <c:pt idx="10">
                  <c:v>30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F6F-4CD0-A94C-023A4997A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8308864"/>
        <c:axId val="1058329024"/>
      </c:scatterChart>
      <c:valAx>
        <c:axId val="1058308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329024"/>
        <c:crosses val="autoZero"/>
        <c:crossBetween val="midCat"/>
      </c:valAx>
      <c:valAx>
        <c:axId val="1058329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830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53340</xdr:colOff>
      <xdr:row>19</xdr:row>
      <xdr:rowOff>87630</xdr:rowOff>
    </xdr:from>
    <xdr:to>
      <xdr:col>20</xdr:col>
      <xdr:colOff>579120</xdr:colOff>
      <xdr:row>34</xdr:row>
      <xdr:rowOff>87630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F26BB29-99F4-7320-5DB1-5538D2B197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297180</xdr:colOff>
      <xdr:row>22</xdr:row>
      <xdr:rowOff>106680</xdr:rowOff>
    </xdr:from>
    <xdr:to>
      <xdr:col>29</xdr:col>
      <xdr:colOff>334742</xdr:colOff>
      <xdr:row>33</xdr:row>
      <xdr:rowOff>180714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C149F2C-7EA9-83AC-5E6A-AF2910A85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72560" y="3947160"/>
          <a:ext cx="4304762" cy="2085714"/>
        </a:xfrm>
        <a:prstGeom prst="rect">
          <a:avLst/>
        </a:prstGeom>
      </xdr:spPr>
    </xdr:pic>
    <xdr:clientData/>
  </xdr:twoCellAnchor>
  <xdr:twoCellAnchor>
    <xdr:from>
      <xdr:col>5</xdr:col>
      <xdr:colOff>632460</xdr:colOff>
      <xdr:row>19</xdr:row>
      <xdr:rowOff>95250</xdr:rowOff>
    </xdr:from>
    <xdr:to>
      <xdr:col>12</xdr:col>
      <xdr:colOff>701040</xdr:colOff>
      <xdr:row>34</xdr:row>
      <xdr:rowOff>95250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9B96C37-32C3-C451-6C11-378C2D5DA5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925E4-ACCD-411E-A3F8-FC78F79064FB}">
  <dimension ref="A1:U23"/>
  <sheetViews>
    <sheetView tabSelected="1" workbookViewId="0">
      <selection activeCell="F38" sqref="F38:Q51"/>
    </sheetView>
  </sheetViews>
  <sheetFormatPr baseColWidth="10" defaultColWidth="8.83203125" defaultRowHeight="15" x14ac:dyDescent="0.2"/>
  <cols>
    <col min="1" max="1" width="40.83203125" bestFit="1" customWidth="1"/>
    <col min="2" max="2" width="10.1640625" bestFit="1" customWidth="1"/>
    <col min="3" max="3" width="23.1640625" customWidth="1"/>
    <col min="5" max="5" width="6.6640625" customWidth="1"/>
    <col min="6" max="6" width="9.83203125" customWidth="1"/>
    <col min="7" max="7" width="11.1640625" customWidth="1"/>
    <col min="8" max="8" width="5.1640625" customWidth="1"/>
    <col min="9" max="9" width="7.33203125" customWidth="1"/>
    <col min="10" max="10" width="6.1640625" customWidth="1"/>
    <col min="11" max="11" width="11.83203125" customWidth="1"/>
    <col min="12" max="12" width="7.83203125" customWidth="1"/>
    <col min="13" max="13" width="8.5" customWidth="1"/>
    <col min="14" max="14" width="13.5" customWidth="1"/>
    <col min="15" max="15" width="14.6640625" customWidth="1"/>
    <col min="16" max="16" width="10.1640625" customWidth="1"/>
    <col min="17" max="17" width="10.5" customWidth="1"/>
    <col min="18" max="18" width="12.1640625" customWidth="1"/>
    <col min="19" max="19" width="7" customWidth="1"/>
    <col min="20" max="20" width="11.1640625" customWidth="1"/>
    <col min="21" max="21" width="17.33203125" customWidth="1"/>
  </cols>
  <sheetData>
    <row r="1" spans="1:21" ht="16" thickBot="1" x14ac:dyDescent="0.25">
      <c r="A1" s="23" t="s">
        <v>59</v>
      </c>
      <c r="B1" s="23"/>
      <c r="C1" s="23"/>
      <c r="F1" s="2"/>
      <c r="G1" t="s">
        <v>60</v>
      </c>
    </row>
    <row r="2" spans="1:21" ht="16" thickBot="1" x14ac:dyDescent="0.25">
      <c r="A2" s="5" t="s">
        <v>0</v>
      </c>
      <c r="B2" s="8" t="s">
        <v>20</v>
      </c>
      <c r="C2" s="9" t="s">
        <v>21</v>
      </c>
      <c r="G2" s="17" t="s">
        <v>48</v>
      </c>
      <c r="H2" s="18" t="s">
        <v>50</v>
      </c>
      <c r="I2" s="18" t="s">
        <v>7</v>
      </c>
      <c r="J2" s="18" t="s">
        <v>58</v>
      </c>
      <c r="K2" s="18" t="s">
        <v>8</v>
      </c>
      <c r="L2" s="18" t="s">
        <v>57</v>
      </c>
      <c r="M2" s="18" t="s">
        <v>45</v>
      </c>
      <c r="N2" s="18" t="s">
        <v>9</v>
      </c>
      <c r="O2" s="18" t="s">
        <v>10</v>
      </c>
      <c r="P2" s="18" t="s">
        <v>11</v>
      </c>
      <c r="Q2" s="18" t="s">
        <v>1</v>
      </c>
      <c r="R2" s="18" t="s">
        <v>2</v>
      </c>
      <c r="S2" s="18" t="s">
        <v>56</v>
      </c>
      <c r="T2" s="18" t="s">
        <v>39</v>
      </c>
      <c r="U2" s="19" t="s">
        <v>46</v>
      </c>
    </row>
    <row r="3" spans="1:21" ht="16" thickBot="1" x14ac:dyDescent="0.25">
      <c r="A3" s="6" t="s">
        <v>27</v>
      </c>
      <c r="B3" s="10">
        <v>49000000000000</v>
      </c>
      <c r="C3" s="11" t="s">
        <v>22</v>
      </c>
      <c r="G3" s="20" t="s">
        <v>47</v>
      </c>
      <c r="H3" s="21" t="s">
        <v>49</v>
      </c>
      <c r="I3" s="21" t="s">
        <v>51</v>
      </c>
      <c r="J3" s="21" t="s">
        <v>52</v>
      </c>
      <c r="K3" s="21" t="s">
        <v>53</v>
      </c>
      <c r="L3" s="21" t="s">
        <v>53</v>
      </c>
      <c r="M3" s="21" t="s">
        <v>53</v>
      </c>
      <c r="N3" s="21" t="s">
        <v>53</v>
      </c>
      <c r="O3" s="21" t="s">
        <v>54</v>
      </c>
      <c r="P3" s="21" t="s">
        <v>54</v>
      </c>
      <c r="Q3" s="21" t="s">
        <v>55</v>
      </c>
      <c r="R3" s="21" t="s">
        <v>51</v>
      </c>
      <c r="S3" s="21"/>
      <c r="T3" s="21"/>
      <c r="U3" s="22"/>
    </row>
    <row r="4" spans="1:21" x14ac:dyDescent="0.2">
      <c r="A4" s="7" t="s">
        <v>13</v>
      </c>
      <c r="B4" s="12">
        <v>75000</v>
      </c>
      <c r="C4" s="13" t="s">
        <v>22</v>
      </c>
      <c r="G4" s="4">
        <v>160</v>
      </c>
      <c r="H4" s="4"/>
      <c r="I4" s="4"/>
      <c r="J4" s="4"/>
      <c r="K4" s="4"/>
      <c r="L4" s="4"/>
      <c r="M4" s="4"/>
      <c r="N4" s="4"/>
      <c r="O4" s="4"/>
      <c r="P4" s="4">
        <v>100</v>
      </c>
      <c r="Q4" s="4"/>
      <c r="R4" s="4"/>
      <c r="S4" s="4"/>
      <c r="T4" s="4"/>
      <c r="U4" s="4" t="s">
        <v>40</v>
      </c>
    </row>
    <row r="5" spans="1:21" x14ac:dyDescent="0.2">
      <c r="A5" s="7" t="s">
        <v>14</v>
      </c>
      <c r="B5" s="12">
        <v>64000</v>
      </c>
      <c r="C5" s="13" t="s">
        <v>22</v>
      </c>
      <c r="G5" s="3">
        <v>130</v>
      </c>
      <c r="H5" s="3">
        <v>60</v>
      </c>
      <c r="I5" s="3">
        <f>G5*H5</f>
        <v>7800</v>
      </c>
      <c r="J5" s="3">
        <f>I5*I5*3.14</f>
        <v>191037600</v>
      </c>
      <c r="K5" s="3">
        <f t="shared" ref="K5:K15" si="0">$B$9*H5</f>
        <v>6000000000000</v>
      </c>
      <c r="L5" s="3">
        <f>1*H5*J5</f>
        <v>11462256000</v>
      </c>
      <c r="M5" s="3">
        <f>K5-L5</f>
        <v>5988537744000</v>
      </c>
      <c r="N5" s="3"/>
      <c r="O5" s="3"/>
      <c r="P5" s="3">
        <v>65</v>
      </c>
      <c r="Q5" s="3">
        <f>M5/P5</f>
        <v>92131349907.692307</v>
      </c>
      <c r="R5" s="14">
        <f t="shared" ref="R5:R15" si="1">Q5/J5</f>
        <v>482.2681498704564</v>
      </c>
      <c r="S5" s="15">
        <f t="shared" ref="S5:S14" si="2">(P5-$B$20)*$B$21*R5/(P5*G5*G5)</f>
        <v>0.27449552847064557</v>
      </c>
      <c r="T5" s="3" t="s">
        <v>35</v>
      </c>
      <c r="U5" s="3" t="s">
        <v>40</v>
      </c>
    </row>
    <row r="6" spans="1:21" x14ac:dyDescent="0.2">
      <c r="A6" s="7" t="s">
        <v>16</v>
      </c>
      <c r="B6" s="12">
        <v>1</v>
      </c>
      <c r="C6" s="13" t="s">
        <v>17</v>
      </c>
      <c r="G6" s="3">
        <v>100</v>
      </c>
      <c r="H6" s="3">
        <v>120</v>
      </c>
      <c r="I6" s="3">
        <f>I5+(H6-H5)*G6</f>
        <v>13800</v>
      </c>
      <c r="J6" s="3">
        <f t="shared" ref="J6:J15" si="3">I6*I6*3.14</f>
        <v>597981600</v>
      </c>
      <c r="K6" s="3">
        <f t="shared" si="0"/>
        <v>12000000000000</v>
      </c>
      <c r="L6" s="3">
        <f t="shared" ref="L6:L15" si="4">1*H6*J6</f>
        <v>71757792000</v>
      </c>
      <c r="M6" s="3">
        <f t="shared" ref="M6:M15" si="5">K6-L6</f>
        <v>11928242208000</v>
      </c>
      <c r="N6" s="3"/>
      <c r="O6" s="3"/>
      <c r="P6" s="3">
        <v>50</v>
      </c>
      <c r="Q6" s="3">
        <f t="shared" ref="Q6:Q15" si="6">M6/P6</f>
        <v>238564844160</v>
      </c>
      <c r="R6" s="14">
        <f t="shared" si="1"/>
        <v>398.95014187727514</v>
      </c>
      <c r="S6" s="15">
        <f t="shared" si="2"/>
        <v>0.38158783170277616</v>
      </c>
      <c r="T6" s="3" t="s">
        <v>35</v>
      </c>
      <c r="U6" s="3" t="s">
        <v>40</v>
      </c>
    </row>
    <row r="7" spans="1:21" x14ac:dyDescent="0.2">
      <c r="A7" s="7" t="s">
        <v>15</v>
      </c>
      <c r="B7" s="12">
        <f>20*60</f>
        <v>1200</v>
      </c>
      <c r="C7" s="13" t="s">
        <v>22</v>
      </c>
      <c r="G7" s="3">
        <v>80</v>
      </c>
      <c r="H7" s="3">
        <v>240</v>
      </c>
      <c r="I7" s="3">
        <f t="shared" ref="I7:I14" si="7">I6+(H7-H6)*G7</f>
        <v>23400</v>
      </c>
      <c r="J7" s="3">
        <f t="shared" si="3"/>
        <v>1719338400</v>
      </c>
      <c r="K7" s="3">
        <f t="shared" si="0"/>
        <v>24000000000000</v>
      </c>
      <c r="L7" s="3">
        <f t="shared" si="4"/>
        <v>412641216000</v>
      </c>
      <c r="M7" s="3">
        <f t="shared" si="5"/>
        <v>23587358784000</v>
      </c>
      <c r="N7" s="3"/>
      <c r="O7" s="3"/>
      <c r="P7" s="3">
        <v>35</v>
      </c>
      <c r="Q7" s="3">
        <f t="shared" si="6"/>
        <v>673924536685.71423</v>
      </c>
      <c r="R7" s="14">
        <f t="shared" si="1"/>
        <v>391.96736179783704</v>
      </c>
      <c r="S7" s="15">
        <f t="shared" si="2"/>
        <v>0.57962173625855151</v>
      </c>
      <c r="T7" s="3" t="s">
        <v>35</v>
      </c>
      <c r="U7" s="3" t="s">
        <v>40</v>
      </c>
    </row>
    <row r="8" spans="1:21" x14ac:dyDescent="0.2">
      <c r="A8" s="7" t="s">
        <v>18</v>
      </c>
      <c r="B8" s="12">
        <f>B4/B7</f>
        <v>62.5</v>
      </c>
      <c r="C8" s="13" t="s">
        <v>22</v>
      </c>
      <c r="G8" s="3">
        <v>62.5</v>
      </c>
      <c r="H8" s="3">
        <v>460</v>
      </c>
      <c r="I8" s="3">
        <f t="shared" si="7"/>
        <v>37150</v>
      </c>
      <c r="J8" s="3">
        <f t="shared" si="3"/>
        <v>4333584650</v>
      </c>
      <c r="K8" s="3">
        <f t="shared" si="0"/>
        <v>46000000000000</v>
      </c>
      <c r="L8" s="3">
        <f t="shared" si="4"/>
        <v>1993448939000</v>
      </c>
      <c r="M8" s="3">
        <f t="shared" si="5"/>
        <v>44006551061000</v>
      </c>
      <c r="N8" s="3"/>
      <c r="O8" s="3"/>
      <c r="P8" s="3">
        <v>17</v>
      </c>
      <c r="Q8" s="3">
        <f t="shared" si="6"/>
        <v>2588620650647.0586</v>
      </c>
      <c r="R8" s="14">
        <f t="shared" si="1"/>
        <v>597.33935291815715</v>
      </c>
      <c r="S8" s="15">
        <f t="shared" si="2"/>
        <v>1.3928210884645267</v>
      </c>
      <c r="T8" s="3" t="s">
        <v>36</v>
      </c>
      <c r="U8" s="3" t="s">
        <v>41</v>
      </c>
    </row>
    <row r="9" spans="1:21" x14ac:dyDescent="0.2">
      <c r="A9" s="7" t="s">
        <v>19</v>
      </c>
      <c r="B9" s="12">
        <v>100000000000</v>
      </c>
      <c r="C9" s="13" t="s">
        <v>22</v>
      </c>
      <c r="G9" s="3">
        <v>45</v>
      </c>
      <c r="H9" s="3">
        <f>H8+120</f>
        <v>580</v>
      </c>
      <c r="I9" s="3">
        <f t="shared" si="7"/>
        <v>42550</v>
      </c>
      <c r="J9" s="3">
        <f t="shared" si="3"/>
        <v>5684977850</v>
      </c>
      <c r="K9" s="3">
        <f t="shared" si="0"/>
        <v>58000000000000</v>
      </c>
      <c r="L9" s="3">
        <f t="shared" si="4"/>
        <v>3297287153000</v>
      </c>
      <c r="M9" s="3">
        <f t="shared" si="5"/>
        <v>54702712847000</v>
      </c>
      <c r="N9" s="3">
        <f>K9*0.41</f>
        <v>23780000000000</v>
      </c>
      <c r="O9" s="16">
        <f>N9/(I10*I10*3.14/2*$B$11)</f>
        <v>12.15446054876185</v>
      </c>
      <c r="P9" s="3">
        <v>12</v>
      </c>
      <c r="Q9" s="3">
        <f t="shared" si="6"/>
        <v>4558559403916.667</v>
      </c>
      <c r="R9" s="14">
        <f t="shared" si="1"/>
        <v>801.86053916052936</v>
      </c>
      <c r="S9" s="15">
        <f t="shared" si="2"/>
        <v>3.4925481261214175</v>
      </c>
      <c r="T9" s="3" t="s">
        <v>36</v>
      </c>
      <c r="U9" s="3" t="s">
        <v>41</v>
      </c>
    </row>
    <row r="10" spans="1:21" x14ac:dyDescent="0.2">
      <c r="A10" s="7" t="s">
        <v>23</v>
      </c>
      <c r="B10" s="12">
        <v>41000</v>
      </c>
      <c r="C10" s="13" t="s">
        <v>22</v>
      </c>
      <c r="G10" s="3">
        <v>45</v>
      </c>
      <c r="H10" s="3">
        <f t="shared" ref="H10:H15" si="8">H9+120</f>
        <v>700</v>
      </c>
      <c r="I10" s="3">
        <f t="shared" si="7"/>
        <v>47950</v>
      </c>
      <c r="J10" s="3">
        <f t="shared" si="3"/>
        <v>7219495850</v>
      </c>
      <c r="K10" s="3">
        <f t="shared" si="0"/>
        <v>70000000000000</v>
      </c>
      <c r="L10" s="3">
        <f t="shared" si="4"/>
        <v>5053647095000</v>
      </c>
      <c r="M10" s="3">
        <f t="shared" si="5"/>
        <v>64946352905000</v>
      </c>
      <c r="N10" s="3"/>
      <c r="O10" s="3"/>
      <c r="P10" s="3">
        <v>8</v>
      </c>
      <c r="Q10" s="3">
        <f t="shared" si="6"/>
        <v>8118294113125</v>
      </c>
      <c r="R10" s="14">
        <f t="shared" si="1"/>
        <v>1124.4959872267259</v>
      </c>
      <c r="S10" s="15">
        <f t="shared" si="2"/>
        <v>4.6257044807894454</v>
      </c>
      <c r="T10" s="3" t="s">
        <v>36</v>
      </c>
      <c r="U10" s="3" t="s">
        <v>42</v>
      </c>
    </row>
    <row r="11" spans="1:21" x14ac:dyDescent="0.2">
      <c r="A11" s="7" t="s">
        <v>24</v>
      </c>
      <c r="B11" s="12">
        <v>542</v>
      </c>
      <c r="C11" s="13" t="s">
        <v>22</v>
      </c>
      <c r="G11" s="3">
        <v>40</v>
      </c>
      <c r="H11" s="3">
        <f t="shared" si="8"/>
        <v>820</v>
      </c>
      <c r="I11" s="3">
        <f t="shared" si="7"/>
        <v>52750</v>
      </c>
      <c r="J11" s="3">
        <f t="shared" si="3"/>
        <v>8737246250</v>
      </c>
      <c r="K11" s="3">
        <f t="shared" si="0"/>
        <v>82000000000000</v>
      </c>
      <c r="L11" s="3">
        <f t="shared" si="4"/>
        <v>7164541925000</v>
      </c>
      <c r="M11" s="3">
        <f t="shared" si="5"/>
        <v>74835458075000</v>
      </c>
      <c r="N11" s="3"/>
      <c r="O11" s="3"/>
      <c r="P11" s="3">
        <v>5</v>
      </c>
      <c r="Q11" s="3">
        <f t="shared" si="6"/>
        <v>14967091615000</v>
      </c>
      <c r="R11" s="14">
        <f t="shared" si="1"/>
        <v>1713.0216073514009</v>
      </c>
      <c r="S11" s="15">
        <f t="shared" si="2"/>
        <v>7.9741155822207723</v>
      </c>
      <c r="T11" s="3" t="s">
        <v>36</v>
      </c>
      <c r="U11" s="3" t="s">
        <v>42</v>
      </c>
    </row>
    <row r="12" spans="1:21" x14ac:dyDescent="0.2">
      <c r="A12" s="7" t="s">
        <v>25</v>
      </c>
      <c r="B12" s="12">
        <v>75</v>
      </c>
      <c r="C12" s="13" t="s">
        <v>22</v>
      </c>
      <c r="G12" s="3">
        <v>35</v>
      </c>
      <c r="H12" s="3">
        <f t="shared" si="8"/>
        <v>940</v>
      </c>
      <c r="I12" s="3">
        <f t="shared" si="7"/>
        <v>56950</v>
      </c>
      <c r="J12" s="3">
        <f t="shared" si="3"/>
        <v>10183969850</v>
      </c>
      <c r="K12" s="3">
        <f t="shared" si="0"/>
        <v>94000000000000</v>
      </c>
      <c r="L12" s="3">
        <f t="shared" si="4"/>
        <v>9572931659000</v>
      </c>
      <c r="M12" s="3">
        <f t="shared" si="5"/>
        <v>84427068341000</v>
      </c>
      <c r="N12" s="3"/>
      <c r="O12" s="3"/>
      <c r="P12" s="3">
        <v>3</v>
      </c>
      <c r="Q12" s="3">
        <f t="shared" si="6"/>
        <v>28142356113666.668</v>
      </c>
      <c r="R12" s="14">
        <f t="shared" si="1"/>
        <v>2763.3974302925367</v>
      </c>
      <c r="S12" s="15">
        <f t="shared" si="2"/>
        <v>13.264307665404177</v>
      </c>
      <c r="T12" s="3" t="s">
        <v>37</v>
      </c>
      <c r="U12" s="3" t="s">
        <v>42</v>
      </c>
    </row>
    <row r="13" spans="1:21" x14ac:dyDescent="0.2">
      <c r="A13" s="7" t="s">
        <v>26</v>
      </c>
      <c r="B13" s="12">
        <v>41</v>
      </c>
      <c r="C13" s="13" t="s">
        <v>22</v>
      </c>
      <c r="G13" s="3">
        <v>30</v>
      </c>
      <c r="H13" s="3">
        <f t="shared" si="8"/>
        <v>1060</v>
      </c>
      <c r="I13" s="3">
        <f t="shared" si="7"/>
        <v>60550</v>
      </c>
      <c r="J13" s="3">
        <f t="shared" si="3"/>
        <v>11512189850</v>
      </c>
      <c r="K13" s="3">
        <f t="shared" si="0"/>
        <v>106000000000000</v>
      </c>
      <c r="L13" s="3">
        <f t="shared" si="4"/>
        <v>12202921241000</v>
      </c>
      <c r="M13" s="3">
        <f t="shared" si="5"/>
        <v>93797078759000</v>
      </c>
      <c r="N13" s="3"/>
      <c r="O13" s="3"/>
      <c r="P13" s="3">
        <v>2</v>
      </c>
      <c r="Q13" s="3">
        <f t="shared" si="6"/>
        <v>46898539379500</v>
      </c>
      <c r="R13" s="14">
        <f t="shared" si="1"/>
        <v>4073.8156676160097</v>
      </c>
      <c r="S13" s="15">
        <f t="shared" si="2"/>
        <v>17.743730463394179</v>
      </c>
      <c r="T13" s="3" t="s">
        <v>37</v>
      </c>
      <c r="U13" s="3" t="s">
        <v>42</v>
      </c>
    </row>
    <row r="14" spans="1:21" x14ac:dyDescent="0.2">
      <c r="A14" s="7"/>
      <c r="B14" s="12"/>
      <c r="C14" s="13"/>
      <c r="G14" s="3">
        <v>30</v>
      </c>
      <c r="H14" s="3">
        <f t="shared" si="8"/>
        <v>1180</v>
      </c>
      <c r="I14" s="3">
        <f t="shared" si="7"/>
        <v>64150</v>
      </c>
      <c r="J14" s="3">
        <f t="shared" si="3"/>
        <v>12921798650</v>
      </c>
      <c r="K14" s="3">
        <f t="shared" si="0"/>
        <v>118000000000000</v>
      </c>
      <c r="L14" s="3">
        <f t="shared" si="4"/>
        <v>15247722407000</v>
      </c>
      <c r="M14" s="3">
        <f t="shared" si="5"/>
        <v>102752277593000</v>
      </c>
      <c r="N14" s="3"/>
      <c r="O14" s="3"/>
      <c r="P14" s="3">
        <v>2</v>
      </c>
      <c r="Q14" s="3">
        <f t="shared" si="6"/>
        <v>51376138796500</v>
      </c>
      <c r="R14" s="14">
        <f t="shared" si="1"/>
        <v>3975.9278246066774</v>
      </c>
      <c r="S14" s="15">
        <f t="shared" si="2"/>
        <v>17.317374524953532</v>
      </c>
      <c r="T14" s="3" t="s">
        <v>37</v>
      </c>
      <c r="U14" s="3" t="s">
        <v>42</v>
      </c>
    </row>
    <row r="15" spans="1:21" x14ac:dyDescent="0.2">
      <c r="A15" s="7" t="s">
        <v>33</v>
      </c>
      <c r="B15" s="12">
        <v>100</v>
      </c>
      <c r="C15" s="13" t="s">
        <v>34</v>
      </c>
      <c r="G15" s="3"/>
      <c r="H15" s="3">
        <f t="shared" si="8"/>
        <v>1300</v>
      </c>
      <c r="I15" s="3">
        <f>I14+(H15-H14)*G15</f>
        <v>64150</v>
      </c>
      <c r="J15" s="3">
        <f t="shared" si="3"/>
        <v>12921798650</v>
      </c>
      <c r="K15" s="3">
        <f t="shared" si="0"/>
        <v>130000000000000</v>
      </c>
      <c r="L15" s="3">
        <f t="shared" si="4"/>
        <v>16798338245000</v>
      </c>
      <c r="M15" s="3">
        <f t="shared" si="5"/>
        <v>113201661755000</v>
      </c>
      <c r="N15" s="3"/>
      <c r="O15" s="3"/>
      <c r="P15" s="3">
        <v>1</v>
      </c>
      <c r="Q15" s="3">
        <f t="shared" si="6"/>
        <v>113201661755000</v>
      </c>
      <c r="R15" s="14">
        <f t="shared" si="1"/>
        <v>8760.5189355740349</v>
      </c>
      <c r="S15" s="3"/>
      <c r="T15" s="3" t="s">
        <v>38</v>
      </c>
      <c r="U15" s="3"/>
    </row>
    <row r="16" spans="1:21" x14ac:dyDescent="0.2">
      <c r="A16" s="7"/>
      <c r="B16" s="12"/>
      <c r="C16" s="13" t="s">
        <v>17</v>
      </c>
    </row>
    <row r="17" spans="1:19" x14ac:dyDescent="0.2">
      <c r="A17" s="7" t="s">
        <v>32</v>
      </c>
      <c r="B17" s="12">
        <v>1</v>
      </c>
      <c r="C17" s="13"/>
    </row>
    <row r="18" spans="1:19" x14ac:dyDescent="0.2">
      <c r="A18" s="7" t="s">
        <v>29</v>
      </c>
      <c r="B18" s="12" t="s">
        <v>30</v>
      </c>
      <c r="C18" s="13" t="s">
        <v>34</v>
      </c>
      <c r="G18" s="1">
        <f>AVERAGE(G4:G15)</f>
        <v>68.86363636363636</v>
      </c>
      <c r="H18" t="s">
        <v>4</v>
      </c>
      <c r="L18">
        <f>SUM(L5:L14)</f>
        <v>55028361683000</v>
      </c>
      <c r="M18" t="s">
        <v>5</v>
      </c>
    </row>
    <row r="19" spans="1:19" x14ac:dyDescent="0.2">
      <c r="A19" s="7" t="s">
        <v>31</v>
      </c>
      <c r="B19" s="12" t="s">
        <v>30</v>
      </c>
      <c r="C19" s="13" t="s">
        <v>34</v>
      </c>
      <c r="G19">
        <v>62.5</v>
      </c>
      <c r="H19" t="s">
        <v>12</v>
      </c>
      <c r="L19">
        <v>49000000000000</v>
      </c>
      <c r="M19" t="s">
        <v>6</v>
      </c>
      <c r="S19" t="s">
        <v>3</v>
      </c>
    </row>
    <row r="20" spans="1:19" x14ac:dyDescent="0.2">
      <c r="A20" s="7" t="s">
        <v>43</v>
      </c>
      <c r="B20" s="12">
        <v>1.2</v>
      </c>
      <c r="C20" s="13"/>
    </row>
    <row r="21" spans="1:19" x14ac:dyDescent="0.2">
      <c r="A21" s="7" t="s">
        <v>44</v>
      </c>
      <c r="B21" s="12">
        <v>9.8000000000000007</v>
      </c>
      <c r="C21" s="13"/>
    </row>
    <row r="22" spans="1:19" x14ac:dyDescent="0.2">
      <c r="A22" s="7"/>
      <c r="B22" s="12"/>
      <c r="C22" s="13"/>
    </row>
    <row r="23" spans="1:19" x14ac:dyDescent="0.2">
      <c r="A23" s="7" t="s">
        <v>28</v>
      </c>
      <c r="B23" s="12">
        <v>500000000000000</v>
      </c>
      <c r="C23" s="13" t="s">
        <v>22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 Giordano</dc:creator>
  <cp:lastModifiedBy>Michael Ort</cp:lastModifiedBy>
  <dcterms:created xsi:type="dcterms:W3CDTF">2025-12-14T15:51:36Z</dcterms:created>
  <dcterms:modified xsi:type="dcterms:W3CDTF">2026-04-23T13:37:29Z</dcterms:modified>
</cp:coreProperties>
</file>