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g522/Documents/Bubbles/Nucleation/Heterogeneous/Crystal Types/Beta Manuscript/"/>
    </mc:Choice>
  </mc:AlternateContent>
  <xr:revisionPtr revIDLastSave="0" documentId="13_ncr:1_{2918FDC7-1430-E844-B5D3-25A16F1B370C}" xr6:coauthVersionLast="47" xr6:coauthVersionMax="47" xr10:uidLastSave="{00000000-0000-0000-0000-000000000000}"/>
  <bookViews>
    <workbookView xWindow="0" yWindow="500" windowWidth="28800" windowHeight="16240" xr2:uid="{4D15C77F-1E9C-417C-BE6E-5283D9F5E445}"/>
  </bookViews>
  <sheets>
    <sheet name="Instructions" sheetId="3" r:id="rId1"/>
    <sheet name="Inputs and outputs" sheetId="2" r:id="rId2"/>
    <sheet name="Calculations (do not edit)" sheetId="1" r:id="rId3"/>
  </sheets>
  <definedNames>
    <definedName name="solver_adj" localSheetId="2" hidden="1">'Calculations (do not edit)'!$D$13</definedName>
    <definedName name="solver_cvg" localSheetId="2" hidden="1">0.0001</definedName>
    <definedName name="solver_drv" localSheetId="2" hidden="1">2</definedName>
    <definedName name="solver_eng" localSheetId="2" hidden="1">1</definedName>
    <definedName name="solver_est" localSheetId="2" hidden="1">1</definedName>
    <definedName name="solver_itr" localSheetId="2" hidden="1">2147483647</definedName>
    <definedName name="solver_lhs1" localSheetId="2" hidden="1">'Calculations (do not edit)'!$D$13</definedName>
    <definedName name="solver_mip" localSheetId="2" hidden="1">2147483647</definedName>
    <definedName name="solver_mni" localSheetId="2" hidden="1">30</definedName>
    <definedName name="solver_mrt" localSheetId="2" hidden="1">0.075</definedName>
    <definedName name="solver_msl" localSheetId="2" hidden="1">2</definedName>
    <definedName name="solver_neg" localSheetId="2" hidden="1">1</definedName>
    <definedName name="solver_nod" localSheetId="2" hidden="1">2147483647</definedName>
    <definedName name="solver_num" localSheetId="2" hidden="1">1</definedName>
    <definedName name="solver_nwt" localSheetId="2" hidden="1">1</definedName>
    <definedName name="solver_opt" localSheetId="2" hidden="1">'Calculations (do not edit)'!$D$11</definedName>
    <definedName name="solver_pre" localSheetId="2" hidden="1">0.000001</definedName>
    <definedName name="solver_rbv" localSheetId="2" hidden="1">2</definedName>
    <definedName name="solver_rel1" localSheetId="2" hidden="1">3</definedName>
    <definedName name="solver_rhs1" localSheetId="2" hidden="1">0</definedName>
    <definedName name="solver_rlx" localSheetId="2" hidden="1">2</definedName>
    <definedName name="solver_rsd" localSheetId="2" hidden="1">0</definedName>
    <definedName name="solver_scl" localSheetId="2" hidden="1">2</definedName>
    <definedName name="solver_sho" localSheetId="2" hidden="1">2</definedName>
    <definedName name="solver_ssz" localSheetId="2" hidden="1">100</definedName>
    <definedName name="solver_tim" localSheetId="2" hidden="1">2147483647</definedName>
    <definedName name="solver_tol" localSheetId="2" hidden="1">0.01</definedName>
    <definedName name="solver_typ" localSheetId="2" hidden="1">3</definedName>
    <definedName name="solver_val" localSheetId="2" hidden="1">0</definedName>
    <definedName name="solver_ver" localSheetId="2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1" l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53" i="1"/>
  <c r="U29" i="2"/>
  <c r="U30" i="2"/>
  <c r="U31" i="2"/>
  <c r="U32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8" i="2"/>
  <c r="T8" i="2"/>
  <c r="M9" i="1"/>
  <c r="D7" i="1"/>
  <c r="S8" i="2"/>
  <c r="A53" i="1" l="1"/>
  <c r="R9" i="2"/>
  <c r="B53" i="1"/>
  <c r="D31" i="1"/>
  <c r="D32" i="1" s="1"/>
  <c r="AI20" i="1"/>
  <c r="AF20" i="1"/>
  <c r="AF8" i="1"/>
  <c r="AF9" i="1"/>
  <c r="AF10" i="1"/>
  <c r="AF11" i="1"/>
  <c r="AF12" i="1"/>
  <c r="AF13" i="1"/>
  <c r="AF14" i="1"/>
  <c r="AF15" i="1"/>
  <c r="AF16" i="1"/>
  <c r="AF17" i="1"/>
  <c r="AF18" i="1"/>
  <c r="AF7" i="1"/>
  <c r="AB8" i="1"/>
  <c r="AB9" i="1"/>
  <c r="AB10" i="1"/>
  <c r="AB11" i="1"/>
  <c r="AB12" i="1"/>
  <c r="AB13" i="1"/>
  <c r="AB14" i="1"/>
  <c r="AB15" i="1"/>
  <c r="AB16" i="1"/>
  <c r="AB17" i="1"/>
  <c r="AB18" i="1"/>
  <c r="AB7" i="1"/>
  <c r="Z18" i="1"/>
  <c r="Z17" i="1"/>
  <c r="Z16" i="1"/>
  <c r="Z15" i="1"/>
  <c r="Z14" i="1"/>
  <c r="Z13" i="1"/>
  <c r="Z12" i="1"/>
  <c r="Z11" i="1"/>
  <c r="Z10" i="1"/>
  <c r="Z9" i="1"/>
  <c r="Z8" i="1"/>
  <c r="Z7" i="1"/>
  <c r="T20" i="1"/>
  <c r="T12" i="1"/>
  <c r="T13" i="1"/>
  <c r="T14" i="1"/>
  <c r="T15" i="1"/>
  <c r="T16" i="1"/>
  <c r="T17" i="1"/>
  <c r="T11" i="1"/>
  <c r="T8" i="1"/>
  <c r="T9" i="1"/>
  <c r="T7" i="1"/>
  <c r="M10" i="1"/>
  <c r="D8" i="1"/>
  <c r="L27" i="1" s="1"/>
  <c r="M7" i="1"/>
  <c r="M13" i="1" s="1"/>
  <c r="R10" i="2" l="1"/>
  <c r="T9" i="2"/>
  <c r="S9" i="2"/>
  <c r="A54" i="1" s="1"/>
  <c r="M8" i="1"/>
  <c r="M17" i="1" s="1"/>
  <c r="L25" i="1"/>
  <c r="L26" i="1"/>
  <c r="L30" i="1"/>
  <c r="L28" i="1"/>
  <c r="Q17" i="1"/>
  <c r="R11" i="2" l="1"/>
  <c r="T11" i="2" s="1"/>
  <c r="S10" i="2"/>
  <c r="A55" i="1" s="1"/>
  <c r="T10" i="2"/>
  <c r="B55" i="1" s="1"/>
  <c r="B54" i="1"/>
  <c r="M15" i="1"/>
  <c r="M19" i="1" s="1"/>
  <c r="L31" i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O30" i="1" s="1"/>
  <c r="D13" i="1" l="1"/>
  <c r="D14" i="1" s="1"/>
  <c r="M8" i="2" s="1"/>
  <c r="L8" i="2"/>
  <c r="R12" i="2"/>
  <c r="B56" i="1"/>
  <c r="S11" i="2"/>
  <c r="A56" i="1" s="1"/>
  <c r="D10" i="1" l="1"/>
  <c r="D11" i="1" s="1"/>
  <c r="D18" i="1"/>
  <c r="D23" i="1" s="1"/>
  <c r="D34" i="1" s="1"/>
  <c r="D36" i="1" s="1"/>
  <c r="D39" i="1" s="1"/>
  <c r="T12" i="2"/>
  <c r="R13" i="2"/>
  <c r="S12" i="2"/>
  <c r="A57" i="1" s="1"/>
  <c r="B57" i="1" l="1"/>
  <c r="T13" i="2"/>
  <c r="B58" i="1" s="1"/>
  <c r="R14" i="2"/>
  <c r="D54" i="1"/>
  <c r="D53" i="1"/>
  <c r="S13" i="2"/>
  <c r="A58" i="1" s="1"/>
  <c r="D56" i="1"/>
  <c r="D45" i="1"/>
  <c r="D47" i="1" s="1"/>
  <c r="D57" i="1"/>
  <c r="D55" i="1"/>
  <c r="T14" i="2" l="1"/>
  <c r="B59" i="1" s="1"/>
  <c r="R15" i="2"/>
  <c r="F53" i="1"/>
  <c r="H53" i="1" s="1"/>
  <c r="D58" i="1"/>
  <c r="F58" i="1" s="1"/>
  <c r="H58" i="1" s="1"/>
  <c r="S14" i="2"/>
  <c r="A59" i="1" s="1"/>
  <c r="F54" i="1"/>
  <c r="H54" i="1" s="1"/>
  <c r="F57" i="1"/>
  <c r="H57" i="1" s="1"/>
  <c r="F55" i="1"/>
  <c r="H55" i="1" s="1"/>
  <c r="F56" i="1"/>
  <c r="H56" i="1" s="1"/>
  <c r="R16" i="2" l="1"/>
  <c r="T15" i="2"/>
  <c r="B60" i="1" s="1"/>
  <c r="D59" i="1"/>
  <c r="F59" i="1" s="1"/>
  <c r="H59" i="1" s="1"/>
  <c r="S15" i="2"/>
  <c r="A60" i="1" s="1"/>
  <c r="R17" i="2" l="1"/>
  <c r="T17" i="2" s="1"/>
  <c r="B62" i="1" s="1"/>
  <c r="T16" i="2"/>
  <c r="B61" i="1" s="1"/>
  <c r="S16" i="2"/>
  <c r="A61" i="1" s="1"/>
  <c r="D60" i="1"/>
  <c r="F60" i="1" s="1"/>
  <c r="H60" i="1" s="1"/>
  <c r="D61" i="1" l="1"/>
  <c r="F61" i="1" s="1"/>
  <c r="H61" i="1" s="1"/>
  <c r="R18" i="2"/>
  <c r="S17" i="2"/>
  <c r="A62" i="1" s="1"/>
  <c r="T18" i="2" l="1"/>
  <c r="B63" i="1" s="1"/>
  <c r="S18" i="2"/>
  <c r="A63" i="1" s="1"/>
  <c r="D62" i="1"/>
  <c r="F62" i="1" s="1"/>
  <c r="H62" i="1" s="1"/>
  <c r="R19" i="2"/>
  <c r="T19" i="2" l="1"/>
  <c r="B64" i="1" s="1"/>
  <c r="R20" i="2"/>
  <c r="S19" i="2"/>
  <c r="A64" i="1" s="1"/>
  <c r="D63" i="1"/>
  <c r="F63" i="1" s="1"/>
  <c r="H63" i="1" s="1"/>
  <c r="T20" i="2" l="1"/>
  <c r="B65" i="1" s="1"/>
  <c r="D64" i="1"/>
  <c r="F64" i="1" s="1"/>
  <c r="H64" i="1" s="1"/>
  <c r="R21" i="2"/>
  <c r="S20" i="2"/>
  <c r="A65" i="1" s="1"/>
  <c r="T21" i="2" l="1"/>
  <c r="B66" i="1" s="1"/>
  <c r="D65" i="1"/>
  <c r="F65" i="1" s="1"/>
  <c r="H65" i="1" s="1"/>
  <c r="R22" i="2"/>
  <c r="S21" i="2"/>
  <c r="A66" i="1" s="1"/>
  <c r="T22" i="2" l="1"/>
  <c r="B67" i="1" s="1"/>
  <c r="R23" i="2"/>
  <c r="S22" i="2"/>
  <c r="A67" i="1" s="1"/>
  <c r="D66" i="1"/>
  <c r="F66" i="1" s="1"/>
  <c r="H66" i="1" s="1"/>
  <c r="T23" i="2" l="1"/>
  <c r="B68" i="1" s="1"/>
  <c r="D67" i="1"/>
  <c r="F67" i="1" s="1"/>
  <c r="H67" i="1" s="1"/>
  <c r="R24" i="2"/>
  <c r="S23" i="2"/>
  <c r="A68" i="1" s="1"/>
  <c r="T24" i="2" l="1"/>
  <c r="B69" i="1" s="1"/>
  <c r="D68" i="1"/>
  <c r="F68" i="1" s="1"/>
  <c r="H68" i="1" s="1"/>
  <c r="R25" i="2"/>
  <c r="S24" i="2"/>
  <c r="A69" i="1" s="1"/>
  <c r="T25" i="2" l="1"/>
  <c r="B70" i="1" s="1"/>
  <c r="R26" i="2"/>
  <c r="S25" i="2"/>
  <c r="A70" i="1" s="1"/>
  <c r="D69" i="1"/>
  <c r="F69" i="1" s="1"/>
  <c r="H69" i="1" s="1"/>
  <c r="T26" i="2" l="1"/>
  <c r="B71" i="1" s="1"/>
  <c r="D70" i="1"/>
  <c r="F70" i="1" s="1"/>
  <c r="H70" i="1" s="1"/>
  <c r="R27" i="2"/>
  <c r="S26" i="2"/>
  <c r="A71" i="1" s="1"/>
  <c r="T27" i="2" l="1"/>
  <c r="B72" i="1" s="1"/>
  <c r="D71" i="1"/>
  <c r="F71" i="1" s="1"/>
  <c r="H71" i="1" s="1"/>
  <c r="R28" i="2"/>
  <c r="S27" i="2"/>
  <c r="A72" i="1" s="1"/>
  <c r="T28" i="2" l="1"/>
  <c r="B73" i="1" s="1"/>
  <c r="D72" i="1"/>
  <c r="F72" i="1" s="1"/>
  <c r="H72" i="1" s="1"/>
  <c r="R29" i="2"/>
  <c r="S28" i="2"/>
  <c r="A73" i="1" s="1"/>
  <c r="T29" i="2" l="1"/>
  <c r="B74" i="1" s="1"/>
  <c r="D73" i="1"/>
  <c r="F73" i="1" s="1"/>
  <c r="H73" i="1" s="1"/>
  <c r="R30" i="2"/>
  <c r="S29" i="2"/>
  <c r="A74" i="1" s="1"/>
  <c r="T30" i="2" l="1"/>
  <c r="B75" i="1" s="1"/>
  <c r="R31" i="2"/>
  <c r="S30" i="2"/>
  <c r="A75" i="1" s="1"/>
  <c r="D74" i="1"/>
  <c r="F74" i="1" s="1"/>
  <c r="H74" i="1" s="1"/>
  <c r="T31" i="2" l="1"/>
  <c r="B76" i="1" s="1"/>
  <c r="D75" i="1"/>
  <c r="F75" i="1" s="1"/>
  <c r="H75" i="1" s="1"/>
  <c r="R32" i="2"/>
  <c r="T32" i="2" s="1"/>
  <c r="K8" i="2" s="1"/>
  <c r="S31" i="2"/>
  <c r="A76" i="1" s="1"/>
  <c r="S32" i="2" l="1"/>
  <c r="D76" i="1"/>
  <c r="F76" i="1" s="1"/>
  <c r="H76" i="1" s="1"/>
  <c r="J53" i="1" s="1"/>
  <c r="N8" i="2" s="1"/>
</calcChain>
</file>

<file path=xl/sharedStrings.xml><?xml version="1.0" encoding="utf-8"?>
<sst xmlns="http://schemas.openxmlformats.org/spreadsheetml/2006/main" count="156" uniqueCount="129">
  <si>
    <t>H2O</t>
  </si>
  <si>
    <t>P</t>
  </si>
  <si>
    <t>T</t>
  </si>
  <si>
    <t>wt%</t>
  </si>
  <si>
    <t>Mpa</t>
  </si>
  <si>
    <t>K</t>
  </si>
  <si>
    <t>MPa</t>
  </si>
  <si>
    <t>p</t>
  </si>
  <si>
    <t>p_sat</t>
  </si>
  <si>
    <t>Diffusivity</t>
  </si>
  <si>
    <t>Saturation Pressure</t>
  </si>
  <si>
    <t xml:space="preserve">MPa </t>
  </si>
  <si>
    <t>Composition</t>
  </si>
  <si>
    <t>SiO2</t>
  </si>
  <si>
    <t>Comp W</t>
  </si>
  <si>
    <t>Tot</t>
  </si>
  <si>
    <t>mSi = 28.0855;</t>
  </si>
  <si>
    <t>mTi = 47.867;</t>
  </si>
  <si>
    <t>mAl = 26.981539;</t>
  </si>
  <si>
    <t>mFe = 55.845;</t>
  </si>
  <si>
    <t>mMn = 54.938044;</t>
  </si>
  <si>
    <t>mMg = 24.305;</t>
  </si>
  <si>
    <t>mCa = 40.078;</t>
  </si>
  <si>
    <t>mNa = 22.989769;</t>
  </si>
  <si>
    <t>mK = 39.0983;</t>
  </si>
  <si>
    <t>mP = 30.973762;</t>
  </si>
  <si>
    <t>mCr = 51.9961;</t>
  </si>
  <si>
    <t>mO = 15.999;</t>
  </si>
  <si>
    <t>Oxide Molar Mass</t>
  </si>
  <si>
    <t>TiO2</t>
  </si>
  <si>
    <t>Al2O3</t>
  </si>
  <si>
    <t>Fe2O3</t>
  </si>
  <si>
    <t>FeO</t>
  </si>
  <si>
    <t>MnO</t>
  </si>
  <si>
    <t>MgO</t>
  </si>
  <si>
    <t>CaO</t>
  </si>
  <si>
    <t>Na2O</t>
  </si>
  <si>
    <t>K2O</t>
  </si>
  <si>
    <t>P2O5</t>
  </si>
  <si>
    <t>Cr2O3</t>
  </si>
  <si>
    <t>Moles Oxide</t>
  </si>
  <si>
    <t>Moles Oxygen</t>
  </si>
  <si>
    <t>numMolesOxygen</t>
  </si>
  <si>
    <t>Total</t>
  </si>
  <si>
    <t>W</t>
  </si>
  <si>
    <t>XH2Ot</t>
  </si>
  <si>
    <t xml:space="preserve">DH2Om </t>
  </si>
  <si>
    <t>Gpa</t>
  </si>
  <si>
    <t>m^2/s</t>
  </si>
  <si>
    <t>D =</t>
  </si>
  <si>
    <t>Surface Tension</t>
  </si>
  <si>
    <t>planar</t>
  </si>
  <si>
    <t>corrected</t>
  </si>
  <si>
    <t xml:space="preserve">alpha </t>
  </si>
  <si>
    <t>delta</t>
  </si>
  <si>
    <t>N/m</t>
  </si>
  <si>
    <t>Free Energy Barrier</t>
  </si>
  <si>
    <t>Delta G</t>
  </si>
  <si>
    <t>Dp</t>
  </si>
  <si>
    <t>Contact Angle</t>
  </si>
  <si>
    <t>Scaling Factor</t>
  </si>
  <si>
    <t>B</t>
  </si>
  <si>
    <t>k_B</t>
  </si>
  <si>
    <t>Jc</t>
  </si>
  <si>
    <t>J</t>
  </si>
  <si>
    <t>m^-2 s^-1</t>
  </si>
  <si>
    <t>m^-2 s^-0</t>
  </si>
  <si>
    <t>J/K</t>
  </si>
  <si>
    <t>deg</t>
  </si>
  <si>
    <t>rad</t>
  </si>
  <si>
    <t xml:space="preserve">Sites per area </t>
  </si>
  <si>
    <t>area per site</t>
  </si>
  <si>
    <t>sites per area</t>
  </si>
  <si>
    <t>m^2</t>
  </si>
  <si>
    <t>m^-2</t>
  </si>
  <si>
    <t>Area</t>
  </si>
  <si>
    <t>Crystals</t>
  </si>
  <si>
    <t>Number Density</t>
  </si>
  <si>
    <t>Bubbles per crystal</t>
  </si>
  <si>
    <t>Beta</t>
  </si>
  <si>
    <t>Total Bubbles</t>
  </si>
  <si>
    <t>Final BND</t>
  </si>
  <si>
    <t>Newton Itteration to find Psat</t>
  </si>
  <si>
    <t>a</t>
  </si>
  <si>
    <t>b</t>
  </si>
  <si>
    <t>c</t>
  </si>
  <si>
    <t>d</t>
  </si>
  <si>
    <t>initial guess</t>
  </si>
  <si>
    <t xml:space="preserve">psat </t>
  </si>
  <si>
    <t>Length [um]</t>
  </si>
  <si>
    <t>Crystal length bin</t>
  </si>
  <si>
    <t>m</t>
  </si>
  <si>
    <t>Calculated area (do not edit)</t>
  </si>
  <si>
    <t>Total crystal number density</t>
  </si>
  <si>
    <t xml:space="preserve">Water content </t>
  </si>
  <si>
    <t>wt.%</t>
  </si>
  <si>
    <t>Temperature</t>
  </si>
  <si>
    <t>-</t>
  </si>
  <si>
    <t>Supersaturation (expressed as a pressure difference compared with the saturation pressure)</t>
  </si>
  <si>
    <t>Total bubble number density</t>
  </si>
  <si>
    <r>
      <t>m</t>
    </r>
    <r>
      <rPr>
        <b/>
        <vertAlign val="superscript"/>
        <sz val="11"/>
        <color theme="1"/>
        <rFont val="Aptos Narrow (Body)"/>
      </rPr>
      <t>2</t>
    </r>
  </si>
  <si>
    <r>
      <t>m</t>
    </r>
    <r>
      <rPr>
        <b/>
        <vertAlign val="superscript"/>
        <sz val="11"/>
        <color theme="1"/>
        <rFont val="Aptos Narrow (Body)"/>
      </rPr>
      <t>-3</t>
    </r>
  </si>
  <si>
    <t>CSD intercept*</t>
  </si>
  <si>
    <t>CSD slope*</t>
  </si>
  <si>
    <t>INPUTS</t>
  </si>
  <si>
    <t>Saturation pressure</t>
  </si>
  <si>
    <t>Final pressure</t>
  </si>
  <si>
    <t>USEFUL OUTPUTS</t>
  </si>
  <si>
    <t>CALCULATIONS (do not edit)</t>
  </si>
  <si>
    <t>Crystal number density in each bin (calculated from crystal size distribution parameters)</t>
  </si>
  <si>
    <t>Bubble number density in each bin</t>
  </si>
  <si>
    <t>Supplemental Worksheet</t>
  </si>
  <si>
    <t>The crystal surface areas can be calculated from given crystal size distributions by the user.</t>
  </si>
  <si>
    <t>The BSD and BND are calculated from equation 12 in the text using input values from the user.</t>
  </si>
  <si>
    <r>
      <t xml:space="preserve">Useful Outputs from Model are given in the </t>
    </r>
    <r>
      <rPr>
        <b/>
        <sz val="18"/>
        <color rgb="FFFFC000"/>
        <rFont val="Times New Roman"/>
        <family val="1"/>
      </rPr>
      <t>Yellow</t>
    </r>
    <r>
      <rPr>
        <b/>
        <sz val="18"/>
        <color theme="1"/>
        <rFont val="Times New Roman"/>
        <family val="1"/>
      </rPr>
      <t xml:space="preserve"> cells.</t>
    </r>
  </si>
  <si>
    <r>
      <t xml:space="preserve">Input data from the user.  Those cells colored </t>
    </r>
    <r>
      <rPr>
        <b/>
        <sz val="18"/>
        <color rgb="FF00B050"/>
        <rFont val="Times New Roman"/>
        <family val="1"/>
      </rPr>
      <t>green</t>
    </r>
    <r>
      <rPr>
        <b/>
        <sz val="18"/>
        <color theme="1"/>
        <rFont val="Times New Roman"/>
        <family val="1"/>
      </rPr>
      <t xml:space="preserve"> are values of interest that the user can change.</t>
    </r>
  </si>
  <si>
    <r>
      <rPr>
        <b/>
        <sz val="18"/>
        <color rgb="FF00B050"/>
        <rFont val="Times New Roman"/>
        <family val="1"/>
      </rPr>
      <t>Final Pressure (in MPa)</t>
    </r>
    <r>
      <rPr>
        <sz val="18"/>
        <color theme="1"/>
        <rFont val="Times New Roman"/>
        <family val="1"/>
      </rPr>
      <t xml:space="preserve">: enter the pressure at which nucleation is assumed to cease.  </t>
    </r>
  </si>
  <si>
    <r>
      <t xml:space="preserve">All calculations assume that at least one bubble can nucleate on every crystal, that </t>
    </r>
    <r>
      <rPr>
        <sz val="18"/>
        <color theme="1"/>
        <rFont val="Symbol"/>
        <charset val="2"/>
      </rPr>
      <t>a</t>
    </r>
    <r>
      <rPr>
        <sz val="18"/>
        <color theme="1"/>
        <rFont val="Times New Roman"/>
        <family val="1"/>
      </rPr>
      <t xml:space="preserve"> = 0.0017, and Jc = 1e10 per square meter.</t>
    </r>
  </si>
  <si>
    <t>NOTE: The user should not edit any cell in the red sheet titled "Calculations (do not edit) or any of the calculations shown in the green sheet titled "Inputs and outputs"</t>
  </si>
  <si>
    <r>
      <rPr>
        <b/>
        <sz val="18"/>
        <color rgb="FF00B050"/>
        <rFont val="Times New Roman"/>
        <family val="1"/>
      </rPr>
      <t>Temperature (in Kelvin)</t>
    </r>
    <r>
      <rPr>
        <sz val="18"/>
        <color theme="1"/>
        <rFont val="Times New Roman"/>
        <family val="1"/>
      </rPr>
      <t>: nucleation temperature of the magma, assumed to remain constant.</t>
    </r>
  </si>
  <si>
    <r>
      <rPr>
        <b/>
        <sz val="18"/>
        <color rgb="FF00B050"/>
        <rFont val="Times New Roman"/>
        <family val="1"/>
      </rPr>
      <t>Intercept and Slope of CSD</t>
    </r>
    <r>
      <rPr>
        <sz val="18"/>
        <color theme="1"/>
        <rFont val="Times New Roman"/>
        <family val="1"/>
      </rPr>
      <t>: these values are calculated from the crystal-size distribution from the user.</t>
    </r>
  </si>
  <si>
    <r>
      <rPr>
        <b/>
        <sz val="18"/>
        <color rgb="FFFFC000"/>
        <rFont val="Times New Roman"/>
        <family val="1"/>
      </rPr>
      <t>Crystal number density</t>
    </r>
    <r>
      <rPr>
        <sz val="18"/>
        <color theme="1"/>
        <rFont val="Times New Roman"/>
        <family val="1"/>
      </rPr>
      <t xml:space="preserve">: calculated from the intercept and slope of the CSD. </t>
    </r>
  </si>
  <si>
    <r>
      <rPr>
        <b/>
        <sz val="18"/>
        <color rgb="FFFFC000"/>
        <rFont val="Times New Roman"/>
        <family val="1"/>
      </rPr>
      <t>Total Bubble Number Density (BND)</t>
    </r>
    <r>
      <rPr>
        <sz val="18"/>
        <color theme="1"/>
        <rFont val="Times New Roman"/>
        <family val="1"/>
      </rPr>
      <t>: calculated from the number density of bubbles nucleated on the crystals\.</t>
    </r>
  </si>
  <si>
    <r>
      <t xml:space="preserve">Graph shows the number densities of </t>
    </r>
    <r>
      <rPr>
        <b/>
        <sz val="18"/>
        <color rgb="FFFF9300"/>
        <rFont val="Times New Roman"/>
        <family val="1"/>
      </rPr>
      <t>crystals (in orange)</t>
    </r>
    <r>
      <rPr>
        <b/>
        <sz val="18"/>
        <color theme="1"/>
        <rFont val="Times New Roman"/>
        <family val="1"/>
      </rPr>
      <t xml:space="preserve"> and </t>
    </r>
    <r>
      <rPr>
        <b/>
        <sz val="18"/>
        <color rgb="FF0070C0"/>
        <rFont val="Times New Roman"/>
        <family val="1"/>
      </rPr>
      <t>nucleated bubbles (in blue)</t>
    </r>
    <r>
      <rPr>
        <b/>
        <sz val="18"/>
        <color theme="3" tint="0.249977111117893"/>
        <rFont val="Times New Roman"/>
        <family val="1"/>
      </rPr>
      <t xml:space="preserve"> </t>
    </r>
    <r>
      <rPr>
        <b/>
        <sz val="18"/>
        <color theme="1"/>
        <rFont val="Times New Roman"/>
        <family val="1"/>
      </rPr>
      <t>as functions of size class of crystals calculated from the intercept and slope of CSD.</t>
    </r>
  </si>
  <si>
    <r>
      <t xml:space="preserve">The data used to create the graph are listed in the columns colored </t>
    </r>
    <r>
      <rPr>
        <b/>
        <sz val="18"/>
        <color rgb="FFFF9300"/>
        <rFont val="Times New Roman"/>
        <family val="1"/>
      </rPr>
      <t>orange</t>
    </r>
    <r>
      <rPr>
        <sz val="18"/>
        <color theme="1"/>
        <rFont val="Times New Roman"/>
        <family val="1"/>
      </rPr>
      <t xml:space="preserve"> and </t>
    </r>
    <r>
      <rPr>
        <b/>
        <sz val="18"/>
        <color rgb="FF0070C0"/>
        <rFont val="Times New Roman"/>
        <family val="1"/>
      </rPr>
      <t>blue</t>
    </r>
    <r>
      <rPr>
        <sz val="18"/>
        <color theme="1"/>
        <rFont val="Times New Roman"/>
        <family val="1"/>
      </rPr>
      <t>.</t>
    </r>
  </si>
  <si>
    <t>The spreadsheet allows the user to calculate the resulting bubble size distribution and bubble number density prodiced by nucleation of crystal surface areas from Equation (13) in the text.</t>
  </si>
  <si>
    <r>
      <rPr>
        <b/>
        <sz val="18"/>
        <color rgb="FF00B050"/>
        <rFont val="Times New Roman"/>
        <family val="1"/>
      </rPr>
      <t>Initial H2O content (in wt.%)</t>
    </r>
    <r>
      <rPr>
        <sz val="18"/>
        <color theme="1"/>
        <rFont val="Times New Roman"/>
        <family val="1"/>
      </rPr>
      <t>: enter the saturated water content for the magma in question.  Calculations assume that bubble nucleation starts at the saturation pressure.</t>
    </r>
  </si>
  <si>
    <r>
      <rPr>
        <b/>
        <sz val="18"/>
        <color rgb="FFFFC000"/>
        <rFont val="Times New Roman"/>
        <family val="1"/>
      </rPr>
      <t>Saturation pressure (in MPa)</t>
    </r>
    <r>
      <rPr>
        <sz val="18"/>
        <color theme="1"/>
        <rFont val="Times New Roman"/>
        <family val="1"/>
      </rPr>
      <t>: calculated from assumed starting H2O content entered by the user, using the model of Liu et al. (2005).</t>
    </r>
  </si>
  <si>
    <r>
      <rPr>
        <b/>
        <sz val="18"/>
        <color rgb="FFFFC000"/>
        <rFont val="Times New Roman"/>
        <family val="1"/>
      </rPr>
      <t>Superaturation pressure (in MPa)</t>
    </r>
    <r>
      <rPr>
        <sz val="18"/>
        <color theme="1"/>
        <rFont val="Times New Roman"/>
        <family val="1"/>
      </rPr>
      <t>: equal to the difference between the saturation pressure (from intitial H2O content) and final pressure entered by the user.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</si>
</sst>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color theme="1"/>
      <name val="Consolas"/>
      <family val="3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b/>
      <vertAlign val="superscript"/>
      <sz val="11"/>
      <color theme="1"/>
      <name val="Aptos Narrow (Body)"/>
    </font>
    <font>
      <sz val="12"/>
      <color rgb="FF006100"/>
      <name val="Aptos Narrow"/>
      <family val="2"/>
      <scheme val="minor"/>
    </font>
    <font>
      <b/>
      <u/>
      <sz val="11"/>
      <color theme="1"/>
      <name val="Aptos Narrow"/>
      <scheme val="minor"/>
    </font>
    <font>
      <sz val="12"/>
      <color rgb="FF9C57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rgb="FF00B050"/>
      <name val="Times New Roman"/>
      <family val="1"/>
    </font>
    <font>
      <b/>
      <sz val="18"/>
      <color rgb="FFFFC000"/>
      <name val="Times New Roman"/>
      <family val="1"/>
    </font>
    <font>
      <b/>
      <sz val="18"/>
      <color rgb="FFFF9300"/>
      <name val="Times New Roman"/>
      <family val="1"/>
    </font>
    <font>
      <b/>
      <sz val="18"/>
      <color theme="3" tint="0.249977111117893"/>
      <name val="Times New Roman"/>
      <family val="1"/>
    </font>
    <font>
      <sz val="18"/>
      <color theme="1"/>
      <name val="Symbol"/>
      <charset val="2"/>
    </font>
    <font>
      <b/>
      <sz val="18"/>
      <color rgb="FFFF0000"/>
      <name val="Times New Roman"/>
      <family val="1"/>
    </font>
    <font>
      <b/>
      <sz val="18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2" borderId="0" applyNumberFormat="0" applyBorder="0" applyAlignment="0" applyProtection="0"/>
    <xf numFmtId="0" fontId="9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left" vertical="center" indent="3"/>
    </xf>
    <xf numFmtId="11" fontId="0" fillId="0" borderId="0" xfId="0" applyNumberFormat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5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8" fillId="0" borderId="3" xfId="0" applyFont="1" applyBorder="1"/>
    <xf numFmtId="0" fontId="2" fillId="0" borderId="5" xfId="0" applyFont="1" applyBorder="1" applyAlignment="1">
      <alignment horizontal="center"/>
    </xf>
    <xf numFmtId="0" fontId="5" fillId="0" borderId="5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2" borderId="0" xfId="1" applyBorder="1" applyAlignment="1">
      <alignment horizontal="center"/>
    </xf>
    <xf numFmtId="0" fontId="0" fillId="0" borderId="7" xfId="0" applyBorder="1" applyAlignment="1">
      <alignment horizontal="center"/>
    </xf>
    <xf numFmtId="11" fontId="9" fillId="3" borderId="0" xfId="2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4" borderId="0" xfId="0" applyNumberFormat="1" applyFill="1" applyAlignment="1">
      <alignment horizontal="center"/>
    </xf>
    <xf numFmtId="11" fontId="10" fillId="5" borderId="0" xfId="0" applyNumberFormat="1" applyFont="1" applyFill="1" applyAlignment="1">
      <alignment horizontal="center"/>
    </xf>
    <xf numFmtId="1" fontId="9" fillId="3" borderId="0" xfId="2" applyNumberForma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20" fillId="0" borderId="0" xfId="0" applyFont="1"/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9300"/>
      <color rgb="FFFAE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Bubbles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'Calculations (do not edit)'!$L$53:$L$76</c:f>
              <c:numCache>
                <c:formatCode>0.00E+00</c:formatCode>
                <c:ptCount val="24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11.999999999999998</c:v>
                </c:pt>
                <c:pt idx="6">
                  <c:v>13.999999999999998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22.000000000000004</c:v>
                </c:pt>
                <c:pt idx="11">
                  <c:v>24.000000000000004</c:v>
                </c:pt>
                <c:pt idx="12">
                  <c:v>26.000000000000004</c:v>
                </c:pt>
                <c:pt idx="13">
                  <c:v>28.000000000000007</c:v>
                </c:pt>
                <c:pt idx="14">
                  <c:v>30.000000000000004</c:v>
                </c:pt>
                <c:pt idx="15">
                  <c:v>32.000000000000007</c:v>
                </c:pt>
                <c:pt idx="16">
                  <c:v>34.000000000000007</c:v>
                </c:pt>
                <c:pt idx="17">
                  <c:v>36.000000000000007</c:v>
                </c:pt>
                <c:pt idx="18">
                  <c:v>38.000000000000007</c:v>
                </c:pt>
                <c:pt idx="19">
                  <c:v>40.000000000000007</c:v>
                </c:pt>
                <c:pt idx="20">
                  <c:v>42.000000000000014</c:v>
                </c:pt>
                <c:pt idx="21">
                  <c:v>44.000000000000014</c:v>
                </c:pt>
                <c:pt idx="22">
                  <c:v>46.000000000000014</c:v>
                </c:pt>
                <c:pt idx="23">
                  <c:v>48.000000000000014</c:v>
                </c:pt>
              </c:numCache>
            </c:numRef>
          </c:xVal>
          <c:yVal>
            <c:numRef>
              <c:f>'Calculations (do not edit)'!$H$53:$H$76</c:f>
              <c:numCache>
                <c:formatCode>0.00E+00</c:formatCode>
                <c:ptCount val="24"/>
                <c:pt idx="0">
                  <c:v>361471190338.63745</c:v>
                </c:pt>
                <c:pt idx="1">
                  <c:v>548848756671.01672</c:v>
                </c:pt>
                <c:pt idx="2">
                  <c:v>634162889026.78723</c:v>
                </c:pt>
                <c:pt idx="3">
                  <c:v>670391199039.61572</c:v>
                </c:pt>
                <c:pt idx="4">
                  <c:v>691623427390.95789</c:v>
                </c:pt>
                <c:pt idx="5">
                  <c:v>713417937887.53491</c:v>
                </c:pt>
                <c:pt idx="6">
                  <c:v>737292914704.06018</c:v>
                </c:pt>
                <c:pt idx="7">
                  <c:v>758164666363.25183</c:v>
                </c:pt>
                <c:pt idx="8">
                  <c:v>770386068279.99353</c:v>
                </c:pt>
                <c:pt idx="9">
                  <c:v>770451852743.94666</c:v>
                </c:pt>
                <c:pt idx="10">
                  <c:v>757338866655.02161</c:v>
                </c:pt>
                <c:pt idx="11">
                  <c:v>731900721471.85376</c:v>
                </c:pt>
                <c:pt idx="12">
                  <c:v>696112500104.7489</c:v>
                </c:pt>
                <c:pt idx="13">
                  <c:v>652451625272.69324</c:v>
                </c:pt>
                <c:pt idx="14">
                  <c:v>603468577780.83435</c:v>
                </c:pt>
                <c:pt idx="15">
                  <c:v>551522842919.16394</c:v>
                </c:pt>
                <c:pt idx="16">
                  <c:v>498642412955.67371</c:v>
                </c:pt>
                <c:pt idx="17">
                  <c:v>446468247160.24811</c:v>
                </c:pt>
                <c:pt idx="18">
                  <c:v>396253176215.41486</c:v>
                </c:pt>
                <c:pt idx="19">
                  <c:v>348892863323.83154</c:v>
                </c:pt>
                <c:pt idx="20">
                  <c:v>304973207092.25513</c:v>
                </c:pt>
                <c:pt idx="21">
                  <c:v>264823795667.95853</c:v>
                </c:pt>
                <c:pt idx="22">
                  <c:v>228570872103.13895</c:v>
                </c:pt>
                <c:pt idx="23">
                  <c:v>196186009326.56854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0C6-498C-88A3-A84205D673A0}"/>
            </c:ext>
          </c:extLst>
        </c:ser>
        <c:ser>
          <c:idx val="1"/>
          <c:order val="1"/>
          <c:tx>
            <c:v>Crystals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'Calculations (do not edit)'!$L$53:$L$76</c:f>
              <c:numCache>
                <c:formatCode>0.00E+00</c:formatCode>
                <c:ptCount val="24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11.999999999999998</c:v>
                </c:pt>
                <c:pt idx="6">
                  <c:v>13.999999999999998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22.000000000000004</c:v>
                </c:pt>
                <c:pt idx="11">
                  <c:v>24.000000000000004</c:v>
                </c:pt>
                <c:pt idx="12">
                  <c:v>26.000000000000004</c:v>
                </c:pt>
                <c:pt idx="13">
                  <c:v>28.000000000000007</c:v>
                </c:pt>
                <c:pt idx="14">
                  <c:v>30.000000000000004</c:v>
                </c:pt>
                <c:pt idx="15">
                  <c:v>32.000000000000007</c:v>
                </c:pt>
                <c:pt idx="16">
                  <c:v>34.000000000000007</c:v>
                </c:pt>
                <c:pt idx="17">
                  <c:v>36.000000000000007</c:v>
                </c:pt>
                <c:pt idx="18">
                  <c:v>38.000000000000007</c:v>
                </c:pt>
                <c:pt idx="19">
                  <c:v>40.000000000000007</c:v>
                </c:pt>
                <c:pt idx="20">
                  <c:v>42.000000000000014</c:v>
                </c:pt>
                <c:pt idx="21">
                  <c:v>44.000000000000014</c:v>
                </c:pt>
                <c:pt idx="22">
                  <c:v>46.000000000000014</c:v>
                </c:pt>
                <c:pt idx="23">
                  <c:v>48.000000000000014</c:v>
                </c:pt>
              </c:numCache>
            </c:numRef>
          </c:xVal>
          <c:yVal>
            <c:numRef>
              <c:f>'Inputs and outputs'!$T$8:$T$32</c:f>
              <c:numCache>
                <c:formatCode>0.00E+00</c:formatCode>
                <c:ptCount val="25"/>
                <c:pt idx="0">
                  <c:v>361362403871.26508</c:v>
                </c:pt>
                <c:pt idx="1">
                  <c:v>546223659238.52057</c:v>
                </c:pt>
                <c:pt idx="2">
                  <c:v>619240441276.38879</c:v>
                </c:pt>
                <c:pt idx="3">
                  <c:v>624015810091.41736</c:v>
                </c:pt>
                <c:pt idx="4">
                  <c:v>589526254598.02258</c:v>
                </c:pt>
                <c:pt idx="5">
                  <c:v>534665230063.76819</c:v>
                </c:pt>
                <c:pt idx="6">
                  <c:v>471439836004.52728</c:v>
                </c:pt>
                <c:pt idx="7">
                  <c:v>407207500716.31561</c:v>
                </c:pt>
                <c:pt idx="8">
                  <c:v>346230909495.23816</c:v>
                </c:pt>
                <c:pt idx="9">
                  <c:v>290750769095.47717</c:v>
                </c:pt>
                <c:pt idx="10">
                  <c:v>241719174507.92014</c:v>
                </c:pt>
                <c:pt idx="11">
                  <c:v>199295369554.02081</c:v>
                </c:pt>
                <c:pt idx="12">
                  <c:v>163176216727.70074</c:v>
                </c:pt>
                <c:pt idx="13">
                  <c:v>132812541717.74818</c:v>
                </c:pt>
                <c:pt idx="14">
                  <c:v>107547385383.94778</c:v>
                </c:pt>
                <c:pt idx="15">
                  <c:v>86701402996.5448</c:v>
                </c:pt>
                <c:pt idx="16">
                  <c:v>69622980167.826035</c:v>
                </c:pt>
                <c:pt idx="17">
                  <c:v>55715205645.039467</c:v>
                </c:pt>
                <c:pt idx="18">
                  <c:v>44448015832.737808</c:v>
                </c:pt>
                <c:pt idx="19">
                  <c:v>35361144954.05249</c:v>
                </c:pt>
                <c:pt idx="20">
                  <c:v>28061647357.308613</c:v>
                </c:pt>
                <c:pt idx="21">
                  <c:v>22218467156.409176</c:v>
                </c:pt>
                <c:pt idx="22">
                  <c:v>17555645156.740398</c:v>
                </c:pt>
                <c:pt idx="23">
                  <c:v>13845152535.892517</c:v>
                </c:pt>
                <c:pt idx="24">
                  <c:v>10899938733.96048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0C6-498C-88A3-A84205D673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4003328"/>
        <c:axId val="2064004768"/>
      </c:scatterChart>
      <c:valAx>
        <c:axId val="206400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Crystal Length</a:t>
                </a:r>
                <a:r>
                  <a:rPr lang="en-GB" baseline="0"/>
                  <a:t> [um]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4004768"/>
        <c:crosses val="autoZero"/>
        <c:crossBetween val="midCat"/>
      </c:valAx>
      <c:valAx>
        <c:axId val="2064004768"/>
        <c:scaling>
          <c:logBase val="10"/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Number Density per bin  [per</a:t>
                </a:r>
                <a:r>
                  <a:rPr lang="en-GB" baseline="0"/>
                  <a:t> meter cubed</a:t>
                </a:r>
                <a:r>
                  <a:rPr lang="en-GB"/>
                  <a:t>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E+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40033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728980</xdr:colOff>
      <xdr:row>13</xdr:row>
      <xdr:rowOff>130810</xdr:rowOff>
    </xdr:from>
    <xdr:to>
      <xdr:col>11</xdr:col>
      <xdr:colOff>190500</xdr:colOff>
      <xdr:row>28</xdr:row>
      <xdr:rowOff>143510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B2AD48-4075-2CB8-686F-BF1BA11ADB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0E1D-03E3-754A-AFA8-7728F5FAD65F}">
  <dimension ref="A1:H33"/>
  <sheetViews>
    <sheetView tabSelected="1" workbookViewId="0">
      <selection activeCell="A21" sqref="A21"/>
    </sheetView>
  </sheetViews>
  <sheetFormatPr baseColWidth="10" defaultRowHeight="16" x14ac:dyDescent="0.2"/>
  <cols>
    <col min="1" max="16384" width="10.83203125" style="29"/>
  </cols>
  <sheetData>
    <row r="1" spans="1:1" ht="30" x14ac:dyDescent="0.3">
      <c r="A1" s="31" t="s">
        <v>111</v>
      </c>
    </row>
    <row r="3" spans="1:1" s="32" customFormat="1" ht="23" x14ac:dyDescent="0.25">
      <c r="A3" s="32" t="s">
        <v>125</v>
      </c>
    </row>
    <row r="4" spans="1:1" s="32" customFormat="1" ht="23" x14ac:dyDescent="0.25">
      <c r="A4" s="32" t="s">
        <v>112</v>
      </c>
    </row>
    <row r="5" spans="1:1" s="32" customFormat="1" ht="23" x14ac:dyDescent="0.25">
      <c r="A5" s="32" t="s">
        <v>113</v>
      </c>
    </row>
    <row r="6" spans="1:1" s="32" customFormat="1" ht="23" x14ac:dyDescent="0.25">
      <c r="A6" s="32" t="s">
        <v>117</v>
      </c>
    </row>
    <row r="7" spans="1:1" s="32" customFormat="1" ht="23" x14ac:dyDescent="0.25"/>
    <row r="8" spans="1:1" s="32" customFormat="1" ht="23" x14ac:dyDescent="0.25">
      <c r="A8" s="33" t="s">
        <v>118</v>
      </c>
    </row>
    <row r="9" spans="1:1" s="32" customFormat="1" ht="23" x14ac:dyDescent="0.25"/>
    <row r="10" spans="1:1" s="30" customFormat="1" ht="23" x14ac:dyDescent="0.25">
      <c r="A10" s="30" t="s">
        <v>115</v>
      </c>
    </row>
    <row r="11" spans="1:1" s="32" customFormat="1" ht="23" x14ac:dyDescent="0.25">
      <c r="A11" s="32" t="s">
        <v>126</v>
      </c>
    </row>
    <row r="12" spans="1:1" s="32" customFormat="1" ht="23" x14ac:dyDescent="0.25">
      <c r="A12" s="32" t="s">
        <v>116</v>
      </c>
    </row>
    <row r="13" spans="1:1" s="32" customFormat="1" ht="23" x14ac:dyDescent="0.25">
      <c r="A13" s="32" t="s">
        <v>119</v>
      </c>
    </row>
    <row r="14" spans="1:1" s="32" customFormat="1" ht="23" x14ac:dyDescent="0.25">
      <c r="A14" s="32" t="s">
        <v>120</v>
      </c>
    </row>
    <row r="15" spans="1:1" s="32" customFormat="1" ht="23" x14ac:dyDescent="0.25"/>
    <row r="16" spans="1:1" s="30" customFormat="1" ht="23" x14ac:dyDescent="0.25">
      <c r="A16" s="30" t="s">
        <v>114</v>
      </c>
    </row>
    <row r="17" spans="1:8" s="32" customFormat="1" ht="23" x14ac:dyDescent="0.25">
      <c r="A17" s="32" t="s">
        <v>121</v>
      </c>
    </row>
    <row r="18" spans="1:8" s="32" customFormat="1" ht="23" x14ac:dyDescent="0.25">
      <c r="A18" s="32" t="s">
        <v>127</v>
      </c>
    </row>
    <row r="19" spans="1:8" s="32" customFormat="1" ht="23" x14ac:dyDescent="0.25">
      <c r="A19" s="32" t="s">
        <v>128</v>
      </c>
    </row>
    <row r="20" spans="1:8" s="32" customFormat="1" ht="23" x14ac:dyDescent="0.25">
      <c r="A20" s="32" t="s">
        <v>122</v>
      </c>
    </row>
    <row r="21" spans="1:8" s="32" customFormat="1" ht="23" x14ac:dyDescent="0.25"/>
    <row r="22" spans="1:8" s="32" customFormat="1" ht="23" x14ac:dyDescent="0.25">
      <c r="A22" s="30" t="s">
        <v>123</v>
      </c>
      <c r="B22" s="30"/>
      <c r="C22" s="30"/>
      <c r="D22" s="30"/>
      <c r="E22" s="30"/>
      <c r="F22" s="30"/>
      <c r="G22" s="30"/>
      <c r="H22" s="30"/>
    </row>
    <row r="23" spans="1:8" s="32" customFormat="1" ht="23" x14ac:dyDescent="0.25">
      <c r="A23" s="32" t="s">
        <v>124</v>
      </c>
    </row>
    <row r="24" spans="1:8" s="32" customFormat="1" ht="23" x14ac:dyDescent="0.25"/>
    <row r="25" spans="1:8" s="32" customFormat="1" ht="23" x14ac:dyDescent="0.25"/>
    <row r="26" spans="1:8" s="32" customFormat="1" ht="23" x14ac:dyDescent="0.25"/>
    <row r="27" spans="1:8" s="32" customFormat="1" ht="23" x14ac:dyDescent="0.25"/>
    <row r="28" spans="1:8" s="32" customFormat="1" ht="23" x14ac:dyDescent="0.25"/>
    <row r="29" spans="1:8" s="32" customFormat="1" ht="23" x14ac:dyDescent="0.25"/>
    <row r="30" spans="1:8" s="32" customFormat="1" ht="23" x14ac:dyDescent="0.25"/>
    <row r="31" spans="1:8" s="32" customFormat="1" ht="23" x14ac:dyDescent="0.25"/>
    <row r="32" spans="1:8" s="32" customFormat="1" ht="23" x14ac:dyDescent="0.25"/>
    <row r="33" s="32" customFormat="1" ht="23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8692-A96F-49BD-8CE0-1D6816A01A69}">
  <sheetPr>
    <tabColor rgb="FF00B050"/>
  </sheetPr>
  <dimension ref="B1:AC43"/>
  <sheetViews>
    <sheetView workbookViewId="0">
      <selection activeCell="D24" sqref="D24"/>
    </sheetView>
  </sheetViews>
  <sheetFormatPr baseColWidth="10" defaultColWidth="8.83203125" defaultRowHeight="15" x14ac:dyDescent="0.2"/>
  <cols>
    <col min="5" max="5" width="11.33203125" bestFit="1" customWidth="1"/>
    <col min="7" max="7" width="10" bestFit="1" customWidth="1"/>
    <col min="8" max="8" width="14" bestFit="1" customWidth="1"/>
    <col min="9" max="10" width="12.33203125" customWidth="1"/>
    <col min="12" max="12" width="11" customWidth="1"/>
    <col min="13" max="13" width="17.5" customWidth="1"/>
    <col min="14" max="14" width="17.83203125" customWidth="1"/>
    <col min="16" max="16" width="12.5" customWidth="1"/>
    <col min="17" max="17" width="10.33203125" customWidth="1"/>
    <col min="18" max="18" width="17.1640625" customWidth="1"/>
    <col min="20" max="21" width="17.5" customWidth="1"/>
    <col min="25" max="25" width="10.33203125" customWidth="1"/>
    <col min="26" max="26" width="20.5" customWidth="1"/>
  </cols>
  <sheetData>
    <row r="1" spans="2:29" ht="16" thickBot="1" x14ac:dyDescent="0.25"/>
    <row r="2" spans="2:29" x14ac:dyDescent="0.2">
      <c r="B2" s="9"/>
      <c r="C2" s="34" t="s">
        <v>104</v>
      </c>
      <c r="D2" s="34"/>
      <c r="E2" s="34"/>
      <c r="F2" s="34"/>
      <c r="G2" s="34"/>
      <c r="H2" s="12"/>
      <c r="I2" s="11"/>
      <c r="J2" s="15"/>
      <c r="K2" s="34" t="s">
        <v>107</v>
      </c>
      <c r="L2" s="34"/>
      <c r="M2" s="34"/>
      <c r="N2" s="34"/>
      <c r="O2" s="16"/>
      <c r="Q2" s="9"/>
      <c r="R2" s="35" t="s">
        <v>108</v>
      </c>
      <c r="S2" s="35"/>
      <c r="T2" s="35"/>
      <c r="U2" s="14"/>
      <c r="V2" s="12"/>
      <c r="W2" s="11"/>
      <c r="X2" s="11"/>
      <c r="Y2" s="11"/>
      <c r="Z2" s="11"/>
      <c r="AA2" s="11"/>
    </row>
    <row r="3" spans="2:29" x14ac:dyDescent="0.2">
      <c r="B3" s="4"/>
      <c r="C3" s="19"/>
      <c r="D3" s="19"/>
      <c r="E3" s="19"/>
      <c r="F3" s="19"/>
      <c r="G3" s="19"/>
      <c r="H3" s="5"/>
      <c r="J3" s="4"/>
      <c r="K3" s="19"/>
      <c r="L3" s="19"/>
      <c r="M3" s="19"/>
      <c r="N3" s="19"/>
      <c r="O3" s="5"/>
      <c r="Q3" s="4"/>
      <c r="T3" s="10"/>
      <c r="U3" s="10"/>
      <c r="V3" s="17"/>
      <c r="W3" s="10"/>
      <c r="X3" s="10"/>
      <c r="Y3" s="10"/>
      <c r="Z3" s="10"/>
      <c r="AA3" s="10"/>
      <c r="AC3" s="10"/>
    </row>
    <row r="4" spans="2:29" x14ac:dyDescent="0.2">
      <c r="B4" s="4"/>
      <c r="C4" s="19"/>
      <c r="D4" s="19"/>
      <c r="E4" s="19"/>
      <c r="F4" s="19"/>
      <c r="G4" s="19"/>
      <c r="H4" s="5"/>
      <c r="J4" s="4"/>
      <c r="K4" s="19"/>
      <c r="L4" s="19"/>
      <c r="M4" s="19"/>
      <c r="N4" s="19"/>
      <c r="O4" s="5"/>
      <c r="Q4" s="4"/>
      <c r="R4" s="19"/>
      <c r="S4" s="19"/>
      <c r="T4" s="19"/>
      <c r="U4" s="19"/>
      <c r="V4" s="5"/>
    </row>
    <row r="5" spans="2:29" ht="97" customHeight="1" x14ac:dyDescent="0.2">
      <c r="B5" s="4"/>
      <c r="C5" s="20" t="s">
        <v>94</v>
      </c>
      <c r="D5" s="20" t="s">
        <v>106</v>
      </c>
      <c r="E5" s="21" t="s">
        <v>96</v>
      </c>
      <c r="F5" s="20" t="s">
        <v>102</v>
      </c>
      <c r="G5" s="21" t="s">
        <v>103</v>
      </c>
      <c r="H5" s="5"/>
      <c r="J5" s="4"/>
      <c r="K5" s="20" t="s">
        <v>93</v>
      </c>
      <c r="L5" s="20" t="s">
        <v>105</v>
      </c>
      <c r="M5" s="20" t="s">
        <v>98</v>
      </c>
      <c r="N5" s="20" t="s">
        <v>99</v>
      </c>
      <c r="O5" s="5"/>
      <c r="Q5" s="13"/>
      <c r="R5" s="20" t="s">
        <v>90</v>
      </c>
      <c r="S5" s="20" t="s">
        <v>92</v>
      </c>
      <c r="T5" s="20" t="s">
        <v>109</v>
      </c>
      <c r="U5" s="20" t="s">
        <v>110</v>
      </c>
      <c r="V5" s="18"/>
    </row>
    <row r="6" spans="2:29" ht="17" x14ac:dyDescent="0.2">
      <c r="B6" s="4"/>
      <c r="C6" s="21" t="s">
        <v>95</v>
      </c>
      <c r="D6" s="21" t="s">
        <v>6</v>
      </c>
      <c r="E6" s="21" t="s">
        <v>5</v>
      </c>
      <c r="F6" s="21" t="s">
        <v>97</v>
      </c>
      <c r="G6" s="21" t="s">
        <v>97</v>
      </c>
      <c r="H6" s="5"/>
      <c r="J6" s="4"/>
      <c r="K6" s="21"/>
      <c r="L6" s="21" t="s">
        <v>6</v>
      </c>
      <c r="M6" s="21" t="s">
        <v>6</v>
      </c>
      <c r="N6" s="21" t="s">
        <v>101</v>
      </c>
      <c r="O6" s="5"/>
      <c r="Q6" s="13"/>
      <c r="R6" s="21" t="s">
        <v>91</v>
      </c>
      <c r="S6" s="21" t="s">
        <v>100</v>
      </c>
      <c r="T6" s="21" t="s">
        <v>101</v>
      </c>
      <c r="U6" s="21" t="s">
        <v>101</v>
      </c>
      <c r="V6" s="18"/>
    </row>
    <row r="7" spans="2:29" x14ac:dyDescent="0.2">
      <c r="B7" s="4"/>
      <c r="C7" s="19"/>
      <c r="D7" s="19"/>
      <c r="E7" s="19"/>
      <c r="F7" s="19"/>
      <c r="G7" s="19"/>
      <c r="H7" s="5"/>
      <c r="J7" s="4"/>
      <c r="K7" s="19"/>
      <c r="L7" s="19"/>
      <c r="M7" s="19"/>
      <c r="N7" s="19"/>
      <c r="O7" s="5"/>
      <c r="Q7" s="4"/>
      <c r="R7" s="19"/>
      <c r="S7" s="19"/>
      <c r="T7" s="19"/>
      <c r="U7" s="19"/>
      <c r="V7" s="5"/>
    </row>
    <row r="8" spans="2:29" ht="16" x14ac:dyDescent="0.2">
      <c r="B8" s="4"/>
      <c r="C8" s="22">
        <v>4</v>
      </c>
      <c r="D8" s="22">
        <v>90</v>
      </c>
      <c r="E8" s="22">
        <v>1148</v>
      </c>
      <c r="F8" s="22">
        <v>26.2</v>
      </c>
      <c r="G8" s="22">
        <v>-0.14000000000000001</v>
      </c>
      <c r="H8" s="5"/>
      <c r="J8" s="4"/>
      <c r="K8" s="24">
        <f>SUM(T8:T33)</f>
        <v>6019643102878.791</v>
      </c>
      <c r="L8" s="28">
        <f>'Calculations (do not edit)'!O30</f>
        <v>106.80994849647571</v>
      </c>
      <c r="M8" s="28">
        <f>'Calculations (do not edit)'!D14</f>
        <v>16.809948496475712</v>
      </c>
      <c r="N8" s="24">
        <f>IF(M8&gt;0,'Calculations (do not edit)'!J53,0)</f>
        <v>13333816620495.205</v>
      </c>
      <c r="O8" s="5"/>
      <c r="Q8" s="4"/>
      <c r="R8" s="25">
        <v>1.9999999999999999E-6</v>
      </c>
      <c r="S8" s="25">
        <f>6*R8^2</f>
        <v>2.4000000000000001E-11</v>
      </c>
      <c r="T8" s="26">
        <f t="shared" ref="T8:T32" si="0">1000000*R8*EXP(R8*1000000*$G$8+$F$8)</f>
        <v>361362403871.26508</v>
      </c>
      <c r="U8" s="27">
        <f>'Calculations (do not edit)'!H53</f>
        <v>361471190338.63745</v>
      </c>
      <c r="V8" s="5"/>
    </row>
    <row r="9" spans="2:29" ht="16" thickBot="1" x14ac:dyDescent="0.25">
      <c r="B9" s="6"/>
      <c r="C9" s="23"/>
      <c r="D9" s="23"/>
      <c r="E9" s="23"/>
      <c r="F9" s="23"/>
      <c r="G9" s="23"/>
      <c r="H9" s="8"/>
      <c r="J9" s="6"/>
      <c r="K9" s="7"/>
      <c r="L9" s="7"/>
      <c r="M9" s="7"/>
      <c r="N9" s="7"/>
      <c r="O9" s="8"/>
      <c r="Q9" s="4"/>
      <c r="R9" s="25">
        <f t="shared" ref="R9:R32" si="1">R8+$R$8</f>
        <v>3.9999999999999998E-6</v>
      </c>
      <c r="S9" s="25">
        <f t="shared" ref="S9:S32" si="2">6*R9^2</f>
        <v>9.6000000000000005E-11</v>
      </c>
      <c r="T9" s="26">
        <f t="shared" si="0"/>
        <v>546223659238.52057</v>
      </c>
      <c r="U9" s="27">
        <f>'Calculations (do not edit)'!H54</f>
        <v>548848756671.01672</v>
      </c>
      <c r="V9" s="5"/>
    </row>
    <row r="10" spans="2:29" x14ac:dyDescent="0.2">
      <c r="Q10" s="4"/>
      <c r="R10" s="25">
        <f t="shared" si="1"/>
        <v>6.0000000000000002E-6</v>
      </c>
      <c r="S10" s="25">
        <f>6*R10^2</f>
        <v>2.1600000000000003E-10</v>
      </c>
      <c r="T10" s="26">
        <f t="shared" si="0"/>
        <v>619240441276.38879</v>
      </c>
      <c r="U10" s="27">
        <f>'Calculations (do not edit)'!H55</f>
        <v>634162889026.78723</v>
      </c>
      <c r="V10" s="5"/>
    </row>
    <row r="11" spans="2:29" x14ac:dyDescent="0.2">
      <c r="Q11" s="4"/>
      <c r="R11" s="25">
        <f t="shared" si="1"/>
        <v>7.9999999999999996E-6</v>
      </c>
      <c r="S11" s="25">
        <f t="shared" si="2"/>
        <v>3.8400000000000002E-10</v>
      </c>
      <c r="T11" s="26">
        <f t="shared" si="0"/>
        <v>624015810091.41736</v>
      </c>
      <c r="U11" s="27">
        <f>'Calculations (do not edit)'!H56</f>
        <v>670391199039.61572</v>
      </c>
      <c r="V11" s="5"/>
    </row>
    <row r="12" spans="2:29" x14ac:dyDescent="0.2">
      <c r="Q12" s="4"/>
      <c r="R12" s="25">
        <f t="shared" si="1"/>
        <v>9.9999999999999991E-6</v>
      </c>
      <c r="S12" s="25">
        <f t="shared" si="2"/>
        <v>5.9999999999999989E-10</v>
      </c>
      <c r="T12" s="26">
        <f t="shared" si="0"/>
        <v>589526254598.02258</v>
      </c>
      <c r="U12" s="27">
        <f>'Calculations (do not edit)'!H57</f>
        <v>691623427390.95789</v>
      </c>
      <c r="V12" s="5"/>
    </row>
    <row r="13" spans="2:29" x14ac:dyDescent="0.2">
      <c r="Q13" s="4"/>
      <c r="R13" s="25">
        <f t="shared" si="1"/>
        <v>1.1999999999999999E-5</v>
      </c>
      <c r="S13" s="25">
        <f t="shared" si="2"/>
        <v>8.6399999999999981E-10</v>
      </c>
      <c r="T13" s="26">
        <f t="shared" si="0"/>
        <v>534665230063.76819</v>
      </c>
      <c r="U13" s="27">
        <f>'Calculations (do not edit)'!H58</f>
        <v>713417937887.53491</v>
      </c>
      <c r="V13" s="5"/>
    </row>
    <row r="14" spans="2:29" x14ac:dyDescent="0.2">
      <c r="Q14" s="4"/>
      <c r="R14" s="25">
        <f t="shared" si="1"/>
        <v>1.3999999999999998E-5</v>
      </c>
      <c r="S14" s="25">
        <f t="shared" si="2"/>
        <v>1.1759999999999997E-9</v>
      </c>
      <c r="T14" s="26">
        <f t="shared" si="0"/>
        <v>471439836004.52728</v>
      </c>
      <c r="U14" s="27">
        <f>'Calculations (do not edit)'!H59</f>
        <v>737292914704.06018</v>
      </c>
      <c r="V14" s="5"/>
    </row>
    <row r="15" spans="2:29" x14ac:dyDescent="0.2">
      <c r="Q15" s="4"/>
      <c r="R15" s="25">
        <f t="shared" si="1"/>
        <v>1.5999999999999999E-5</v>
      </c>
      <c r="S15" s="25">
        <f t="shared" si="2"/>
        <v>1.5360000000000001E-9</v>
      </c>
      <c r="T15" s="26">
        <f t="shared" si="0"/>
        <v>407207500716.31561</v>
      </c>
      <c r="U15" s="27">
        <f>'Calculations (do not edit)'!H60</f>
        <v>758164666363.25183</v>
      </c>
      <c r="V15" s="5"/>
    </row>
    <row r="16" spans="2:29" x14ac:dyDescent="0.2">
      <c r="Q16" s="4"/>
      <c r="R16" s="25">
        <f t="shared" si="1"/>
        <v>1.8E-5</v>
      </c>
      <c r="S16" s="25">
        <f t="shared" si="2"/>
        <v>1.9439999999999999E-9</v>
      </c>
      <c r="T16" s="26">
        <f t="shared" si="0"/>
        <v>346230909495.23816</v>
      </c>
      <c r="U16" s="27">
        <f>'Calculations (do not edit)'!H61</f>
        <v>770386068279.99353</v>
      </c>
      <c r="V16" s="5"/>
    </row>
    <row r="17" spans="17:22" x14ac:dyDescent="0.2">
      <c r="Q17" s="4"/>
      <c r="R17" s="25">
        <f t="shared" si="1"/>
        <v>2.0000000000000002E-5</v>
      </c>
      <c r="S17" s="25">
        <f t="shared" si="2"/>
        <v>2.4000000000000004E-9</v>
      </c>
      <c r="T17" s="26">
        <f t="shared" si="0"/>
        <v>290750769095.47717</v>
      </c>
      <c r="U17" s="27">
        <f>'Calculations (do not edit)'!H62</f>
        <v>770451852743.94666</v>
      </c>
      <c r="V17" s="5"/>
    </row>
    <row r="18" spans="17:22" x14ac:dyDescent="0.2">
      <c r="Q18" s="4"/>
      <c r="R18" s="25">
        <f t="shared" si="1"/>
        <v>2.2000000000000003E-5</v>
      </c>
      <c r="S18" s="25">
        <f>6*R18^2</f>
        <v>2.9040000000000007E-9</v>
      </c>
      <c r="T18" s="26">
        <f t="shared" si="0"/>
        <v>241719174507.92014</v>
      </c>
      <c r="U18" s="27">
        <f>'Calculations (do not edit)'!H63</f>
        <v>757338866655.02161</v>
      </c>
      <c r="V18" s="5"/>
    </row>
    <row r="19" spans="17:22" x14ac:dyDescent="0.2">
      <c r="Q19" s="4"/>
      <c r="R19" s="25">
        <f t="shared" si="1"/>
        <v>2.4000000000000004E-5</v>
      </c>
      <c r="S19" s="25">
        <f t="shared" si="2"/>
        <v>3.4560000000000013E-9</v>
      </c>
      <c r="T19" s="26">
        <f t="shared" si="0"/>
        <v>199295369554.02081</v>
      </c>
      <c r="U19" s="27">
        <f>'Calculations (do not edit)'!H64</f>
        <v>731900721471.85376</v>
      </c>
      <c r="V19" s="5"/>
    </row>
    <row r="20" spans="17:22" x14ac:dyDescent="0.2">
      <c r="Q20" s="4"/>
      <c r="R20" s="25">
        <f t="shared" si="1"/>
        <v>2.6000000000000005E-5</v>
      </c>
      <c r="S20" s="25">
        <f t="shared" si="2"/>
        <v>4.0560000000000017E-9</v>
      </c>
      <c r="T20" s="26">
        <f t="shared" si="0"/>
        <v>163176216727.70074</v>
      </c>
      <c r="U20" s="27">
        <f>'Calculations (do not edit)'!H65</f>
        <v>696112500104.7489</v>
      </c>
      <c r="V20" s="5"/>
    </row>
    <row r="21" spans="17:22" x14ac:dyDescent="0.2">
      <c r="Q21" s="4"/>
      <c r="R21" s="25">
        <f t="shared" si="1"/>
        <v>2.8000000000000006E-5</v>
      </c>
      <c r="S21" s="25">
        <f t="shared" si="2"/>
        <v>4.704000000000002E-9</v>
      </c>
      <c r="T21" s="26">
        <f t="shared" si="0"/>
        <v>132812541717.74818</v>
      </c>
      <c r="U21" s="27">
        <f>'Calculations (do not edit)'!H66</f>
        <v>652451625272.69324</v>
      </c>
      <c r="V21" s="5"/>
    </row>
    <row r="22" spans="17:22" x14ac:dyDescent="0.2">
      <c r="Q22" s="4"/>
      <c r="R22" s="25">
        <f t="shared" si="1"/>
        <v>3.0000000000000008E-5</v>
      </c>
      <c r="S22" s="25">
        <f t="shared" si="2"/>
        <v>5.400000000000002E-9</v>
      </c>
      <c r="T22" s="26">
        <f t="shared" si="0"/>
        <v>107547385383.94778</v>
      </c>
      <c r="U22" s="27">
        <f>'Calculations (do not edit)'!H67</f>
        <v>603468577780.83435</v>
      </c>
      <c r="V22" s="5"/>
    </row>
    <row r="23" spans="17:22" x14ac:dyDescent="0.2">
      <c r="Q23" s="4"/>
      <c r="R23" s="25">
        <f t="shared" si="1"/>
        <v>3.2000000000000005E-5</v>
      </c>
      <c r="S23" s="25">
        <f t="shared" si="2"/>
        <v>6.1440000000000019E-9</v>
      </c>
      <c r="T23" s="26">
        <f t="shared" si="0"/>
        <v>86701402996.5448</v>
      </c>
      <c r="U23" s="27">
        <f>'Calculations (do not edit)'!H68</f>
        <v>551522842919.16394</v>
      </c>
      <c r="V23" s="5"/>
    </row>
    <row r="24" spans="17:22" x14ac:dyDescent="0.2">
      <c r="Q24" s="4"/>
      <c r="R24" s="25">
        <f t="shared" si="1"/>
        <v>3.4000000000000007E-5</v>
      </c>
      <c r="S24" s="25">
        <f t="shared" si="2"/>
        <v>6.9360000000000017E-9</v>
      </c>
      <c r="T24" s="26">
        <f t="shared" si="0"/>
        <v>69622980167.826035</v>
      </c>
      <c r="U24" s="27">
        <f>'Calculations (do not edit)'!H69</f>
        <v>498642412955.67371</v>
      </c>
      <c r="V24" s="5"/>
    </row>
    <row r="25" spans="17:22" x14ac:dyDescent="0.2">
      <c r="Q25" s="4"/>
      <c r="R25" s="25">
        <f t="shared" si="1"/>
        <v>3.6000000000000008E-5</v>
      </c>
      <c r="S25" s="25">
        <f t="shared" si="2"/>
        <v>7.7760000000000029E-9</v>
      </c>
      <c r="T25" s="26">
        <f t="shared" si="0"/>
        <v>55715205645.039467</v>
      </c>
      <c r="U25" s="27">
        <f>'Calculations (do not edit)'!H70</f>
        <v>446468247160.24811</v>
      </c>
      <c r="V25" s="5"/>
    </row>
    <row r="26" spans="17:22" x14ac:dyDescent="0.2">
      <c r="Q26" s="4"/>
      <c r="R26" s="25">
        <f t="shared" si="1"/>
        <v>3.8000000000000009E-5</v>
      </c>
      <c r="S26" s="25">
        <f t="shared" si="2"/>
        <v>8.664000000000004E-9</v>
      </c>
      <c r="T26" s="26">
        <f t="shared" si="0"/>
        <v>44448015832.737808</v>
      </c>
      <c r="U26" s="27">
        <f>'Calculations (do not edit)'!H71</f>
        <v>396253176215.41486</v>
      </c>
      <c r="V26" s="5"/>
    </row>
    <row r="27" spans="17:22" x14ac:dyDescent="0.2">
      <c r="Q27" s="4"/>
      <c r="R27" s="25">
        <f t="shared" si="1"/>
        <v>4.000000000000001E-5</v>
      </c>
      <c r="S27" s="25">
        <f t="shared" si="2"/>
        <v>9.6000000000000049E-9</v>
      </c>
      <c r="T27" s="26">
        <f t="shared" si="0"/>
        <v>35361144954.05249</v>
      </c>
      <c r="U27" s="27">
        <f>'Calculations (do not edit)'!H72</f>
        <v>348892863323.83154</v>
      </c>
      <c r="V27" s="5"/>
    </row>
    <row r="28" spans="17:22" x14ac:dyDescent="0.2">
      <c r="Q28" s="4"/>
      <c r="R28" s="25">
        <f t="shared" si="1"/>
        <v>4.2000000000000011E-5</v>
      </c>
      <c r="S28" s="25">
        <f t="shared" si="2"/>
        <v>1.0584000000000006E-8</v>
      </c>
      <c r="T28" s="26">
        <f t="shared" si="0"/>
        <v>28061647357.308613</v>
      </c>
      <c r="U28" s="27">
        <f>'Calculations (do not edit)'!H73</f>
        <v>304973207092.25513</v>
      </c>
      <c r="V28" s="5"/>
    </row>
    <row r="29" spans="17:22" x14ac:dyDescent="0.2">
      <c r="Q29" s="4"/>
      <c r="R29" s="25">
        <f t="shared" si="1"/>
        <v>4.4000000000000012E-5</v>
      </c>
      <c r="S29" s="25">
        <f t="shared" si="2"/>
        <v>1.1616000000000006E-8</v>
      </c>
      <c r="T29" s="26">
        <f t="shared" si="0"/>
        <v>22218467156.409176</v>
      </c>
      <c r="U29" s="27">
        <f>'Calculations (do not edit)'!H74</f>
        <v>264823795667.95853</v>
      </c>
      <c r="V29" s="5"/>
    </row>
    <row r="30" spans="17:22" x14ac:dyDescent="0.2">
      <c r="Q30" s="4"/>
      <c r="R30" s="25">
        <f t="shared" si="1"/>
        <v>4.6000000000000014E-5</v>
      </c>
      <c r="S30" s="25">
        <f t="shared" si="2"/>
        <v>1.2696000000000008E-8</v>
      </c>
      <c r="T30" s="26">
        <f t="shared" si="0"/>
        <v>17555645156.740398</v>
      </c>
      <c r="U30" s="27">
        <f>'Calculations (do not edit)'!H75</f>
        <v>228570872103.13895</v>
      </c>
      <c r="V30" s="5"/>
    </row>
    <row r="31" spans="17:22" x14ac:dyDescent="0.2">
      <c r="Q31" s="4"/>
      <c r="R31" s="25">
        <f t="shared" si="1"/>
        <v>4.8000000000000015E-5</v>
      </c>
      <c r="S31" s="25">
        <f t="shared" si="2"/>
        <v>1.3824000000000009E-8</v>
      </c>
      <c r="T31" s="26">
        <f t="shared" si="0"/>
        <v>13845152535.892517</v>
      </c>
      <c r="U31" s="27">
        <f>'Calculations (do not edit)'!H76</f>
        <v>196186009326.56854</v>
      </c>
      <c r="V31" s="5"/>
    </row>
    <row r="32" spans="17:22" x14ac:dyDescent="0.2">
      <c r="Q32" s="4"/>
      <c r="R32" s="25">
        <f t="shared" si="1"/>
        <v>5.0000000000000016E-5</v>
      </c>
      <c r="S32" s="25">
        <f t="shared" si="2"/>
        <v>1.5000000000000009E-8</v>
      </c>
      <c r="T32" s="26">
        <f t="shared" si="0"/>
        <v>10899938733.96048</v>
      </c>
      <c r="U32" s="27">
        <f>'Calculations (do not edit)'!H77</f>
        <v>0</v>
      </c>
      <c r="V32" s="5"/>
    </row>
    <row r="33" spans="14:22" ht="16" thickBot="1" x14ac:dyDescent="0.25">
      <c r="Q33" s="6"/>
      <c r="R33" s="7"/>
      <c r="S33" s="7"/>
      <c r="T33" s="7"/>
      <c r="U33" s="7"/>
      <c r="V33" s="8"/>
    </row>
    <row r="43" spans="14:22" x14ac:dyDescent="0.2">
      <c r="N43" s="2"/>
    </row>
  </sheetData>
  <mergeCells count="3">
    <mergeCell ref="C2:G2"/>
    <mergeCell ref="K2:N2"/>
    <mergeCell ref="R2:T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E39F-F805-4921-98D3-0C611EB5E92D}">
  <sheetPr>
    <tabColor rgb="FFFF0000"/>
  </sheetPr>
  <dimension ref="A5:AI76"/>
  <sheetViews>
    <sheetView workbookViewId="0">
      <selection activeCell="O30" sqref="O30"/>
    </sheetView>
  </sheetViews>
  <sheetFormatPr baseColWidth="10" defaultColWidth="8.83203125" defaultRowHeight="15" x14ac:dyDescent="0.2"/>
  <cols>
    <col min="1" max="1" width="12.33203125" customWidth="1"/>
    <col min="2" max="2" width="16.83203125" bestFit="1" customWidth="1"/>
    <col min="4" max="4" width="12" bestFit="1" customWidth="1"/>
    <col min="13" max="13" width="12" bestFit="1" customWidth="1"/>
  </cols>
  <sheetData>
    <row r="5" spans="2:32" x14ac:dyDescent="0.2">
      <c r="B5" s="3" t="s">
        <v>10</v>
      </c>
      <c r="K5" s="3" t="s">
        <v>9</v>
      </c>
      <c r="P5" t="s">
        <v>12</v>
      </c>
      <c r="T5" t="s">
        <v>14</v>
      </c>
      <c r="Z5" t="s">
        <v>28</v>
      </c>
      <c r="AB5" t="s">
        <v>40</v>
      </c>
      <c r="AD5" t="s">
        <v>42</v>
      </c>
      <c r="AF5" t="s">
        <v>41</v>
      </c>
    </row>
    <row r="7" spans="2:32" x14ac:dyDescent="0.2">
      <c r="B7" t="s">
        <v>0</v>
      </c>
      <c r="D7">
        <f>'Inputs and outputs'!C8</f>
        <v>4</v>
      </c>
      <c r="E7" t="s">
        <v>3</v>
      </c>
      <c r="K7" t="s">
        <v>0</v>
      </c>
      <c r="M7">
        <f>D7</f>
        <v>4</v>
      </c>
      <c r="N7" t="s">
        <v>3</v>
      </c>
      <c r="P7" t="s">
        <v>13</v>
      </c>
      <c r="Q7">
        <v>75.17</v>
      </c>
      <c r="S7" t="s">
        <v>13</v>
      </c>
      <c r="T7">
        <f>Q7</f>
        <v>75.17</v>
      </c>
      <c r="V7" s="1" t="s">
        <v>16</v>
      </c>
      <c r="W7">
        <v>28.0855</v>
      </c>
      <c r="Y7" t="s">
        <v>13</v>
      </c>
      <c r="Z7">
        <f>W7+2*W18</f>
        <v>60.083500000000001</v>
      </c>
      <c r="AB7">
        <f>T7/Z7</f>
        <v>1.2510922299799445</v>
      </c>
      <c r="AD7">
        <v>2</v>
      </c>
      <c r="AF7">
        <f>AB7*AD7</f>
        <v>2.502184459959889</v>
      </c>
    </row>
    <row r="8" spans="2:32" x14ac:dyDescent="0.2">
      <c r="B8" t="s">
        <v>2</v>
      </c>
      <c r="D8">
        <f>'Inputs and outputs'!E8</f>
        <v>1148</v>
      </c>
      <c r="E8" t="s">
        <v>5</v>
      </c>
      <c r="K8" t="s">
        <v>2</v>
      </c>
      <c r="M8">
        <f>D8</f>
        <v>1148</v>
      </c>
      <c r="N8" t="s">
        <v>5</v>
      </c>
      <c r="Q8">
        <v>0.22</v>
      </c>
      <c r="S8" t="s">
        <v>29</v>
      </c>
      <c r="T8">
        <f t="shared" ref="T8:T9" si="0">Q8</f>
        <v>0.22</v>
      </c>
      <c r="V8" s="1" t="s">
        <v>17</v>
      </c>
      <c r="W8">
        <v>47.866999999999997</v>
      </c>
      <c r="Y8" t="s">
        <v>29</v>
      </c>
      <c r="Z8">
        <f>W8+2*W18</f>
        <v>79.864999999999995</v>
      </c>
      <c r="AB8">
        <f t="shared" ref="AB8:AB18" si="1">T8/Z8</f>
        <v>2.7546484692919301E-3</v>
      </c>
      <c r="AD8">
        <v>2</v>
      </c>
      <c r="AF8">
        <f t="shared" ref="AF8:AF18" si="2">AB8*AD8</f>
        <v>5.5092969385838603E-3</v>
      </c>
    </row>
    <row r="9" spans="2:32" x14ac:dyDescent="0.2">
      <c r="K9" t="s">
        <v>7</v>
      </c>
      <c r="M9">
        <f>'Inputs and outputs'!D8</f>
        <v>90</v>
      </c>
      <c r="N9" t="s">
        <v>11</v>
      </c>
      <c r="Q9">
        <v>12.02</v>
      </c>
      <c r="S9" t="s">
        <v>30</v>
      </c>
      <c r="T9">
        <f t="shared" si="0"/>
        <v>12.02</v>
      </c>
      <c r="V9" s="1" t="s">
        <v>18</v>
      </c>
      <c r="W9">
        <v>26.981539000000001</v>
      </c>
      <c r="Y9" t="s">
        <v>30</v>
      </c>
      <c r="Z9">
        <f>2*W9+3*W18</f>
        <v>101.96007800000001</v>
      </c>
      <c r="AB9">
        <f t="shared" si="1"/>
        <v>0.1178892781937652</v>
      </c>
      <c r="AD9">
        <v>3</v>
      </c>
      <c r="AF9">
        <f t="shared" si="2"/>
        <v>0.35366783458129558</v>
      </c>
    </row>
    <row r="10" spans="2:32" x14ac:dyDescent="0.2">
      <c r="D10">
        <f>(354.94*(D13)^0.5 +9.623*D13-1.5223*D13^1.5)/D8 + 0.0012439*D13^1.5</f>
        <v>4</v>
      </c>
      <c r="K10" t="s">
        <v>1</v>
      </c>
      <c r="M10">
        <f>M9/1000</f>
        <v>0.09</v>
      </c>
      <c r="N10" t="s">
        <v>47</v>
      </c>
      <c r="Q10">
        <v>3.13</v>
      </c>
      <c r="S10" t="s">
        <v>31</v>
      </c>
      <c r="T10">
        <v>0</v>
      </c>
      <c r="V10" s="1" t="s">
        <v>19</v>
      </c>
      <c r="W10">
        <v>55.844999999999999</v>
      </c>
      <c r="Y10" t="s">
        <v>31</v>
      </c>
      <c r="Z10">
        <f>2*W10+3*W18</f>
        <v>159.68700000000001</v>
      </c>
      <c r="AB10">
        <f t="shared" si="1"/>
        <v>0</v>
      </c>
      <c r="AD10">
        <v>3</v>
      </c>
      <c r="AF10">
        <f t="shared" si="2"/>
        <v>0</v>
      </c>
    </row>
    <row r="11" spans="2:32" x14ac:dyDescent="0.2">
      <c r="D11">
        <f>ABS(D7-D10)</f>
        <v>0</v>
      </c>
      <c r="Q11">
        <v>0.11</v>
      </c>
      <c r="S11" t="s">
        <v>32</v>
      </c>
      <c r="T11">
        <f>Q10</f>
        <v>3.13</v>
      </c>
      <c r="V11" s="1" t="s">
        <v>20</v>
      </c>
      <c r="W11">
        <v>54.938043999999998</v>
      </c>
      <c r="Y11" t="s">
        <v>32</v>
      </c>
      <c r="Z11">
        <f>W10+W18</f>
        <v>71.843999999999994</v>
      </c>
      <c r="AB11">
        <f t="shared" si="1"/>
        <v>4.3566616558098105E-2</v>
      </c>
      <c r="AD11">
        <v>1</v>
      </c>
      <c r="AF11">
        <f t="shared" si="2"/>
        <v>4.3566616558098105E-2</v>
      </c>
    </row>
    <row r="12" spans="2:32" x14ac:dyDescent="0.2">
      <c r="Q12">
        <v>0.09</v>
      </c>
      <c r="S12" t="s">
        <v>33</v>
      </c>
      <c r="T12">
        <f t="shared" ref="T12:T17" si="3">Q11</f>
        <v>0.11</v>
      </c>
      <c r="V12" s="1" t="s">
        <v>21</v>
      </c>
      <c r="W12">
        <v>24.305</v>
      </c>
      <c r="Y12" t="s">
        <v>33</v>
      </c>
      <c r="Z12">
        <f>W11+W18</f>
        <v>70.937044</v>
      </c>
      <c r="AB12">
        <f t="shared" si="1"/>
        <v>1.5506707609637639E-3</v>
      </c>
      <c r="AD12">
        <v>1</v>
      </c>
      <c r="AF12">
        <f t="shared" si="2"/>
        <v>1.5506707609637639E-3</v>
      </c>
    </row>
    <row r="13" spans="2:32" x14ac:dyDescent="0.2">
      <c r="B13" t="s">
        <v>8</v>
      </c>
      <c r="D13">
        <f>O30</f>
        <v>106.80994849647571</v>
      </c>
      <c r="E13" t="s">
        <v>4</v>
      </c>
      <c r="K13" t="s">
        <v>45</v>
      </c>
      <c r="M13">
        <f>(M7/18.015)/((M7/18.015)+(100-M7)/AI20)</f>
        <v>7.0550567665748978E-2</v>
      </c>
      <c r="Q13">
        <v>1.66</v>
      </c>
      <c r="S13" t="s">
        <v>34</v>
      </c>
      <c r="T13">
        <f t="shared" si="3"/>
        <v>0.09</v>
      </c>
      <c r="V13" s="1" t="s">
        <v>22</v>
      </c>
      <c r="W13">
        <v>40.078000000000003</v>
      </c>
      <c r="Y13" t="s">
        <v>34</v>
      </c>
      <c r="Z13">
        <f>W12+W18</f>
        <v>40.304000000000002</v>
      </c>
      <c r="AB13">
        <f t="shared" si="1"/>
        <v>2.2330289797538702E-3</v>
      </c>
      <c r="AD13">
        <v>1</v>
      </c>
      <c r="AF13">
        <f t="shared" si="2"/>
        <v>2.2330289797538702E-3</v>
      </c>
    </row>
    <row r="14" spans="2:32" x14ac:dyDescent="0.2">
      <c r="B14" t="s">
        <v>58</v>
      </c>
      <c r="D14">
        <f>D13-M9</f>
        <v>16.809948496475712</v>
      </c>
      <c r="E14" t="s">
        <v>6</v>
      </c>
      <c r="Q14">
        <v>4.58</v>
      </c>
      <c r="S14" t="s">
        <v>35</v>
      </c>
      <c r="T14">
        <f t="shared" si="3"/>
        <v>1.66</v>
      </c>
      <c r="V14" s="1" t="s">
        <v>23</v>
      </c>
      <c r="W14">
        <v>22.989768999999999</v>
      </c>
      <c r="Y14" t="s">
        <v>35</v>
      </c>
      <c r="Z14">
        <f>W13+W18</f>
        <v>56.077000000000005</v>
      </c>
      <c r="AB14">
        <f t="shared" si="1"/>
        <v>2.9602154180858459E-2</v>
      </c>
      <c r="AD14">
        <v>1</v>
      </c>
      <c r="AF14">
        <f t="shared" si="2"/>
        <v>2.9602154180858459E-2</v>
      </c>
    </row>
    <row r="15" spans="2:32" x14ac:dyDescent="0.2">
      <c r="K15" t="s">
        <v>46</v>
      </c>
      <c r="M15">
        <f>EXP(-12.79 -27.87*M13 -((13939 + 1230*M10 -60559*M13)/M8))</f>
        <v>7.8102925591528394E-11</v>
      </c>
      <c r="Q15">
        <v>2.88</v>
      </c>
      <c r="S15" t="s">
        <v>36</v>
      </c>
      <c r="T15">
        <f t="shared" si="3"/>
        <v>4.58</v>
      </c>
      <c r="V15" s="1" t="s">
        <v>24</v>
      </c>
      <c r="W15">
        <v>39.098300000000002</v>
      </c>
      <c r="Y15" t="s">
        <v>36</v>
      </c>
      <c r="Z15">
        <f>2*W14+W18</f>
        <v>61.978538</v>
      </c>
      <c r="AB15">
        <f t="shared" si="1"/>
        <v>7.3896547866295265E-2</v>
      </c>
      <c r="AD15">
        <v>1</v>
      </c>
      <c r="AF15">
        <f t="shared" si="2"/>
        <v>7.3896547866295265E-2</v>
      </c>
    </row>
    <row r="16" spans="2:32" x14ac:dyDescent="0.2">
      <c r="B16" s="3" t="s">
        <v>50</v>
      </c>
      <c r="Q16">
        <v>0</v>
      </c>
      <c r="S16" t="s">
        <v>37</v>
      </c>
      <c r="T16">
        <f t="shared" si="3"/>
        <v>2.88</v>
      </c>
      <c r="V16" s="1" t="s">
        <v>25</v>
      </c>
      <c r="W16">
        <v>30.973762000000001</v>
      </c>
      <c r="Y16" t="s">
        <v>37</v>
      </c>
      <c r="Z16">
        <f>2*W15+W18</f>
        <v>94.195599999999999</v>
      </c>
      <c r="AB16">
        <f t="shared" si="1"/>
        <v>3.0574676524168856E-2</v>
      </c>
      <c r="AD16">
        <v>1</v>
      </c>
      <c r="AF16">
        <f t="shared" si="2"/>
        <v>3.0574676524168856E-2</v>
      </c>
    </row>
    <row r="17" spans="2:35" x14ac:dyDescent="0.2">
      <c r="K17" t="s">
        <v>5</v>
      </c>
      <c r="M17">
        <f>EXP(1.876-3110/M8)</f>
        <v>0.43471734815288959</v>
      </c>
      <c r="P17" t="s">
        <v>0</v>
      </c>
      <c r="Q17">
        <f>M7</f>
        <v>4</v>
      </c>
      <c r="S17" t="s">
        <v>38</v>
      </c>
      <c r="T17">
        <f t="shared" si="3"/>
        <v>0</v>
      </c>
      <c r="V17" s="1" t="s">
        <v>26</v>
      </c>
      <c r="W17">
        <v>51.996099999999998</v>
      </c>
      <c r="Y17" t="s">
        <v>38</v>
      </c>
      <c r="Z17">
        <f>2*W16+5*W18</f>
        <v>141.94252399999999</v>
      </c>
      <c r="AB17">
        <f t="shared" si="1"/>
        <v>0</v>
      </c>
      <c r="AD17">
        <v>5</v>
      </c>
      <c r="AF17">
        <f t="shared" si="2"/>
        <v>0</v>
      </c>
    </row>
    <row r="18" spans="2:35" x14ac:dyDescent="0.2">
      <c r="B18" t="s">
        <v>51</v>
      </c>
      <c r="D18">
        <f>0.121*EXP(-0.0224 *D13)+ 0.147*EXP(-0.0019 *D13) +0.000075*(D8-1000-273.15)</f>
        <v>0.1216730175619614</v>
      </c>
      <c r="Q18">
        <v>0</v>
      </c>
      <c r="S18" t="s">
        <v>39</v>
      </c>
      <c r="T18">
        <v>0</v>
      </c>
      <c r="V18" s="1" t="s">
        <v>27</v>
      </c>
      <c r="W18">
        <v>15.999000000000001</v>
      </c>
      <c r="Y18" t="s">
        <v>39</v>
      </c>
      <c r="Z18">
        <f>2*W17+3*W18</f>
        <v>151.98919999999998</v>
      </c>
      <c r="AB18">
        <f t="shared" si="1"/>
        <v>0</v>
      </c>
      <c r="AD18">
        <v>3</v>
      </c>
      <c r="AF18">
        <f t="shared" si="2"/>
        <v>0</v>
      </c>
    </row>
    <row r="19" spans="2:35" x14ac:dyDescent="0.2">
      <c r="K19" t="s">
        <v>49</v>
      </c>
      <c r="M19">
        <f>M15*(1-((0.5-M13)/((4/M17 -1)*(M13-(M13^2))+0.25)^0.5))</f>
        <v>4.0313184606697576E-11</v>
      </c>
      <c r="N19" t="s">
        <v>48</v>
      </c>
    </row>
    <row r="20" spans="2:35" x14ac:dyDescent="0.2">
      <c r="B20" t="s">
        <v>53</v>
      </c>
      <c r="D20">
        <v>0.49</v>
      </c>
      <c r="S20" t="s">
        <v>15</v>
      </c>
      <c r="T20">
        <f>SUM(T7:T18)</f>
        <v>99.859999999999985</v>
      </c>
      <c r="AE20" t="s">
        <v>43</v>
      </c>
      <c r="AF20">
        <f>SUM(AF7:AF18)</f>
        <v>3.0427852863499072</v>
      </c>
      <c r="AH20" t="s">
        <v>44</v>
      </c>
      <c r="AI20">
        <f>T20/AF20</f>
        <v>32.818615381103996</v>
      </c>
    </row>
    <row r="21" spans="2:35" x14ac:dyDescent="0.2">
      <c r="B21" t="s">
        <v>54</v>
      </c>
      <c r="D21" s="2">
        <v>3.1999999999999998E-10</v>
      </c>
    </row>
    <row r="23" spans="2:35" x14ac:dyDescent="0.2">
      <c r="B23" t="s">
        <v>52</v>
      </c>
      <c r="D23" s="2">
        <f>D18*D20-D21*ABS(D13-M9)*1000000</f>
        <v>5.424059508648886E-2</v>
      </c>
      <c r="E23" t="s">
        <v>55</v>
      </c>
      <c r="K23" t="s">
        <v>82</v>
      </c>
    </row>
    <row r="25" spans="2:35" x14ac:dyDescent="0.2">
      <c r="K25" t="s">
        <v>83</v>
      </c>
      <c r="L25">
        <f>-1.5223/D8 +0.0012439</f>
        <v>-8.2145296167247242E-5</v>
      </c>
    </row>
    <row r="26" spans="2:35" x14ac:dyDescent="0.2">
      <c r="B26" s="3" t="s">
        <v>56</v>
      </c>
      <c r="K26" t="s">
        <v>84</v>
      </c>
      <c r="L26">
        <f>9.623/D8</f>
        <v>8.3824041811846692E-3</v>
      </c>
    </row>
    <row r="27" spans="2:35" x14ac:dyDescent="0.2">
      <c r="K27" t="s">
        <v>85</v>
      </c>
      <c r="L27">
        <f>354.94/D8</f>
        <v>0.30918118466898953</v>
      </c>
    </row>
    <row r="28" spans="2:35" x14ac:dyDescent="0.2">
      <c r="B28" t="s">
        <v>62</v>
      </c>
      <c r="D28" s="2">
        <v>1.3800000000000001E-23</v>
      </c>
      <c r="E28" t="s">
        <v>67</v>
      </c>
      <c r="K28" t="s">
        <v>86</v>
      </c>
      <c r="L28">
        <f>-D7</f>
        <v>-4</v>
      </c>
    </row>
    <row r="30" spans="2:35" x14ac:dyDescent="0.2">
      <c r="B30" t="s">
        <v>59</v>
      </c>
      <c r="D30">
        <v>18</v>
      </c>
      <c r="E30" t="s">
        <v>68</v>
      </c>
      <c r="K30" t="s">
        <v>87</v>
      </c>
      <c r="L30">
        <f>SQRT(M9)</f>
        <v>9.4868329805051381</v>
      </c>
      <c r="N30" t="s">
        <v>88</v>
      </c>
      <c r="O30">
        <f>L47^2</f>
        <v>106.80994849647571</v>
      </c>
    </row>
    <row r="31" spans="2:35" x14ac:dyDescent="0.2">
      <c r="D31">
        <f>D30*PI()/180</f>
        <v>0.31415926535897931</v>
      </c>
      <c r="E31" t="s">
        <v>69</v>
      </c>
      <c r="L31">
        <f>L30-($L$25*L30^3 +$L$26*L30^2 + $L$27*L30+$L$28)/(3*$L$25*L30^2 +2*$L$26*L30 +$L$27)</f>
        <v>10.344523628456223</v>
      </c>
    </row>
    <row r="32" spans="2:35" x14ac:dyDescent="0.2">
      <c r="B32" t="s">
        <v>60</v>
      </c>
      <c r="D32">
        <f>0.25*(2-3*COS(D31)+COS(D31)^3)</f>
        <v>1.7672878522557167E-3</v>
      </c>
      <c r="L32">
        <f t="shared" ref="L32:L47" si="4">L31-($L$25*L31^3 +$L$26*L31^2 + $L$27*L31+$L$28)/(3*$L$25*L31^2 +2*$L$26*L31 +$L$27)</f>
        <v>10.334891050548226</v>
      </c>
    </row>
    <row r="33" spans="2:12" x14ac:dyDescent="0.2">
      <c r="L33">
        <f t="shared" si="4"/>
        <v>10.334889863780655</v>
      </c>
    </row>
    <row r="34" spans="2:12" x14ac:dyDescent="0.2">
      <c r="B34" t="s">
        <v>57</v>
      </c>
      <c r="D34" s="2">
        <f>16*PI()*D23^3/(D14*1000000)^2 *D32</f>
        <v>5.0166952408941188E-20</v>
      </c>
      <c r="E34" t="s">
        <v>64</v>
      </c>
      <c r="L34">
        <f t="shared" si="4"/>
        <v>10.334889863780635</v>
      </c>
    </row>
    <row r="35" spans="2:12" x14ac:dyDescent="0.2">
      <c r="L35">
        <f t="shared" si="4"/>
        <v>10.334889863780635</v>
      </c>
    </row>
    <row r="36" spans="2:12" x14ac:dyDescent="0.2">
      <c r="B36" t="s">
        <v>61</v>
      </c>
      <c r="D36">
        <f>EXP(-D34/(D28*D8))</f>
        <v>4.2145566261766958E-2</v>
      </c>
      <c r="L36">
        <f t="shared" si="4"/>
        <v>10.334889863780635</v>
      </c>
    </row>
    <row r="37" spans="2:12" x14ac:dyDescent="0.2">
      <c r="L37">
        <f t="shared" si="4"/>
        <v>10.334889863780635</v>
      </c>
    </row>
    <row r="38" spans="2:12" x14ac:dyDescent="0.2">
      <c r="B38" t="s">
        <v>63</v>
      </c>
      <c r="D38" s="2">
        <v>1000000000</v>
      </c>
      <c r="E38" t="s">
        <v>66</v>
      </c>
      <c r="L38">
        <f t="shared" si="4"/>
        <v>10.334889863780635</v>
      </c>
    </row>
    <row r="39" spans="2:12" x14ac:dyDescent="0.2">
      <c r="B39" t="s">
        <v>64</v>
      </c>
      <c r="D39" s="2">
        <f>D38*D36</f>
        <v>42145566.261766955</v>
      </c>
      <c r="E39" t="s">
        <v>65</v>
      </c>
      <c r="L39">
        <f t="shared" si="4"/>
        <v>10.334889863780635</v>
      </c>
    </row>
    <row r="40" spans="2:12" x14ac:dyDescent="0.2">
      <c r="L40">
        <f t="shared" si="4"/>
        <v>10.334889863780635</v>
      </c>
    </row>
    <row r="41" spans="2:12" x14ac:dyDescent="0.2">
      <c r="L41">
        <f t="shared" si="4"/>
        <v>10.334889863780635</v>
      </c>
    </row>
    <row r="42" spans="2:12" x14ac:dyDescent="0.2">
      <c r="L42">
        <f t="shared" si="4"/>
        <v>10.334889863780635</v>
      </c>
    </row>
    <row r="43" spans="2:12" x14ac:dyDescent="0.2">
      <c r="B43" s="3" t="s">
        <v>70</v>
      </c>
      <c r="L43">
        <f t="shared" si="4"/>
        <v>10.334889863780635</v>
      </c>
    </row>
    <row r="44" spans="2:12" x14ac:dyDescent="0.2">
      <c r="L44">
        <f t="shared" si="4"/>
        <v>10.334889863780635</v>
      </c>
    </row>
    <row r="45" spans="2:12" x14ac:dyDescent="0.2">
      <c r="B45" t="s">
        <v>71</v>
      </c>
      <c r="D45">
        <f>SQRT(M19/D39)</f>
        <v>9.7801970954030683E-10</v>
      </c>
      <c r="E45" t="s">
        <v>73</v>
      </c>
      <c r="L45">
        <f t="shared" si="4"/>
        <v>10.334889863780635</v>
      </c>
    </row>
    <row r="46" spans="2:12" x14ac:dyDescent="0.2">
      <c r="L46">
        <f t="shared" si="4"/>
        <v>10.334889863780635</v>
      </c>
    </row>
    <row r="47" spans="2:12" x14ac:dyDescent="0.2">
      <c r="B47" t="s">
        <v>72</v>
      </c>
      <c r="D47">
        <f>1/D45</f>
        <v>1022474281.6993171</v>
      </c>
      <c r="E47" t="s">
        <v>74</v>
      </c>
      <c r="L47">
        <f t="shared" si="4"/>
        <v>10.334889863780635</v>
      </c>
    </row>
    <row r="50" spans="1:12" x14ac:dyDescent="0.2">
      <c r="A50" t="s">
        <v>76</v>
      </c>
    </row>
    <row r="51" spans="1:12" x14ac:dyDescent="0.2">
      <c r="A51" t="s">
        <v>75</v>
      </c>
      <c r="B51" t="s">
        <v>77</v>
      </c>
      <c r="D51" t="s">
        <v>79</v>
      </c>
      <c r="F51" t="s">
        <v>78</v>
      </c>
      <c r="H51" t="s">
        <v>80</v>
      </c>
      <c r="J51" t="s">
        <v>81</v>
      </c>
      <c r="L51" t="s">
        <v>89</v>
      </c>
    </row>
    <row r="53" spans="1:12" x14ac:dyDescent="0.2">
      <c r="A53" s="2">
        <f>'Inputs and outputs'!S8</f>
        <v>2.4000000000000001E-11</v>
      </c>
      <c r="B53" s="2">
        <f>'Inputs and outputs'!T8</f>
        <v>361362403871.26508</v>
      </c>
      <c r="D53" s="2">
        <f>1+$M$19/($D$39*A53^2)</f>
        <v>1661.6294309883785</v>
      </c>
      <c r="F53" s="2">
        <f>IFERROR($D$47*A53*SQRT(D53),0)</f>
        <v>1.000301045338992</v>
      </c>
      <c r="H53" s="2">
        <f>F53*B53</f>
        <v>361471190338.63745</v>
      </c>
      <c r="J53" s="2">
        <f>SUM(H53:H76)</f>
        <v>13333816620495.205</v>
      </c>
      <c r="L53" s="2">
        <f>1000000*SQRT(A53/6)</f>
        <v>2</v>
      </c>
    </row>
    <row r="54" spans="1:12" x14ac:dyDescent="0.2">
      <c r="A54" s="2">
        <f>'Inputs and outputs'!S9</f>
        <v>9.6000000000000005E-11</v>
      </c>
      <c r="B54" s="2">
        <f>'Inputs and outputs'!T9</f>
        <v>546223659238.52057</v>
      </c>
      <c r="D54" s="2">
        <f t="shared" ref="D54:D76" si="5">1+$M$19/($D$39*A54^2)</f>
        <v>104.78933943677366</v>
      </c>
      <c r="F54" s="2">
        <f t="shared" ref="F54:F76" si="6">IFERROR($D$47*A54*SQRT(D54),0)</f>
        <v>1.0048059021027316</v>
      </c>
      <c r="H54" s="2">
        <f>F54*B54</f>
        <v>548848756671.01672</v>
      </c>
      <c r="L54" s="2">
        <f t="shared" ref="L54:L76" si="7">1000000*SQRT(A54/6)</f>
        <v>4</v>
      </c>
    </row>
    <row r="55" spans="1:12" x14ac:dyDescent="0.2">
      <c r="A55" s="2">
        <f>'Inputs and outputs'!S10</f>
        <v>2.1600000000000003E-10</v>
      </c>
      <c r="B55" s="2">
        <f>'Inputs and outputs'!T10</f>
        <v>619240441276.38879</v>
      </c>
      <c r="D55" s="2">
        <f t="shared" si="5"/>
        <v>21.501597913436768</v>
      </c>
      <c r="F55" s="2">
        <f t="shared" si="6"/>
        <v>1.0240979864293747</v>
      </c>
      <c r="H55" s="2">
        <f t="shared" ref="H55:H76" si="8">F55*B55</f>
        <v>634162889026.78723</v>
      </c>
      <c r="L55" s="2">
        <f t="shared" si="7"/>
        <v>6</v>
      </c>
    </row>
    <row r="56" spans="1:12" x14ac:dyDescent="0.2">
      <c r="A56" s="2">
        <f>'Inputs and outputs'!S11</f>
        <v>3.8400000000000002E-10</v>
      </c>
      <c r="B56" s="2">
        <f>'Inputs and outputs'!T11</f>
        <v>624015810091.41736</v>
      </c>
      <c r="D56" s="2">
        <f t="shared" si="5"/>
        <v>7.4868337147983537</v>
      </c>
      <c r="F56" s="2">
        <f t="shared" si="6"/>
        <v>1.0743176506079299</v>
      </c>
      <c r="H56" s="2">
        <f t="shared" si="8"/>
        <v>670391199039.61572</v>
      </c>
      <c r="L56" s="2">
        <f t="shared" si="7"/>
        <v>8</v>
      </c>
    </row>
    <row r="57" spans="1:12" x14ac:dyDescent="0.2">
      <c r="A57" s="2">
        <f>'Inputs and outputs'!S12</f>
        <v>5.9999999999999989E-10</v>
      </c>
      <c r="B57" s="2">
        <f>'Inputs and outputs'!T12</f>
        <v>589526254598.02258</v>
      </c>
      <c r="D57" s="2">
        <f t="shared" si="5"/>
        <v>3.6570070895814069</v>
      </c>
      <c r="F57" s="2">
        <f t="shared" si="6"/>
        <v>1.1731851160090432</v>
      </c>
      <c r="H57" s="2">
        <f t="shared" si="8"/>
        <v>691623427390.95789</v>
      </c>
      <c r="L57" s="2">
        <f t="shared" si="7"/>
        <v>10</v>
      </c>
    </row>
    <row r="58" spans="1:12" x14ac:dyDescent="0.2">
      <c r="A58" s="2">
        <f>'Inputs and outputs'!S13</f>
        <v>8.6399999999999981E-10</v>
      </c>
      <c r="B58" s="2">
        <f>'Inputs and outputs'!T13</f>
        <v>534665230063.76819</v>
      </c>
      <c r="D58" s="2">
        <f t="shared" si="5"/>
        <v>2.2813498695897989</v>
      </c>
      <c r="F58" s="2">
        <f t="shared" si="6"/>
        <v>1.3343264116921298</v>
      </c>
      <c r="H58" s="2">
        <f t="shared" si="8"/>
        <v>713417937887.53491</v>
      </c>
      <c r="L58" s="2">
        <f t="shared" si="7"/>
        <v>11.999999999999998</v>
      </c>
    </row>
    <row r="59" spans="1:12" x14ac:dyDescent="0.2">
      <c r="A59" s="2">
        <f>'Inputs and outputs'!S14</f>
        <v>1.1759999999999997E-9</v>
      </c>
      <c r="B59" s="2">
        <f>'Inputs and outputs'!T14</f>
        <v>471439836004.52728</v>
      </c>
      <c r="D59" s="2">
        <f t="shared" si="5"/>
        <v>1.6916407459343521</v>
      </c>
      <c r="F59" s="2">
        <f t="shared" si="6"/>
        <v>1.5639172984460734</v>
      </c>
      <c r="H59" s="2">
        <f t="shared" si="8"/>
        <v>737292914704.06018</v>
      </c>
      <c r="L59" s="2">
        <f t="shared" si="7"/>
        <v>13.999999999999998</v>
      </c>
    </row>
    <row r="60" spans="1:12" x14ac:dyDescent="0.2">
      <c r="A60" s="2">
        <f>'Inputs and outputs'!S15</f>
        <v>1.5360000000000001E-9</v>
      </c>
      <c r="B60" s="2">
        <f>'Inputs and outputs'!T15</f>
        <v>407207500716.31561</v>
      </c>
      <c r="D60" s="2">
        <f t="shared" si="5"/>
        <v>1.4054271071748972</v>
      </c>
      <c r="F60" s="2">
        <f t="shared" si="6"/>
        <v>1.8618632147727392</v>
      </c>
      <c r="H60" s="2">
        <f t="shared" si="8"/>
        <v>758164666363.25183</v>
      </c>
      <c r="L60" s="2">
        <f t="shared" si="7"/>
        <v>16</v>
      </c>
    </row>
    <row r="61" spans="1:12" x14ac:dyDescent="0.2">
      <c r="A61" s="2">
        <f>'Inputs and outputs'!S16</f>
        <v>1.9439999999999999E-9</v>
      </c>
      <c r="B61" s="2">
        <f>'Inputs and outputs'!T16</f>
        <v>346230909495.23816</v>
      </c>
      <c r="D61" s="2">
        <f>1+$M$19/($D$39*A61^2)</f>
        <v>1.2531061470794664</v>
      </c>
      <c r="F61" s="2">
        <f>IFERROR($D$47*A61*SQRT(D61),0)</f>
        <v>2.2250643924400659</v>
      </c>
      <c r="H61" s="2">
        <f>F61*B61</f>
        <v>770386068279.99353</v>
      </c>
      <c r="L61" s="2">
        <f t="shared" si="7"/>
        <v>18</v>
      </c>
    </row>
    <row r="62" spans="1:12" x14ac:dyDescent="0.2">
      <c r="A62" s="2">
        <f>'Inputs and outputs'!S17</f>
        <v>2.4000000000000004E-9</v>
      </c>
      <c r="B62" s="2">
        <f>'Inputs and outputs'!T17</f>
        <v>290750769095.47717</v>
      </c>
      <c r="D62" s="2">
        <f t="shared" si="5"/>
        <v>1.1660629430988378</v>
      </c>
      <c r="F62" s="2">
        <f t="shared" si="6"/>
        <v>2.6498703860382378</v>
      </c>
      <c r="H62" s="2">
        <f t="shared" si="8"/>
        <v>770451852743.94666</v>
      </c>
      <c r="L62" s="2">
        <f t="shared" si="7"/>
        <v>20</v>
      </c>
    </row>
    <row r="63" spans="1:12" x14ac:dyDescent="0.2">
      <c r="A63" s="2">
        <f>'Inputs and outputs'!S18</f>
        <v>2.9040000000000007E-9</v>
      </c>
      <c r="B63" s="2">
        <f>'Inputs and outputs'!T18</f>
        <v>241719174507.92014</v>
      </c>
      <c r="D63" s="2">
        <f t="shared" si="5"/>
        <v>1.1134232245740303</v>
      </c>
      <c r="F63" s="2">
        <f t="shared" si="6"/>
        <v>3.133135251668695</v>
      </c>
      <c r="H63" s="2">
        <f t="shared" si="8"/>
        <v>757338866655.02161</v>
      </c>
      <c r="L63" s="2">
        <f t="shared" si="7"/>
        <v>22.000000000000004</v>
      </c>
    </row>
    <row r="64" spans="1:12" x14ac:dyDescent="0.2">
      <c r="A64" s="2">
        <f>'Inputs and outputs'!S19</f>
        <v>3.4560000000000013E-9</v>
      </c>
      <c r="B64" s="2">
        <f>'Inputs and outputs'!T19</f>
        <v>199295369554.02081</v>
      </c>
      <c r="D64" s="2">
        <f t="shared" si="5"/>
        <v>1.0800843668493623</v>
      </c>
      <c r="F64" s="2">
        <f t="shared" si="6"/>
        <v>3.6724421802156595</v>
      </c>
      <c r="H64" s="2">
        <f t="shared" si="8"/>
        <v>731900721471.85376</v>
      </c>
      <c r="L64" s="2">
        <f t="shared" si="7"/>
        <v>24.000000000000004</v>
      </c>
    </row>
    <row r="65" spans="1:12" x14ac:dyDescent="0.2">
      <c r="A65" s="2">
        <f>'Inputs and outputs'!S20</f>
        <v>4.0560000000000017E-9</v>
      </c>
      <c r="B65" s="2">
        <f>'Inputs and outputs'!T20</f>
        <v>163176216727.70074</v>
      </c>
      <c r="D65" s="2">
        <f t="shared" si="5"/>
        <v>1.0581432523717089</v>
      </c>
      <c r="F65" s="2">
        <f t="shared" si="6"/>
        <v>4.2660169114374193</v>
      </c>
      <c r="H65" s="2">
        <f t="shared" si="8"/>
        <v>696112500104.7489</v>
      </c>
      <c r="L65" s="2">
        <f t="shared" si="7"/>
        <v>26.000000000000004</v>
      </c>
    </row>
    <row r="66" spans="1:12" x14ac:dyDescent="0.2">
      <c r="A66" s="2">
        <f>'Inputs and outputs'!S21</f>
        <v>4.704000000000002E-9</v>
      </c>
      <c r="B66" s="2">
        <f>'Inputs and outputs'!T21</f>
        <v>132812541717.74818</v>
      </c>
      <c r="D66" s="2">
        <f t="shared" si="5"/>
        <v>1.0432275466208969</v>
      </c>
      <c r="F66" s="2">
        <f t="shared" si="6"/>
        <v>4.9125754001401205</v>
      </c>
      <c r="H66" s="2">
        <f t="shared" si="8"/>
        <v>652451625272.69324</v>
      </c>
      <c r="L66" s="2">
        <f t="shared" si="7"/>
        <v>28.000000000000007</v>
      </c>
    </row>
    <row r="67" spans="1:12" x14ac:dyDescent="0.2">
      <c r="A67" s="2">
        <f>'Inputs and outputs'!S22</f>
        <v>5.400000000000002E-9</v>
      </c>
      <c r="B67" s="2">
        <f>'Inputs and outputs'!T22</f>
        <v>107547385383.94778</v>
      </c>
      <c r="D67" s="2">
        <f t="shared" si="5"/>
        <v>1.0328025566614989</v>
      </c>
      <c r="F67" s="2">
        <f t="shared" si="6"/>
        <v>5.6111878092287526</v>
      </c>
      <c r="H67" s="2">
        <f t="shared" si="8"/>
        <v>603468577780.83435</v>
      </c>
      <c r="L67" s="2">
        <f t="shared" si="7"/>
        <v>30.000000000000004</v>
      </c>
    </row>
    <row r="68" spans="1:12" x14ac:dyDescent="0.2">
      <c r="A68" s="2">
        <f>'Inputs and outputs'!S23</f>
        <v>6.1440000000000019E-9</v>
      </c>
      <c r="B68" s="2">
        <f>'Inputs and outputs'!T23</f>
        <v>86701402996.5448</v>
      </c>
      <c r="D68" s="2">
        <f t="shared" si="5"/>
        <v>1.0253391941984311</v>
      </c>
      <c r="F68" s="2">
        <f t="shared" si="6"/>
        <v>6.361175527241965</v>
      </c>
      <c r="H68" s="2">
        <f t="shared" si="8"/>
        <v>551522842919.16394</v>
      </c>
      <c r="L68" s="2">
        <f t="shared" si="7"/>
        <v>32.000000000000007</v>
      </c>
    </row>
    <row r="69" spans="1:12" x14ac:dyDescent="0.2">
      <c r="A69" s="2">
        <f>'Inputs and outputs'!S24</f>
        <v>6.9360000000000017E-9</v>
      </c>
      <c r="B69" s="2">
        <f>'Inputs and outputs'!T24</f>
        <v>69622980167.826035</v>
      </c>
      <c r="D69" s="2">
        <f t="shared" si="5"/>
        <v>1.0198827771577015</v>
      </c>
      <c r="F69" s="2">
        <f t="shared" si="6"/>
        <v>7.162037760430497</v>
      </c>
      <c r="H69" s="2">
        <f t="shared" si="8"/>
        <v>498642412955.67371</v>
      </c>
      <c r="L69" s="2">
        <f t="shared" si="7"/>
        <v>34.000000000000007</v>
      </c>
    </row>
    <row r="70" spans="1:12" x14ac:dyDescent="0.2">
      <c r="A70" s="2">
        <f>'Inputs and outputs'!S25</f>
        <v>7.7760000000000029E-9</v>
      </c>
      <c r="B70" s="2">
        <f>'Inputs and outputs'!T25</f>
        <v>55715205645.039467</v>
      </c>
      <c r="D70" s="2">
        <f t="shared" si="5"/>
        <v>1.0158191341924667</v>
      </c>
      <c r="F70" s="2">
        <f t="shared" si="6"/>
        <v>8.0134003274561874</v>
      </c>
      <c r="H70" s="2">
        <f t="shared" si="8"/>
        <v>446468247160.24811</v>
      </c>
      <c r="L70" s="2">
        <f t="shared" si="7"/>
        <v>36.000000000000007</v>
      </c>
    </row>
    <row r="71" spans="1:12" x14ac:dyDescent="0.2">
      <c r="A71" s="2">
        <f>'Inputs and outputs'!S26</f>
        <v>8.664000000000004E-9</v>
      </c>
      <c r="B71" s="2">
        <f>'Inputs and outputs'!T26</f>
        <v>44448015832.737808</v>
      </c>
      <c r="D71" s="2">
        <f t="shared" si="5"/>
        <v>1.0127426081060487</v>
      </c>
      <c r="F71" s="2">
        <f t="shared" si="6"/>
        <v>8.9149800905973837</v>
      </c>
      <c r="H71" s="2">
        <f t="shared" si="8"/>
        <v>396253176215.41486</v>
      </c>
      <c r="L71" s="2">
        <f t="shared" si="7"/>
        <v>38.000000000000007</v>
      </c>
    </row>
    <row r="72" spans="1:12" x14ac:dyDescent="0.2">
      <c r="A72" s="2">
        <f>'Inputs and outputs'!S27</f>
        <v>9.6000000000000049E-9</v>
      </c>
      <c r="B72" s="2">
        <f>'Inputs and outputs'!T27</f>
        <v>35361144954.05249</v>
      </c>
      <c r="D72" s="2">
        <f t="shared" si="5"/>
        <v>1.0103789339436773</v>
      </c>
      <c r="F72" s="2">
        <f t="shared" si="6"/>
        <v>9.8665601404359329</v>
      </c>
      <c r="H72" s="2">
        <f t="shared" si="8"/>
        <v>348892863323.83154</v>
      </c>
      <c r="L72" s="2">
        <f t="shared" si="7"/>
        <v>40.000000000000007</v>
      </c>
    </row>
    <row r="73" spans="1:12" x14ac:dyDescent="0.2">
      <c r="A73" s="2">
        <f>'Inputs and outputs'!S28</f>
        <v>1.0584000000000006E-8</v>
      </c>
      <c r="B73" s="2">
        <f>'Inputs and outputs'!T28</f>
        <v>28061647357.308613</v>
      </c>
      <c r="D73" s="2">
        <f t="shared" si="5"/>
        <v>1.0085387746411649</v>
      </c>
      <c r="F73" s="2">
        <f t="shared" si="6"/>
        <v>10.867972332808371</v>
      </c>
      <c r="H73" s="2">
        <f t="shared" si="8"/>
        <v>304973207092.25513</v>
      </c>
      <c r="L73" s="2">
        <f t="shared" si="7"/>
        <v>42.000000000000014</v>
      </c>
    </row>
    <row r="74" spans="1:12" x14ac:dyDescent="0.2">
      <c r="A74" s="2">
        <f>'Inputs and outputs'!S29</f>
        <v>1.1616000000000006E-8</v>
      </c>
      <c r="B74" s="2">
        <f>'Inputs and outputs'!T29</f>
        <v>22218467156.409176</v>
      </c>
      <c r="D74" s="2">
        <f t="shared" si="5"/>
        <v>1.007088951535877</v>
      </c>
      <c r="F74" s="2">
        <f t="shared" si="6"/>
        <v>11.919084867723065</v>
      </c>
      <c r="H74" s="2">
        <f t="shared" si="8"/>
        <v>264823795667.95853</v>
      </c>
      <c r="L74" s="2">
        <f t="shared" si="7"/>
        <v>44.000000000000014</v>
      </c>
    </row>
    <row r="75" spans="1:12" x14ac:dyDescent="0.2">
      <c r="A75" s="2">
        <f>'Inputs and outputs'!S30</f>
        <v>1.2696000000000008E-8</v>
      </c>
      <c r="B75" s="2">
        <f>'Inputs and outputs'!T30</f>
        <v>17555645156.740398</v>
      </c>
      <c r="D75" s="2">
        <f t="shared" si="5"/>
        <v>1.0059341891680933</v>
      </c>
      <c r="F75" s="2">
        <f t="shared" si="6"/>
        <v>13.01979335207629</v>
      </c>
      <c r="H75" s="2">
        <f t="shared" si="8"/>
        <v>228570872103.13895</v>
      </c>
      <c r="L75" s="2">
        <f t="shared" si="7"/>
        <v>46.000000000000014</v>
      </c>
    </row>
    <row r="76" spans="1:12" x14ac:dyDescent="0.2">
      <c r="A76" s="2">
        <f>'Inputs and outputs'!S31</f>
        <v>1.3824000000000009E-8</v>
      </c>
      <c r="B76" s="2">
        <f>'Inputs and outputs'!T31</f>
        <v>13845152535.892517</v>
      </c>
      <c r="D76" s="2">
        <f t="shared" si="5"/>
        <v>1.0050052729280852</v>
      </c>
      <c r="F76" s="2">
        <f t="shared" si="6"/>
        <v>14.170014293303815</v>
      </c>
      <c r="H76" s="2">
        <f t="shared" si="8"/>
        <v>196186009326.56854</v>
      </c>
      <c r="L76" s="2">
        <f t="shared" si="7"/>
        <v>48.000000000000014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Inputs and outputs</vt:lpstr>
      <vt:lpstr>Calculations (do not edit)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PATRICK J.</dc:creator>
  <cp:lastModifiedBy>Gardner, James E</cp:lastModifiedBy>
  <dcterms:created xsi:type="dcterms:W3CDTF">2025-09-24T16:30:29Z</dcterms:created>
  <dcterms:modified xsi:type="dcterms:W3CDTF">2026-02-16T20:48:06Z</dcterms:modified>
</cp:coreProperties>
</file>