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jill/Desktop/seasons final_v2/"/>
    </mc:Choice>
  </mc:AlternateContent>
  <xr:revisionPtr revIDLastSave="0" documentId="13_ncr:1_{FC1CF837-20AB-E64F-A904-41557CA95C59}" xr6:coauthVersionLast="45" xr6:coauthVersionMax="45" xr10:uidLastSave="{00000000-0000-0000-0000-000000000000}"/>
  <bookViews>
    <workbookView xWindow="9040" yWindow="940" windowWidth="30820" windowHeight="26200" firstSheet="6" activeTab="6" xr2:uid="{00000000-000D-0000-FFFF-FFFF00000000}"/>
  </bookViews>
  <sheets>
    <sheet name="tissue samples" sheetId="18" r:id="rId1"/>
    <sheet name="root col (T0)" sheetId="8" r:id="rId2"/>
    <sheet name="Overview T1" sheetId="10" r:id="rId3"/>
    <sheet name="Overview T0" sheetId="1" r:id="rId4"/>
    <sheet name="root col (T1)" sheetId="20" r:id="rId5"/>
    <sheet name="T0 to T1" sheetId="23" r:id="rId6"/>
    <sheet name="Plant measures (T1)" sheetId="9" r:id="rId7"/>
  </sheets>
  <definedNames>
    <definedName name="_xlnm.Print_Area" localSheetId="6">'Plant measures (T1)'!$A$4:$T$119</definedName>
    <definedName name="_xlnm.Print_Area" localSheetId="5">'T0 to T1'!$B$2:$T$17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119" i="9" l="1"/>
  <c r="O683" i="20" l="1"/>
  <c r="O575" i="20"/>
  <c r="O503" i="20"/>
  <c r="O458" i="20"/>
  <c r="O433" i="20"/>
  <c r="O328" i="20"/>
  <c r="O265" i="20"/>
  <c r="O190" i="20"/>
  <c r="O142" i="20"/>
  <c r="Q594" i="8"/>
  <c r="Q529" i="8"/>
  <c r="Q449" i="8"/>
  <c r="Q391" i="8"/>
  <c r="Q312" i="8"/>
  <c r="Q233" i="8"/>
  <c r="Q78" i="8"/>
  <c r="V594" i="8"/>
  <c r="U594" i="8"/>
  <c r="V529" i="8"/>
  <c r="U529" i="8"/>
  <c r="U449" i="8"/>
  <c r="U391" i="8"/>
  <c r="U312" i="8"/>
  <c r="U233" i="8"/>
  <c r="U128" i="8"/>
  <c r="U78" i="8"/>
  <c r="U49" i="8"/>
  <c r="V391" i="8"/>
  <c r="V312" i="8"/>
  <c r="V233" i="8"/>
  <c r="V78" i="8"/>
  <c r="V128" i="8"/>
  <c r="Q128" i="8"/>
  <c r="V49" i="8"/>
  <c r="Q49" i="8"/>
  <c r="V5" i="8"/>
  <c r="U5" i="8"/>
  <c r="Q5" i="8"/>
  <c r="O92" i="20"/>
  <c r="O8" i="20"/>
  <c r="AD11" i="20" l="1"/>
  <c r="P15" i="23"/>
  <c r="J128" i="8"/>
  <c r="K128" i="8" s="1"/>
  <c r="H7" i="23" s="1"/>
  <c r="H11" i="23"/>
  <c r="AM3" i="8"/>
  <c r="Y189" i="20"/>
  <c r="V189" i="20"/>
  <c r="V683" i="20"/>
  <c r="W683" i="20"/>
  <c r="X683" i="20"/>
  <c r="Y683" i="20"/>
  <c r="Z683" i="20"/>
  <c r="V575" i="20"/>
  <c r="W575" i="20"/>
  <c r="X575" i="20"/>
  <c r="Y575" i="20"/>
  <c r="Z575" i="20"/>
  <c r="V503" i="20"/>
  <c r="W503" i="20"/>
  <c r="X503" i="20"/>
  <c r="Y503" i="20"/>
  <c r="Z503" i="20"/>
  <c r="V458" i="20"/>
  <c r="W458" i="20"/>
  <c r="X458" i="20"/>
  <c r="Y458" i="20"/>
  <c r="Z458" i="20"/>
  <c r="V327" i="20"/>
  <c r="W327" i="20"/>
  <c r="X327" i="20"/>
  <c r="Y327" i="20"/>
  <c r="Z327" i="20"/>
  <c r="V264" i="20"/>
  <c r="W264" i="20"/>
  <c r="X264" i="20"/>
  <c r="Y264" i="20"/>
  <c r="Z264" i="20"/>
  <c r="W189" i="20"/>
  <c r="X189" i="20"/>
  <c r="Z189" i="20"/>
  <c r="Z141" i="20"/>
  <c r="V141" i="20"/>
  <c r="W141" i="20"/>
  <c r="X141" i="20"/>
  <c r="Y141" i="20"/>
  <c r="Z91" i="20"/>
  <c r="Y91" i="20"/>
  <c r="V91" i="20"/>
  <c r="W91" i="20"/>
  <c r="Z7" i="20"/>
  <c r="Y7" i="20"/>
  <c r="W7" i="20"/>
  <c r="V7" i="20"/>
  <c r="R5" i="8"/>
  <c r="P5" i="8"/>
  <c r="K5" i="8"/>
  <c r="H4" i="23" s="1"/>
  <c r="L5" i="8"/>
  <c r="M5" i="8" s="1"/>
  <c r="N5" i="8"/>
  <c r="O5" i="8" s="1"/>
  <c r="M6" i="1" s="1"/>
  <c r="L4" i="23" s="1"/>
  <c r="U189" i="20"/>
  <c r="N328" i="20"/>
  <c r="Q8" i="20"/>
  <c r="R8" i="20" s="1"/>
  <c r="Q11" i="20"/>
  <c r="R9" i="20" s="1"/>
  <c r="Q16" i="20"/>
  <c r="R10" i="20" s="1"/>
  <c r="R11" i="20"/>
  <c r="Q53" i="20"/>
  <c r="R12" i="20" s="1"/>
  <c r="Q55" i="20"/>
  <c r="R13" i="20" s="1"/>
  <c r="Q58" i="20"/>
  <c r="R14" i="20" s="1"/>
  <c r="Q64" i="20"/>
  <c r="R15" i="20" s="1"/>
  <c r="Q73" i="20"/>
  <c r="R16" i="20" s="1"/>
  <c r="Q78" i="20"/>
  <c r="R17" i="20"/>
  <c r="Q83" i="20"/>
  <c r="R18" i="20" s="1"/>
  <c r="Q88" i="20"/>
  <c r="R19" i="20" s="1"/>
  <c r="Q28" i="20"/>
  <c r="R20" i="20" s="1"/>
  <c r="R22" i="20"/>
  <c r="R25" i="20"/>
  <c r="R26" i="20"/>
  <c r="R92" i="20"/>
  <c r="R93" i="20"/>
  <c r="R94" i="20"/>
  <c r="Q105" i="20"/>
  <c r="R95" i="20"/>
  <c r="Q108" i="20"/>
  <c r="Q114" i="20"/>
  <c r="R97" i="20" s="1"/>
  <c r="Q117" i="20"/>
  <c r="R98" i="20" s="1"/>
  <c r="Q123" i="20"/>
  <c r="R99" i="20" s="1"/>
  <c r="Q129" i="20"/>
  <c r="R100" i="20" s="1"/>
  <c r="Q139" i="20"/>
  <c r="R101" i="20" s="1"/>
  <c r="R102" i="20"/>
  <c r="Q142" i="20"/>
  <c r="R142" i="20" s="1"/>
  <c r="Q157" i="20"/>
  <c r="R143" i="20" s="1"/>
  <c r="K159" i="20"/>
  <c r="Q159" i="20" s="1"/>
  <c r="Q170" i="20"/>
  <c r="R145" i="20" s="1"/>
  <c r="R146" i="20"/>
  <c r="R147" i="20"/>
  <c r="R148" i="20"/>
  <c r="Q198" i="20"/>
  <c r="R191" i="20" s="1"/>
  <c r="Q207" i="20"/>
  <c r="R192" i="20"/>
  <c r="Q213" i="20"/>
  <c r="R193" i="20" s="1"/>
  <c r="R194" i="20"/>
  <c r="Q224" i="20"/>
  <c r="R195" i="20" s="1"/>
  <c r="Q236" i="20"/>
  <c r="R196" i="20" s="1"/>
  <c r="T202" i="20" s="1"/>
  <c r="T189" i="20" s="1"/>
  <c r="R197" i="20"/>
  <c r="R198" i="20"/>
  <c r="Q257" i="20"/>
  <c r="R199" i="20" s="1"/>
  <c r="R265" i="20"/>
  <c r="R266" i="20"/>
  <c r="R267" i="20"/>
  <c r="R268" i="20"/>
  <c r="R269" i="20"/>
  <c r="R270" i="20"/>
  <c r="R271" i="20"/>
  <c r="R272" i="20"/>
  <c r="R273" i="20"/>
  <c r="R274" i="20"/>
  <c r="R275" i="20"/>
  <c r="R276" i="20"/>
  <c r="R277" i="20"/>
  <c r="R278" i="20"/>
  <c r="R279" i="20"/>
  <c r="R280" i="20"/>
  <c r="R281" i="20"/>
  <c r="R328" i="20"/>
  <c r="R329" i="20"/>
  <c r="R330" i="20"/>
  <c r="R331" i="20"/>
  <c r="R332" i="20"/>
  <c r="R333" i="20"/>
  <c r="R334" i="20"/>
  <c r="R335" i="20"/>
  <c r="R336" i="20"/>
  <c r="R337" i="20"/>
  <c r="R338" i="20"/>
  <c r="R339" i="20"/>
  <c r="R340" i="20"/>
  <c r="R341" i="20"/>
  <c r="R342" i="20"/>
  <c r="R343" i="20"/>
  <c r="R344" i="20"/>
  <c r="Q423" i="20"/>
  <c r="R345" i="20" s="1"/>
  <c r="R346" i="20"/>
  <c r="R433" i="20"/>
  <c r="Q439" i="20"/>
  <c r="Q450" i="20"/>
  <c r="R435" i="20" s="1"/>
  <c r="R463" i="20"/>
  <c r="AB16" i="20"/>
  <c r="R504" i="20"/>
  <c r="R505" i="20"/>
  <c r="Q516" i="20"/>
  <c r="R506" i="20"/>
  <c r="R507" i="20"/>
  <c r="R508" i="20"/>
  <c r="R509" i="20"/>
  <c r="Q538" i="20"/>
  <c r="R510" i="20"/>
  <c r="R511" i="20"/>
  <c r="R512" i="20"/>
  <c r="R513" i="20"/>
  <c r="R514" i="20"/>
  <c r="R515" i="20"/>
  <c r="R516" i="20"/>
  <c r="R517" i="20"/>
  <c r="R518" i="20"/>
  <c r="R519" i="20"/>
  <c r="R601" i="20"/>
  <c r="AB18" i="20" s="1"/>
  <c r="Q684" i="20"/>
  <c r="R684" i="20"/>
  <c r="R685" i="20"/>
  <c r="R686" i="20"/>
  <c r="R687" i="20"/>
  <c r="R688" i="20"/>
  <c r="R689" i="20"/>
  <c r="R690" i="20"/>
  <c r="R691" i="20"/>
  <c r="R692" i="20"/>
  <c r="Q730" i="20"/>
  <c r="R693" i="20" s="1"/>
  <c r="Q743" i="20"/>
  <c r="R694" i="20"/>
  <c r="Q752" i="20"/>
  <c r="R695" i="20" s="1"/>
  <c r="N128" i="8"/>
  <c r="O128" i="8" s="1"/>
  <c r="M9" i="1" s="1"/>
  <c r="L7" i="23" s="1"/>
  <c r="M7" i="23" s="1"/>
  <c r="T234" i="8"/>
  <c r="T235" i="8"/>
  <c r="S245" i="8"/>
  <c r="T236" i="8" s="1"/>
  <c r="S252" i="8"/>
  <c r="S258" i="8"/>
  <c r="T238" i="8" s="1"/>
  <c r="T239" i="8"/>
  <c r="T240" i="8"/>
  <c r="T241" i="8"/>
  <c r="S274" i="8"/>
  <c r="T242" i="8" s="1"/>
  <c r="S280" i="8"/>
  <c r="T243" i="8" s="1"/>
  <c r="T244" i="8"/>
  <c r="T245" i="8"/>
  <c r="T246" i="8"/>
  <c r="T247" i="8"/>
  <c r="T248" i="8"/>
  <c r="T249" i="8"/>
  <c r="T250" i="8"/>
  <c r="T251" i="8"/>
  <c r="T252" i="8"/>
  <c r="K7" i="20"/>
  <c r="L9" i="10" s="1"/>
  <c r="K91" i="20"/>
  <c r="K189" i="20"/>
  <c r="L7" i="10" s="1"/>
  <c r="O5" i="23" s="1"/>
  <c r="K264" i="20"/>
  <c r="AA264" i="20" s="1"/>
  <c r="N11" i="10" s="1"/>
  <c r="K327" i="20"/>
  <c r="L10" i="10" s="1"/>
  <c r="O8" i="23" s="1"/>
  <c r="K432" i="20"/>
  <c r="L432" i="20" s="1"/>
  <c r="K458" i="20"/>
  <c r="L13" i="10" s="1"/>
  <c r="O11" i="23" s="1"/>
  <c r="K503" i="20"/>
  <c r="Q503" i="20" s="1"/>
  <c r="K575" i="20"/>
  <c r="L15" i="10" s="1"/>
  <c r="K633" i="20"/>
  <c r="K683" i="20"/>
  <c r="L14" i="10" s="1"/>
  <c r="O12" i="23" s="1"/>
  <c r="U7" i="20"/>
  <c r="U91" i="20"/>
  <c r="U141" i="20"/>
  <c r="U264" i="20"/>
  <c r="AD264" i="20" s="1"/>
  <c r="U327" i="20"/>
  <c r="U503" i="20"/>
  <c r="U575" i="20"/>
  <c r="U683" i="20"/>
  <c r="N49" i="8"/>
  <c r="O49" i="8" s="1"/>
  <c r="M7" i="1" s="1"/>
  <c r="L5" i="23" s="1"/>
  <c r="M5" i="23" s="1"/>
  <c r="N78" i="8"/>
  <c r="N233" i="8"/>
  <c r="L10" i="1" s="1"/>
  <c r="G8" i="23" s="1"/>
  <c r="N312" i="8"/>
  <c r="L11" i="1" s="1"/>
  <c r="G9" i="23" s="1"/>
  <c r="N391" i="8"/>
  <c r="L12" i="1" s="1"/>
  <c r="G10" i="23" s="1"/>
  <c r="N449" i="8"/>
  <c r="N529" i="8"/>
  <c r="S529" i="8" s="1"/>
  <c r="K14" i="1" s="1"/>
  <c r="I12" i="23" s="1"/>
  <c r="N672" i="8"/>
  <c r="N594" i="8" s="1"/>
  <c r="N716" i="8"/>
  <c r="X4" i="8"/>
  <c r="X7" i="20"/>
  <c r="X91" i="20"/>
  <c r="M91" i="20"/>
  <c r="M141" i="20"/>
  <c r="M683" i="20"/>
  <c r="AD683" i="20"/>
  <c r="M633" i="20"/>
  <c r="AD633" i="20" s="1"/>
  <c r="M575" i="20"/>
  <c r="AD575" i="20" s="1"/>
  <c r="M503" i="20"/>
  <c r="U458" i="20"/>
  <c r="AD458" i="20" s="1"/>
  <c r="M458" i="20"/>
  <c r="M432" i="20"/>
  <c r="AD432" i="20"/>
  <c r="M327" i="20"/>
  <c r="L327" i="20" s="1"/>
  <c r="M264" i="20"/>
  <c r="M189" i="20"/>
  <c r="W4" i="8"/>
  <c r="L8" i="10"/>
  <c r="O6" i="23" s="1"/>
  <c r="R6" i="23" s="1"/>
  <c r="S6" i="23" s="1"/>
  <c r="L12" i="10"/>
  <c r="O10" i="23" s="1"/>
  <c r="L17" i="10"/>
  <c r="O14" i="23" s="1"/>
  <c r="L7" i="1"/>
  <c r="G5" i="23" s="1"/>
  <c r="L9" i="1"/>
  <c r="G7" i="23" s="1"/>
  <c r="L14" i="1"/>
  <c r="G12" i="23" s="1"/>
  <c r="P6" i="20"/>
  <c r="R4" i="8"/>
  <c r="P4" i="8"/>
  <c r="S53" i="8"/>
  <c r="R576" i="20"/>
  <c r="R577" i="20"/>
  <c r="R578" i="20"/>
  <c r="R579" i="20"/>
  <c r="R580" i="20"/>
  <c r="R581" i="20"/>
  <c r="R582" i="20"/>
  <c r="R583" i="20"/>
  <c r="R584" i="20"/>
  <c r="R585" i="20"/>
  <c r="Q642" i="20"/>
  <c r="R586" i="20" s="1"/>
  <c r="R587" i="20"/>
  <c r="R588" i="20"/>
  <c r="Q659" i="20"/>
  <c r="R589" i="20" s="1"/>
  <c r="Q671" i="20"/>
  <c r="R590" i="20" s="1"/>
  <c r="R591" i="20"/>
  <c r="R593" i="20"/>
  <c r="R594" i="20"/>
  <c r="R596" i="20"/>
  <c r="R597" i="20"/>
  <c r="R598" i="20"/>
  <c r="R599" i="20"/>
  <c r="R602" i="20"/>
  <c r="R604" i="20"/>
  <c r="R605" i="20"/>
  <c r="L683" i="20"/>
  <c r="P328" i="20"/>
  <c r="P433" i="20"/>
  <c r="N190" i="20"/>
  <c r="J78" i="8"/>
  <c r="K78" i="8" s="1"/>
  <c r="H6" i="23" s="1"/>
  <c r="J233" i="8"/>
  <c r="K233" i="8" s="1"/>
  <c r="H8" i="23" s="1"/>
  <c r="J312" i="8"/>
  <c r="J391" i="8"/>
  <c r="J449" i="8"/>
  <c r="J529" i="8"/>
  <c r="K529" i="8" s="1"/>
  <c r="H12" i="23" s="1"/>
  <c r="J594" i="8"/>
  <c r="J716" i="8"/>
  <c r="L49" i="8"/>
  <c r="M49" i="8" s="1"/>
  <c r="L78" i="8"/>
  <c r="J8" i="1" s="1"/>
  <c r="F6" i="23" s="1"/>
  <c r="L128" i="8"/>
  <c r="L233" i="8"/>
  <c r="J10" i="1" s="1"/>
  <c r="F8" i="23" s="1"/>
  <c r="L312" i="8"/>
  <c r="J11" i="1" s="1"/>
  <c r="F9" i="23" s="1"/>
  <c r="L391" i="8"/>
  <c r="M391" i="8" s="1"/>
  <c r="L449" i="8"/>
  <c r="L529" i="8"/>
  <c r="J14" i="1" s="1"/>
  <c r="F12" i="23" s="1"/>
  <c r="L594" i="8"/>
  <c r="M594" i="8" s="1"/>
  <c r="L716" i="8"/>
  <c r="J16" i="1" s="1"/>
  <c r="F14" i="23" s="1"/>
  <c r="T79" i="8"/>
  <c r="T80" i="8"/>
  <c r="S92" i="8"/>
  <c r="T81" i="8" s="1"/>
  <c r="S98" i="8"/>
  <c r="T82" i="8" s="1"/>
  <c r="T83" i="8"/>
  <c r="T84" i="8"/>
  <c r="S107" i="8"/>
  <c r="T85" i="8" s="1"/>
  <c r="J6" i="1"/>
  <c r="K6" i="1" s="1"/>
  <c r="J9" i="1"/>
  <c r="F7" i="23" s="1"/>
  <c r="J13" i="1"/>
  <c r="F11" i="23" s="1"/>
  <c r="Q459" i="20"/>
  <c r="Q458" i="20" s="1"/>
  <c r="Q488" i="20"/>
  <c r="R466" i="20"/>
  <c r="R459" i="20"/>
  <c r="R460" i="20"/>
  <c r="R461" i="20"/>
  <c r="R462" i="20"/>
  <c r="R464" i="20"/>
  <c r="R465" i="20"/>
  <c r="Q575" i="20"/>
  <c r="P575" i="20"/>
  <c r="N575" i="20"/>
  <c r="L575" i="20"/>
  <c r="J575" i="20"/>
  <c r="H575" i="20"/>
  <c r="P594" i="8"/>
  <c r="R529" i="8"/>
  <c r="P529" i="8"/>
  <c r="R449" i="8"/>
  <c r="P449" i="8"/>
  <c r="R391" i="8"/>
  <c r="P391" i="8"/>
  <c r="R312" i="8"/>
  <c r="P312" i="8"/>
  <c r="R233" i="8"/>
  <c r="P233" i="8"/>
  <c r="R128" i="8"/>
  <c r="P128" i="8"/>
  <c r="R78" i="8"/>
  <c r="P78" i="8"/>
  <c r="R49" i="8"/>
  <c r="P49" i="8"/>
  <c r="P683" i="20"/>
  <c r="N683" i="20"/>
  <c r="P503" i="20"/>
  <c r="N503" i="20"/>
  <c r="P458" i="20"/>
  <c r="N458" i="20"/>
  <c r="N433" i="20"/>
  <c r="P265" i="20"/>
  <c r="N265" i="20"/>
  <c r="P190" i="20"/>
  <c r="P142" i="20"/>
  <c r="N142" i="20"/>
  <c r="P92" i="20"/>
  <c r="N92" i="20"/>
  <c r="P8" i="20"/>
  <c r="N8" i="20"/>
  <c r="AG17" i="8"/>
  <c r="V612" i="8"/>
  <c r="T612" i="8"/>
  <c r="AG16" i="8" s="1"/>
  <c r="T538" i="8"/>
  <c r="T537" i="8"/>
  <c r="T536" i="8"/>
  <c r="T535" i="8"/>
  <c r="T534" i="8"/>
  <c r="T533" i="8"/>
  <c r="T532" i="8"/>
  <c r="V539" i="8" s="1"/>
  <c r="T531" i="8"/>
  <c r="T530" i="8"/>
  <c r="T459" i="8"/>
  <c r="T458" i="8"/>
  <c r="T456" i="8"/>
  <c r="T455" i="8"/>
  <c r="T454" i="8"/>
  <c r="T453" i="8"/>
  <c r="T394" i="8"/>
  <c r="T393" i="8"/>
  <c r="T392" i="8"/>
  <c r="V395" i="8" s="1"/>
  <c r="T328" i="8"/>
  <c r="T327" i="8"/>
  <c r="T326" i="8"/>
  <c r="T325" i="8"/>
  <c r="T324" i="8"/>
  <c r="T323" i="8"/>
  <c r="T322" i="8"/>
  <c r="T321" i="8"/>
  <c r="T320" i="8"/>
  <c r="T319" i="8"/>
  <c r="T318" i="8"/>
  <c r="T317" i="8"/>
  <c r="T316" i="8"/>
  <c r="T332" i="8" s="1"/>
  <c r="AG12" i="8" s="1"/>
  <c r="T315" i="8"/>
  <c r="T314" i="8"/>
  <c r="T313" i="8"/>
  <c r="S129" i="8"/>
  <c r="T129" i="8" s="1"/>
  <c r="T130" i="8"/>
  <c r="S139" i="8"/>
  <c r="T131" i="8" s="1"/>
  <c r="T132" i="8"/>
  <c r="T133" i="8"/>
  <c r="T134" i="8"/>
  <c r="T135" i="8"/>
  <c r="T136" i="8"/>
  <c r="T137" i="8"/>
  <c r="T138" i="8"/>
  <c r="T139" i="8"/>
  <c r="T140" i="8"/>
  <c r="T141" i="8"/>
  <c r="T142" i="8"/>
  <c r="T143" i="8"/>
  <c r="T144" i="8"/>
  <c r="T147" i="8"/>
  <c r="T148" i="8"/>
  <c r="T149" i="8"/>
  <c r="T150" i="8"/>
  <c r="T151" i="8"/>
  <c r="T152" i="8"/>
  <c r="T153" i="8"/>
  <c r="R190" i="20"/>
  <c r="G91" i="20"/>
  <c r="L91" i="20"/>
  <c r="M8" i="10" s="1"/>
  <c r="T6" i="23" s="1"/>
  <c r="W6" i="23" s="1"/>
  <c r="H91" i="20"/>
  <c r="I91" i="20" s="1"/>
  <c r="J8" i="10" s="1"/>
  <c r="J91" i="20"/>
  <c r="AG9" i="8"/>
  <c r="T50" i="8"/>
  <c r="T52" i="8"/>
  <c r="T53" i="8"/>
  <c r="T54" i="8"/>
  <c r="T55" i="8"/>
  <c r="T6" i="8"/>
  <c r="T7" i="8"/>
  <c r="Q264" i="20"/>
  <c r="K11" i="10" s="1"/>
  <c r="I15" i="10"/>
  <c r="K15" i="10"/>
  <c r="S450" i="8"/>
  <c r="T450" i="8" s="1"/>
  <c r="S457" i="8"/>
  <c r="T451" i="8"/>
  <c r="S465" i="8"/>
  <c r="T452" i="8" s="1"/>
  <c r="S486" i="8"/>
  <c r="T457" i="8" s="1"/>
  <c r="S312" i="8"/>
  <c r="K11" i="1" s="1"/>
  <c r="I9" i="23" s="1"/>
  <c r="I13" i="23"/>
  <c r="I14" i="23"/>
  <c r="S5" i="8"/>
  <c r="I4" i="23" s="1"/>
  <c r="H141" i="20"/>
  <c r="I6" i="10" s="1"/>
  <c r="N4" i="23" s="1"/>
  <c r="H327" i="20"/>
  <c r="I10" i="10" s="1"/>
  <c r="N8" i="23" s="1"/>
  <c r="H503" i="20"/>
  <c r="I12" i="10" s="1"/>
  <c r="N10" i="23" s="1"/>
  <c r="H683" i="20"/>
  <c r="I14" i="10" s="1"/>
  <c r="N12" i="23" s="1"/>
  <c r="H633" i="20"/>
  <c r="I16" i="10" s="1"/>
  <c r="J633" i="20"/>
  <c r="G327" i="20"/>
  <c r="J327" i="20"/>
  <c r="M12" i="10"/>
  <c r="T10" i="23" s="1"/>
  <c r="W10" i="23" s="1"/>
  <c r="J503" i="20"/>
  <c r="H264" i="20"/>
  <c r="I11" i="10" s="1"/>
  <c r="N9" i="23" s="1"/>
  <c r="J264" i="20"/>
  <c r="J458" i="20"/>
  <c r="I458" i="20" s="1"/>
  <c r="J13" i="10" s="1"/>
  <c r="H458" i="20"/>
  <c r="I13" i="10" s="1"/>
  <c r="N11" i="23" s="1"/>
  <c r="M7" i="20"/>
  <c r="J7" i="20"/>
  <c r="J141" i="20"/>
  <c r="J189" i="20"/>
  <c r="J432" i="20"/>
  <c r="J683" i="20"/>
  <c r="F683" i="20"/>
  <c r="G683" i="20" s="1"/>
  <c r="F6" i="20"/>
  <c r="H7" i="20"/>
  <c r="H189" i="20"/>
  <c r="H432" i="20"/>
  <c r="I432" i="20" s="1"/>
  <c r="J17" i="10" s="1"/>
  <c r="I17" i="10"/>
  <c r="N14" i="23" s="1"/>
  <c r="M17" i="10"/>
  <c r="T14" i="23"/>
  <c r="W14" i="23" s="1"/>
  <c r="R12" i="23"/>
  <c r="E7" i="9"/>
  <c r="E8" i="9"/>
  <c r="E9" i="9"/>
  <c r="E10" i="9"/>
  <c r="E11" i="9"/>
  <c r="E12" i="9"/>
  <c r="E14" i="9"/>
  <c r="E15" i="9"/>
  <c r="E16" i="9"/>
  <c r="E17" i="9"/>
  <c r="E18" i="9"/>
  <c r="E19" i="9"/>
  <c r="D21" i="9"/>
  <c r="E21" i="9" s="1"/>
  <c r="D22" i="9"/>
  <c r="E22" i="9" s="1"/>
  <c r="D23" i="9"/>
  <c r="E23" i="9" s="1"/>
  <c r="D24" i="9"/>
  <c r="E24" i="9" s="1"/>
  <c r="D25" i="9"/>
  <c r="E25" i="9" s="1"/>
  <c r="D26" i="9"/>
  <c r="E26" i="9" s="1"/>
  <c r="E28" i="9"/>
  <c r="E29" i="9"/>
  <c r="E30" i="9"/>
  <c r="E31" i="9"/>
  <c r="E32" i="9"/>
  <c r="E33" i="9"/>
  <c r="E35" i="9"/>
  <c r="E36" i="9"/>
  <c r="E37" i="9"/>
  <c r="E38" i="9"/>
  <c r="E39" i="9"/>
  <c r="E40" i="9"/>
  <c r="E42" i="9"/>
  <c r="E43" i="9"/>
  <c r="E44" i="9"/>
  <c r="E45" i="9"/>
  <c r="E46" i="9"/>
  <c r="E47" i="9"/>
  <c r="E49" i="9"/>
  <c r="E50" i="9"/>
  <c r="E51" i="9"/>
  <c r="E52" i="9"/>
  <c r="E53" i="9"/>
  <c r="E56" i="9"/>
  <c r="E57" i="9"/>
  <c r="E58" i="9"/>
  <c r="E59" i="9"/>
  <c r="E60" i="9"/>
  <c r="E61" i="9"/>
  <c r="E63" i="9"/>
  <c r="E64" i="9"/>
  <c r="E65" i="9"/>
  <c r="E66" i="9"/>
  <c r="E67" i="9"/>
  <c r="E68" i="9"/>
  <c r="E70" i="9"/>
  <c r="E71" i="9"/>
  <c r="E72" i="9"/>
  <c r="E73" i="9"/>
  <c r="E74" i="9"/>
  <c r="E75" i="9"/>
  <c r="E77" i="9"/>
  <c r="E78" i="9"/>
  <c r="E79" i="9"/>
  <c r="E80" i="9"/>
  <c r="E81" i="9"/>
  <c r="E82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3" i="9"/>
  <c r="E104" i="9"/>
  <c r="E105" i="9"/>
  <c r="E106" i="9"/>
  <c r="E107" i="9"/>
  <c r="E108" i="9"/>
  <c r="E109" i="9"/>
  <c r="E110" i="9"/>
  <c r="E111" i="9"/>
  <c r="E112" i="9"/>
  <c r="E113" i="9"/>
  <c r="E114" i="9"/>
  <c r="O7" i="9"/>
  <c r="S12" i="9" s="1"/>
  <c r="T12" i="9" s="1"/>
  <c r="O14" i="9"/>
  <c r="S19" i="9" s="1"/>
  <c r="T19" i="9" s="1"/>
  <c r="O21" i="9"/>
  <c r="S26" i="9" s="1"/>
  <c r="T26" i="9" s="1"/>
  <c r="O28" i="9"/>
  <c r="S33" i="9" s="1"/>
  <c r="T33" i="9" s="1"/>
  <c r="O35" i="9"/>
  <c r="S40" i="9" s="1"/>
  <c r="T40" i="9" s="1"/>
  <c r="O42" i="9"/>
  <c r="S47" i="9" s="1"/>
  <c r="T47" i="9" s="1"/>
  <c r="C50" i="9"/>
  <c r="C51" i="9"/>
  <c r="C52" i="9"/>
  <c r="C53" i="9"/>
  <c r="O56" i="9"/>
  <c r="S61" i="9" s="1"/>
  <c r="T61" i="9" s="1"/>
  <c r="G63" i="9"/>
  <c r="G64" i="9"/>
  <c r="G65" i="9"/>
  <c r="G66" i="9"/>
  <c r="G67" i="9"/>
  <c r="G68" i="9"/>
  <c r="K63" i="9"/>
  <c r="K64" i="9"/>
  <c r="K65" i="9"/>
  <c r="K66" i="9"/>
  <c r="K67" i="9"/>
  <c r="K68" i="9"/>
  <c r="K70" i="9"/>
  <c r="K71" i="9"/>
  <c r="K72" i="9"/>
  <c r="K73" i="9"/>
  <c r="K74" i="9"/>
  <c r="K75" i="9"/>
  <c r="C77" i="9"/>
  <c r="C78" i="9"/>
  <c r="C79" i="9"/>
  <c r="C80" i="9"/>
  <c r="C81" i="9"/>
  <c r="C82" i="9"/>
  <c r="G77" i="9"/>
  <c r="G78" i="9"/>
  <c r="G79" i="9"/>
  <c r="G80" i="9"/>
  <c r="G81" i="9"/>
  <c r="G82" i="9"/>
  <c r="K77" i="9"/>
  <c r="K78" i="9"/>
  <c r="K79" i="9"/>
  <c r="K80" i="9"/>
  <c r="K81" i="9"/>
  <c r="K82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P7" i="9"/>
  <c r="Q9" i="10" s="1"/>
  <c r="P14" i="9"/>
  <c r="P28" i="9"/>
  <c r="Q6" i="10" s="1"/>
  <c r="P35" i="9"/>
  <c r="Q14" i="10" s="1"/>
  <c r="P42" i="9"/>
  <c r="Q13" i="10" s="1"/>
  <c r="P49" i="9"/>
  <c r="Q17" i="10" s="1"/>
  <c r="P56" i="9"/>
  <c r="P63" i="9"/>
  <c r="Q16" i="10" s="1"/>
  <c r="P70" i="9"/>
  <c r="P77" i="9"/>
  <c r="P84" i="9"/>
  <c r="P103" i="9"/>
  <c r="Q12" i="10" s="1"/>
  <c r="I7" i="9"/>
  <c r="I8" i="9"/>
  <c r="I9" i="9"/>
  <c r="I10" i="9"/>
  <c r="I11" i="9"/>
  <c r="I12" i="9"/>
  <c r="M7" i="9"/>
  <c r="M8" i="9"/>
  <c r="M9" i="9"/>
  <c r="M10" i="9"/>
  <c r="M11" i="9"/>
  <c r="M12" i="9"/>
  <c r="I14" i="9"/>
  <c r="I15" i="9"/>
  <c r="I16" i="9"/>
  <c r="I17" i="9"/>
  <c r="I18" i="9"/>
  <c r="I19" i="9"/>
  <c r="M14" i="9"/>
  <c r="M15" i="9"/>
  <c r="M16" i="9"/>
  <c r="M17" i="9"/>
  <c r="M18" i="9"/>
  <c r="M19" i="9"/>
  <c r="I21" i="9"/>
  <c r="I22" i="9"/>
  <c r="I23" i="9"/>
  <c r="I24" i="9"/>
  <c r="I25" i="9"/>
  <c r="I26" i="9"/>
  <c r="M21" i="9"/>
  <c r="M22" i="9"/>
  <c r="M23" i="9"/>
  <c r="M24" i="9"/>
  <c r="M25" i="9"/>
  <c r="M26" i="9"/>
  <c r="I28" i="9"/>
  <c r="I29" i="9"/>
  <c r="I30" i="9"/>
  <c r="I31" i="9"/>
  <c r="I32" i="9"/>
  <c r="I33" i="9"/>
  <c r="M28" i="9"/>
  <c r="M29" i="9"/>
  <c r="M30" i="9"/>
  <c r="M31" i="9"/>
  <c r="M32" i="9"/>
  <c r="M33" i="9"/>
  <c r="I35" i="9"/>
  <c r="I36" i="9"/>
  <c r="I37" i="9"/>
  <c r="I38" i="9"/>
  <c r="I39" i="9"/>
  <c r="I40" i="9"/>
  <c r="M35" i="9"/>
  <c r="M36" i="9"/>
  <c r="M37" i="9"/>
  <c r="M38" i="9"/>
  <c r="M39" i="9"/>
  <c r="M40" i="9"/>
  <c r="I42" i="9"/>
  <c r="I43" i="9"/>
  <c r="I44" i="9"/>
  <c r="I45" i="9"/>
  <c r="I46" i="9"/>
  <c r="I47" i="9"/>
  <c r="M42" i="9"/>
  <c r="M43" i="9"/>
  <c r="M44" i="9"/>
  <c r="M45" i="9"/>
  <c r="M46" i="9"/>
  <c r="M47" i="9"/>
  <c r="I56" i="9"/>
  <c r="I57" i="9"/>
  <c r="I58" i="9"/>
  <c r="I59" i="9"/>
  <c r="I60" i="9"/>
  <c r="I61" i="9"/>
  <c r="M56" i="9"/>
  <c r="M57" i="9"/>
  <c r="M58" i="9"/>
  <c r="M59" i="9"/>
  <c r="M60" i="9"/>
  <c r="M61" i="9"/>
  <c r="I63" i="9"/>
  <c r="I64" i="9"/>
  <c r="I65" i="9"/>
  <c r="I66" i="9"/>
  <c r="I67" i="9"/>
  <c r="I68" i="9"/>
  <c r="M63" i="9"/>
  <c r="M64" i="9"/>
  <c r="M65" i="9"/>
  <c r="M66" i="9"/>
  <c r="M67" i="9"/>
  <c r="M68" i="9"/>
  <c r="I70" i="9"/>
  <c r="I71" i="9"/>
  <c r="I72" i="9"/>
  <c r="I73" i="9"/>
  <c r="I74" i="9"/>
  <c r="I75" i="9"/>
  <c r="M70" i="9"/>
  <c r="M71" i="9"/>
  <c r="M72" i="9"/>
  <c r="M73" i="9"/>
  <c r="M74" i="9"/>
  <c r="M75" i="9"/>
  <c r="I77" i="9"/>
  <c r="I78" i="9"/>
  <c r="I79" i="9"/>
  <c r="I80" i="9"/>
  <c r="I81" i="9"/>
  <c r="I82" i="9"/>
  <c r="M77" i="9"/>
  <c r="M78" i="9"/>
  <c r="M79" i="9"/>
  <c r="M80" i="9"/>
  <c r="M81" i="9"/>
  <c r="M82" i="9"/>
  <c r="N84" i="9"/>
  <c r="Q84" i="9" s="1"/>
  <c r="R11" i="10" s="1"/>
  <c r="N103" i="9"/>
  <c r="N7" i="9"/>
  <c r="N14" i="9"/>
  <c r="O8" i="10" s="1"/>
  <c r="N21" i="9"/>
  <c r="O7" i="10" s="1"/>
  <c r="N28" i="9"/>
  <c r="N35" i="9"/>
  <c r="N42" i="9"/>
  <c r="O13" i="10" s="1"/>
  <c r="N49" i="9"/>
  <c r="O17" i="10" s="1"/>
  <c r="N56" i="9"/>
  <c r="N63" i="9"/>
  <c r="N70" i="9"/>
  <c r="N77" i="9"/>
  <c r="O10" i="10" s="1"/>
  <c r="AA683" i="20"/>
  <c r="N14" i="10" s="1"/>
  <c r="I327" i="20"/>
  <c r="J10" i="10" s="1"/>
  <c r="AA91" i="20"/>
  <c r="AA327" i="20"/>
  <c r="N10" i="10" s="1"/>
  <c r="AA432" i="20"/>
  <c r="N17" i="10" s="1"/>
  <c r="AA458" i="20"/>
  <c r="N13" i="10" s="1"/>
  <c r="AA575" i="20"/>
  <c r="N15" i="10" s="1"/>
  <c r="AA633" i="20"/>
  <c r="N16" i="10" s="1"/>
  <c r="N8" i="10"/>
  <c r="T7" i="23"/>
  <c r="W7" i="23" s="1"/>
  <c r="I7" i="20"/>
  <c r="J9" i="10" s="1"/>
  <c r="L633" i="20"/>
  <c r="M16" i="10" s="1"/>
  <c r="M15" i="10"/>
  <c r="M10" i="10"/>
  <c r="I575" i="20"/>
  <c r="J15" i="10"/>
  <c r="I141" i="20"/>
  <c r="J6" i="10" s="1"/>
  <c r="G141" i="20"/>
  <c r="G189" i="20"/>
  <c r="G503" i="20"/>
  <c r="G575" i="20"/>
  <c r="G633" i="20"/>
  <c r="G7" i="20"/>
  <c r="O233" i="8"/>
  <c r="M10" i="1" s="1"/>
  <c r="L8" i="23" s="1"/>
  <c r="M8" i="23" s="1"/>
  <c r="O312" i="8"/>
  <c r="M11" i="1" s="1"/>
  <c r="L9" i="23" s="1"/>
  <c r="M9" i="23" s="1"/>
  <c r="O529" i="8"/>
  <c r="M14" i="1" s="1"/>
  <c r="L12" i="23" s="1"/>
  <c r="M12" i="23" s="1"/>
  <c r="K716" i="8"/>
  <c r="H14" i="23" s="1"/>
  <c r="K594" i="8"/>
  <c r="H13" i="23" s="1"/>
  <c r="M449" i="8"/>
  <c r="K391" i="8"/>
  <c r="H10" i="23" s="1"/>
  <c r="M312" i="8"/>
  <c r="K312" i="8"/>
  <c r="H9" i="23" s="1"/>
  <c r="K49" i="8"/>
  <c r="H5" i="23" s="1"/>
  <c r="M78" i="8"/>
  <c r="M128" i="8"/>
  <c r="E10" i="18"/>
  <c r="E23" i="18" s="1"/>
  <c r="G7" i="18"/>
  <c r="G23" i="18" s="1"/>
  <c r="O12" i="10"/>
  <c r="Q11" i="10"/>
  <c r="O11" i="10"/>
  <c r="Q10" i="10"/>
  <c r="L33" i="1"/>
  <c r="Y16" i="10"/>
  <c r="Y15" i="10"/>
  <c r="O16" i="10"/>
  <c r="Q15" i="10"/>
  <c r="P15" i="10"/>
  <c r="O15" i="10"/>
  <c r="Y17" i="10"/>
  <c r="Y14" i="10"/>
  <c r="Y9" i="10"/>
  <c r="Y8" i="10"/>
  <c r="Y7" i="10"/>
  <c r="P14" i="10"/>
  <c r="O14" i="10"/>
  <c r="F7" i="10"/>
  <c r="F8" i="10" s="1"/>
  <c r="F9" i="10" s="1"/>
  <c r="F10" i="10" s="1"/>
  <c r="F11" i="10" s="1"/>
  <c r="F12" i="10"/>
  <c r="F13" i="10" s="1"/>
  <c r="P7" i="10"/>
  <c r="O6" i="10"/>
  <c r="P7" i="1"/>
  <c r="P8" i="1"/>
  <c r="P9" i="1"/>
  <c r="P10" i="1"/>
  <c r="P11" i="1"/>
  <c r="P12" i="1"/>
  <c r="P13" i="1"/>
  <c r="P16" i="1"/>
  <c r="P6" i="1"/>
  <c r="O9" i="10"/>
  <c r="P8" i="10"/>
  <c r="AJ391" i="8"/>
  <c r="AJ449" i="8"/>
  <c r="P14" i="1"/>
  <c r="P15" i="1"/>
  <c r="P6" i="10"/>
  <c r="Q8" i="10"/>
  <c r="E24" i="18"/>
  <c r="R10" i="23"/>
  <c r="S10" i="23" s="1"/>
  <c r="R14" i="23"/>
  <c r="S14" i="23" s="1"/>
  <c r="S12" i="23"/>
  <c r="Q189" i="20"/>
  <c r="Q5" i="23" s="1"/>
  <c r="Q327" i="20"/>
  <c r="K10" i="10" s="1"/>
  <c r="Q683" i="20"/>
  <c r="Q12" i="23" s="1"/>
  <c r="K14" i="10"/>
  <c r="T539" i="8"/>
  <c r="AG15" i="8" s="1"/>
  <c r="L7" i="20"/>
  <c r="O7" i="23"/>
  <c r="AA7" i="20"/>
  <c r="N9" i="10" s="1"/>
  <c r="P13" i="10" l="1"/>
  <c r="P9" i="10"/>
  <c r="Q103" i="9"/>
  <c r="R12" i="10" s="1"/>
  <c r="P21" i="9"/>
  <c r="Q7" i="10" s="1"/>
  <c r="Q42" i="9"/>
  <c r="R13" i="10" s="1"/>
  <c r="O63" i="9"/>
  <c r="K116" i="9"/>
  <c r="R144" i="20"/>
  <c r="Q11" i="23"/>
  <c r="K13" i="10"/>
  <c r="S141" i="20"/>
  <c r="I633" i="20"/>
  <c r="J16" i="10" s="1"/>
  <c r="AA189" i="20"/>
  <c r="N7" i="10" s="1"/>
  <c r="R467" i="20"/>
  <c r="Y5" i="23"/>
  <c r="K141" i="20"/>
  <c r="AA141" i="20" s="1"/>
  <c r="N6" i="10" s="1"/>
  <c r="S327" i="20"/>
  <c r="Z6" i="20"/>
  <c r="S264" i="20"/>
  <c r="L189" i="20"/>
  <c r="M7" i="10" s="1"/>
  <c r="T5" i="23" s="1"/>
  <c r="W5" i="23" s="1"/>
  <c r="I264" i="20"/>
  <c r="J11" i="10" s="1"/>
  <c r="I683" i="20"/>
  <c r="J14" i="10" s="1"/>
  <c r="I503" i="20"/>
  <c r="J12" i="10" s="1"/>
  <c r="S189" i="20"/>
  <c r="R603" i="20"/>
  <c r="S458" i="20"/>
  <c r="S683" i="20"/>
  <c r="S503" i="20"/>
  <c r="S7" i="20"/>
  <c r="R7" i="23"/>
  <c r="S7" i="23" s="1"/>
  <c r="R5" i="23"/>
  <c r="S5" i="23" s="1"/>
  <c r="N13" i="23"/>
  <c r="Y6" i="10"/>
  <c r="Q8" i="23"/>
  <c r="T8" i="23"/>
  <c r="AJ4" i="8"/>
  <c r="Q77" i="9"/>
  <c r="R10" i="10" s="1"/>
  <c r="E116" i="9"/>
  <c r="Y10" i="23"/>
  <c r="K12" i="10"/>
  <c r="Q10" i="23"/>
  <c r="Y13" i="10"/>
  <c r="T154" i="8"/>
  <c r="AG10" i="8" s="1"/>
  <c r="R152" i="20"/>
  <c r="AB11" i="20" s="1"/>
  <c r="N117" i="9"/>
  <c r="Q7" i="9"/>
  <c r="R9" i="10" s="1"/>
  <c r="O103" i="9"/>
  <c r="Q70" i="9"/>
  <c r="Q49" i="9"/>
  <c r="R17" i="10" s="1"/>
  <c r="Q35" i="9"/>
  <c r="R14" i="10" s="1"/>
  <c r="S391" i="8"/>
  <c r="K12" i="1" s="1"/>
  <c r="I10" i="23" s="1"/>
  <c r="V332" i="8"/>
  <c r="L264" i="20"/>
  <c r="M11" i="10" s="1"/>
  <c r="R600" i="20"/>
  <c r="L11" i="10"/>
  <c r="O9" i="23" s="1"/>
  <c r="J9" i="23"/>
  <c r="K9" i="23" s="1"/>
  <c r="R202" i="20"/>
  <c r="AB12" i="20" s="1"/>
  <c r="M233" i="8"/>
  <c r="M529" i="8"/>
  <c r="AA503" i="20"/>
  <c r="N12" i="10" s="1"/>
  <c r="D117" i="9"/>
  <c r="T460" i="8"/>
  <c r="AG14" i="8" s="1"/>
  <c r="V14" i="8"/>
  <c r="T467" i="20"/>
  <c r="T458" i="20" s="1"/>
  <c r="R595" i="20"/>
  <c r="S575" i="20" s="1"/>
  <c r="Y12" i="23"/>
  <c r="AD141" i="20"/>
  <c r="V6" i="20"/>
  <c r="W6" i="20"/>
  <c r="O391" i="8"/>
  <c r="M12" i="1" s="1"/>
  <c r="L10" i="23" s="1"/>
  <c r="R13" i="23"/>
  <c r="P116" i="9"/>
  <c r="L458" i="20"/>
  <c r="M13" i="10" s="1"/>
  <c r="T11" i="23" s="1"/>
  <c r="AD503" i="20"/>
  <c r="AD91" i="20"/>
  <c r="K6" i="20"/>
  <c r="AA6" i="20" s="1"/>
  <c r="N19" i="10" s="1"/>
  <c r="L15" i="1"/>
  <c r="G13" i="23" s="1"/>
  <c r="O594" i="8"/>
  <c r="M15" i="1" s="1"/>
  <c r="L13" i="23" s="1"/>
  <c r="M13" i="23" s="1"/>
  <c r="V460" i="8"/>
  <c r="M716" i="8"/>
  <c r="T14" i="8"/>
  <c r="AG6" i="8" s="1"/>
  <c r="J12" i="1"/>
  <c r="F10" i="23" s="1"/>
  <c r="T395" i="8"/>
  <c r="AG13" i="8" s="1"/>
  <c r="V154" i="8"/>
  <c r="J15" i="1"/>
  <c r="F13" i="23" s="1"/>
  <c r="L6" i="1"/>
  <c r="G4" i="23" s="1"/>
  <c r="J4" i="23" s="1"/>
  <c r="K4" i="23" s="1"/>
  <c r="S128" i="8"/>
  <c r="K9" i="1" s="1"/>
  <c r="I7" i="23" s="1"/>
  <c r="F4" i="23"/>
  <c r="M4" i="23"/>
  <c r="J8" i="23"/>
  <c r="K8" i="23" s="1"/>
  <c r="J7" i="23"/>
  <c r="K7" i="23" s="1"/>
  <c r="Y7" i="23"/>
  <c r="J5" i="23"/>
  <c r="K5" i="23" s="1"/>
  <c r="J12" i="23"/>
  <c r="K12" i="23" s="1"/>
  <c r="K7" i="10"/>
  <c r="T237" i="8"/>
  <c r="S233" i="8"/>
  <c r="K10" i="1" s="1"/>
  <c r="I8" i="23" s="1"/>
  <c r="T253" i="8"/>
  <c r="Q63" i="9"/>
  <c r="R16" i="10" s="1"/>
  <c r="G117" i="9"/>
  <c r="G116" i="9"/>
  <c r="Q14" i="9"/>
  <c r="R8" i="10" s="1"/>
  <c r="T152" i="20"/>
  <c r="T141" i="20" s="1"/>
  <c r="Q7" i="20"/>
  <c r="K9" i="10" s="1"/>
  <c r="Q21" i="9"/>
  <c r="R7" i="10" s="1"/>
  <c r="O77" i="9"/>
  <c r="C117" i="9"/>
  <c r="I7" i="10"/>
  <c r="I189" i="20"/>
  <c r="J7" i="10" s="1"/>
  <c r="J6" i="20"/>
  <c r="M14" i="10"/>
  <c r="T12" i="23"/>
  <c r="W12" i="23" s="1"/>
  <c r="R606" i="20"/>
  <c r="L16" i="1"/>
  <c r="G14" i="23" s="1"/>
  <c r="O716" i="8"/>
  <c r="M16" i="1" s="1"/>
  <c r="L14" i="23" s="1"/>
  <c r="M14" i="23" s="1"/>
  <c r="S449" i="8"/>
  <c r="K13" i="1" s="1"/>
  <c r="I11" i="23" s="1"/>
  <c r="L13" i="1"/>
  <c r="G11" i="23" s="1"/>
  <c r="O449" i="8"/>
  <c r="M13" i="1" s="1"/>
  <c r="L11" i="23" s="1"/>
  <c r="M11" i="23" s="1"/>
  <c r="L8" i="1"/>
  <c r="G6" i="23" s="1"/>
  <c r="S78" i="8"/>
  <c r="K8" i="1" s="1"/>
  <c r="I6" i="23" s="1"/>
  <c r="O78" i="8"/>
  <c r="M8" i="1" s="1"/>
  <c r="L6" i="23" s="1"/>
  <c r="M6" i="23" s="1"/>
  <c r="O70" i="9"/>
  <c r="S75" i="9" s="1"/>
  <c r="K117" i="9"/>
  <c r="Q56" i="9"/>
  <c r="R15" i="10" s="1"/>
  <c r="T347" i="20"/>
  <c r="T327" i="20" s="1"/>
  <c r="O49" i="9"/>
  <c r="S54" i="9" s="1"/>
  <c r="T54" i="9" s="1"/>
  <c r="C116" i="9"/>
  <c r="R696" i="20"/>
  <c r="AB19" i="20" s="1"/>
  <c r="R522" i="20"/>
  <c r="AB17" i="20" s="1"/>
  <c r="T522" i="20"/>
  <c r="T503" i="20" s="1"/>
  <c r="O84" i="9"/>
  <c r="I9" i="10"/>
  <c r="N7" i="23" s="1"/>
  <c r="H6" i="20"/>
  <c r="I6" i="20" s="1"/>
  <c r="J19" i="10" s="1"/>
  <c r="M6" i="20"/>
  <c r="L6" i="20" s="1"/>
  <c r="M19" i="10" s="1"/>
  <c r="T15" i="23" s="1"/>
  <c r="W15" i="23" s="1"/>
  <c r="V87" i="8"/>
  <c r="T606" i="20"/>
  <c r="T575" i="20" s="1"/>
  <c r="Y9" i="23"/>
  <c r="X6" i="20"/>
  <c r="N4" i="8"/>
  <c r="AD327" i="20"/>
  <c r="U6" i="20"/>
  <c r="R347" i="20"/>
  <c r="AB14" i="20" s="1"/>
  <c r="R37" i="20"/>
  <c r="AB9" i="20" s="1"/>
  <c r="T37" i="20"/>
  <c r="AD189" i="20"/>
  <c r="Y6" i="20"/>
  <c r="S49" i="8"/>
  <c r="T51" i="8"/>
  <c r="R434" i="20"/>
  <c r="S432" i="20" s="1"/>
  <c r="Q432" i="20"/>
  <c r="N118" i="9"/>
  <c r="N116" i="9"/>
  <c r="Q28" i="9"/>
  <c r="R6" i="10" s="1"/>
  <c r="D116" i="9"/>
  <c r="E117" i="9"/>
  <c r="Y8" i="23"/>
  <c r="J7" i="1"/>
  <c r="F5" i="23" s="1"/>
  <c r="L4" i="8"/>
  <c r="M4" i="8" s="1"/>
  <c r="J4" i="8"/>
  <c r="K4" i="8" s="1"/>
  <c r="H15" i="23" s="1"/>
  <c r="L16" i="10"/>
  <c r="O13" i="23" s="1"/>
  <c r="Q633" i="20"/>
  <c r="K16" i="10" s="1"/>
  <c r="Q13" i="23" s="1"/>
  <c r="L6" i="10"/>
  <c r="L141" i="20"/>
  <c r="M6" i="10" s="1"/>
  <c r="T696" i="20"/>
  <c r="T683" i="20" s="1"/>
  <c r="R282" i="20"/>
  <c r="AB13" i="20" s="1"/>
  <c r="T282" i="20"/>
  <c r="T264" i="20" s="1"/>
  <c r="R96" i="20"/>
  <c r="T103" i="20" s="1"/>
  <c r="T91" i="20" s="1"/>
  <c r="Q91" i="20"/>
  <c r="I8" i="10"/>
  <c r="N6" i="23" s="1"/>
  <c r="T87" i="8"/>
  <c r="P118" i="9" l="1"/>
  <c r="P117" i="9"/>
  <c r="P11" i="10"/>
  <c r="S101" i="9"/>
  <c r="T101" i="9" s="1"/>
  <c r="P12" i="10"/>
  <c r="S114" i="9"/>
  <c r="T114" i="9" s="1"/>
  <c r="P10" i="10"/>
  <c r="S82" i="9"/>
  <c r="T82" i="9" s="1"/>
  <c r="P16" i="10"/>
  <c r="S68" i="9"/>
  <c r="T75" i="9"/>
  <c r="Q141" i="20"/>
  <c r="K6" i="10" s="1"/>
  <c r="S91" i="20"/>
  <c r="W8" i="23"/>
  <c r="R8" i="23"/>
  <c r="S8" i="23" s="1"/>
  <c r="M10" i="23"/>
  <c r="J10" i="23"/>
  <c r="K10" i="23" s="1"/>
  <c r="Q9" i="23"/>
  <c r="T9" i="23"/>
  <c r="W9" i="23" s="1"/>
  <c r="W11" i="23"/>
  <c r="R11" i="23"/>
  <c r="S11" i="23" s="1"/>
  <c r="J13" i="23"/>
  <c r="K13" i="23" s="1"/>
  <c r="L17" i="1"/>
  <c r="G15" i="23" s="1"/>
  <c r="S13" i="23"/>
  <c r="T13" i="23"/>
  <c r="W13" i="23" s="1"/>
  <c r="Y13" i="23"/>
  <c r="N5" i="23"/>
  <c r="I19" i="10"/>
  <c r="N15" i="23" s="1"/>
  <c r="Q4" i="23"/>
  <c r="T4" i="23"/>
  <c r="W4" i="23" s="1"/>
  <c r="J17" i="1"/>
  <c r="F15" i="23" s="1"/>
  <c r="T438" i="20"/>
  <c r="T432" i="20" s="1"/>
  <c r="R438" i="20"/>
  <c r="AB15" i="20" s="1"/>
  <c r="AD6" i="20"/>
  <c r="AB10" i="23"/>
  <c r="AB11" i="23" s="1"/>
  <c r="O116" i="9"/>
  <c r="P17" i="10"/>
  <c r="Y6" i="23"/>
  <c r="J6" i="23"/>
  <c r="K6" i="23" s="1"/>
  <c r="Q117" i="9"/>
  <c r="K17" i="10"/>
  <c r="Q14" i="23"/>
  <c r="L19" i="10"/>
  <c r="O15" i="23" s="1"/>
  <c r="O4" i="23"/>
  <c r="V56" i="8"/>
  <c r="T56" i="8"/>
  <c r="O118" i="9"/>
  <c r="Y14" i="23"/>
  <c r="J14" i="23"/>
  <c r="K14" i="23" s="1"/>
  <c r="Q116" i="9"/>
  <c r="T270" i="8"/>
  <c r="AG11" i="8" s="1"/>
  <c r="V270" i="8"/>
  <c r="Q6" i="23"/>
  <c r="K8" i="10"/>
  <c r="C119" i="9"/>
  <c r="AG7" i="8"/>
  <c r="K7" i="1"/>
  <c r="I5" i="23" s="1"/>
  <c r="AI6" i="8"/>
  <c r="AI4" i="8"/>
  <c r="O4" i="8"/>
  <c r="M17" i="1" s="1"/>
  <c r="L15" i="23" s="1"/>
  <c r="M15" i="23" s="1"/>
  <c r="O117" i="9"/>
  <c r="Y11" i="23"/>
  <c r="J11" i="23"/>
  <c r="K11" i="23"/>
  <c r="Q118" i="9"/>
  <c r="V253" i="8"/>
  <c r="R103" i="20"/>
  <c r="AB10" i="20" s="1"/>
  <c r="AB6" i="20" s="1"/>
  <c r="R6" i="20" s="1"/>
  <c r="Q15" i="23" s="1"/>
  <c r="S119" i="9" l="1"/>
  <c r="T119" i="9"/>
  <c r="T68" i="9"/>
  <c r="R9" i="23"/>
  <c r="S9" i="23" s="1"/>
  <c r="T7" i="20"/>
  <c r="AB7" i="23"/>
  <c r="R7" i="20"/>
  <c r="Q7" i="23" s="1"/>
  <c r="R4" i="23"/>
  <c r="S4" i="23"/>
  <c r="Y4" i="23"/>
  <c r="N6" i="20"/>
  <c r="AK14" i="23"/>
  <c r="AC10" i="23"/>
  <c r="AC11" i="23" s="1"/>
  <c r="R15" i="23"/>
  <c r="S15" i="23" s="1"/>
  <c r="Y15" i="23"/>
  <c r="AD8" i="20"/>
  <c r="AD9" i="20"/>
  <c r="AG8" i="8"/>
  <c r="T4" i="8"/>
  <c r="I15" i="23" s="1"/>
  <c r="AB8" i="23"/>
  <c r="V4" i="8"/>
  <c r="J15" i="23"/>
  <c r="K15" i="2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K545_72022_TXT" description="Connection to the 'K545_72022_TXT' query in the workbook." type="5" refreshedVersion="6" background="1" saveData="1">
    <dbPr connection="Provider=Microsoft.Mashup.OleDb.1;Data Source=$Workbook$;Location=K545_72022_TXT;Extended Properties=&quot;&quot;" command="SELECT * FROM [K545_72022_TXT]"/>
  </connection>
</connections>
</file>

<file path=xl/sharedStrings.xml><?xml version="1.0" encoding="utf-8"?>
<sst xmlns="http://schemas.openxmlformats.org/spreadsheetml/2006/main" count="4199" uniqueCount="1778">
  <si>
    <r>
      <rPr>
        <b/>
        <i/>
        <sz val="14"/>
        <color theme="1"/>
        <rFont val="Calibri"/>
        <family val="2"/>
        <scheme val="minor"/>
      </rPr>
      <t>Lycopodiella inundata</t>
    </r>
    <r>
      <rPr>
        <b/>
        <sz val="14"/>
        <color theme="1"/>
        <rFont val="Calibri"/>
        <family val="2"/>
        <scheme val="minor"/>
      </rPr>
      <t xml:space="preserve"> study sample summary</t>
    </r>
  </si>
  <si>
    <t>To date (14/11/19)</t>
  </si>
  <si>
    <t>Pilot - Spring 2019 (time 0)</t>
  </si>
  <si>
    <t>Site code</t>
  </si>
  <si>
    <t>Site Name/Location</t>
  </si>
  <si>
    <t>OU/GPS</t>
  </si>
  <si>
    <t>Assoc plants</t>
  </si>
  <si>
    <t>Plant tissue (CEH) (C/N/P)</t>
  </si>
  <si>
    <r>
      <t>T0</t>
    </r>
    <r>
      <rPr>
        <b/>
        <vertAlign val="superscript"/>
        <sz val="8"/>
        <color theme="1"/>
        <rFont val="Calibri"/>
        <family val="2"/>
        <scheme val="minor"/>
      </rPr>
      <t>1</t>
    </r>
  </si>
  <si>
    <t>T1</t>
  </si>
  <si>
    <t>wt (g)</t>
  </si>
  <si>
    <t>tissue</t>
  </si>
  <si>
    <t>notes</t>
  </si>
  <si>
    <t>TH</t>
  </si>
  <si>
    <t>Thursley</t>
  </si>
  <si>
    <t>SU 90213 40827</t>
  </si>
  <si>
    <t>stem</t>
  </si>
  <si>
    <t>approx weight</t>
  </si>
  <si>
    <t>HB</t>
  </si>
  <si>
    <t>Hyde Bog</t>
  </si>
  <si>
    <t>SY 87487 91996</t>
  </si>
  <si>
    <t>ST</t>
  </si>
  <si>
    <t>Stannon Park</t>
  </si>
  <si>
    <t>SX 13468 81308</t>
  </si>
  <si>
    <t>PL</t>
  </si>
  <si>
    <t>Park Lake</t>
  </si>
  <si>
    <t>SX 19872 70350</t>
  </si>
  <si>
    <t xml:space="preserve"> </t>
  </si>
  <si>
    <t>CE</t>
  </si>
  <si>
    <t>Coulin Estate</t>
  </si>
  <si>
    <t>NG 98021 57635</t>
  </si>
  <si>
    <t>&lt; 0.6</t>
  </si>
  <si>
    <t>strobili</t>
  </si>
  <si>
    <t>over 1</t>
  </si>
  <si>
    <t>MP</t>
  </si>
  <si>
    <t>Munday Estate</t>
  </si>
  <si>
    <t>NG 81687 52419</t>
  </si>
  <si>
    <t>BD</t>
  </si>
  <si>
    <t>Ben Damph</t>
  </si>
  <si>
    <t>NG 85651 54609</t>
  </si>
  <si>
    <t>MH</t>
  </si>
  <si>
    <t>Matley Heath</t>
  </si>
  <si>
    <t>SU 33573 08479</t>
  </si>
  <si>
    <t>SH</t>
  </si>
  <si>
    <t>Stadbury Hill</t>
  </si>
  <si>
    <t>SU 28640 15959</t>
  </si>
  <si>
    <t>NLA</t>
  </si>
  <si>
    <t>N51 23' 44'' E 5 36'45''</t>
  </si>
  <si>
    <t>n/a</t>
  </si>
  <si>
    <t>NLB</t>
  </si>
  <si>
    <t>S. Heide</t>
  </si>
  <si>
    <t>N51 23' 48.16212'' E 5 35'39.53544''</t>
  </si>
  <si>
    <t>N51 23' 48'' E 5 35'40''</t>
  </si>
  <si>
    <t>LV</t>
  </si>
  <si>
    <t>Aldershot Meta</t>
  </si>
  <si>
    <t>SU 83044 52511</t>
  </si>
  <si>
    <t>too few plants</t>
  </si>
  <si>
    <t>BF A, B, C</t>
  </si>
  <si>
    <t>Barnsfield (Dorset)</t>
  </si>
  <si>
    <t>Number of samples</t>
  </si>
  <si>
    <t>Total</t>
  </si>
  <si>
    <t>1 - all with Netty  except an additional 0.77 g from PL.0 (included in the above tally)</t>
  </si>
  <si>
    <r>
      <t>*OM t</t>
    </r>
    <r>
      <rPr>
        <sz val="12"/>
        <color theme="1"/>
        <rFont val="Calibri"/>
        <family val="2"/>
        <charset val="129"/>
        <scheme val="minor"/>
      </rPr>
      <t>ests:</t>
    </r>
  </si>
  <si>
    <t xml:space="preserve">1 - </t>
  </si>
  <si>
    <t>K, Mg and we can add Ca, Mn, Na and S</t>
  </si>
  <si>
    <t>2-</t>
  </si>
  <si>
    <t>near total (Al, As, B, Ca, Cd, Co, Cr, Cu, Fe, K, Mn, Na, Ni, P, Pb, S, Sr, Zn, Zr )</t>
  </si>
  <si>
    <t>repeat in sept/oct</t>
  </si>
  <si>
    <t>Spring 2019 baseline (T0 Results)</t>
  </si>
  <si>
    <t>Lycopodiella  root analysis</t>
  </si>
  <si>
    <t>Poaceae and Juncaceae</t>
  </si>
  <si>
    <t>stain</t>
  </si>
  <si>
    <t>koh %</t>
  </si>
  <si>
    <t>koh prep</t>
  </si>
  <si>
    <t>PHOTO Y(done) / TD(to do)</t>
  </si>
  <si>
    <t>RH (1/0)</t>
  </si>
  <si>
    <t># plots</t>
  </si>
  <si>
    <t>% plot colonized</t>
  </si>
  <si>
    <t># plants evaluated</t>
  </si>
  <si>
    <r>
      <rPr>
        <sz val="8"/>
        <color theme="1"/>
        <rFont val="Calibri"/>
        <family val="2"/>
        <scheme val="minor"/>
      </rPr>
      <t xml:space="preserve">FRE in plants </t>
    </r>
    <r>
      <rPr>
        <b/>
        <sz val="8"/>
        <color theme="1"/>
        <rFont val="Calibri"/>
        <family val="2"/>
        <scheme val="minor"/>
      </rPr>
      <t>P(1)/A(0)</t>
    </r>
  </si>
  <si>
    <r>
      <t>#</t>
    </r>
    <r>
      <rPr>
        <sz val="8"/>
        <color theme="1"/>
        <rFont val="Calibri"/>
        <family val="2"/>
        <scheme val="minor"/>
      </rPr>
      <t xml:space="preserve"> roots evaluated</t>
    </r>
  </si>
  <si>
    <r>
      <rPr>
        <sz val="8"/>
        <color theme="1"/>
        <rFont val="Calibri"/>
        <family val="2"/>
        <scheme val="minor"/>
      </rPr>
      <t xml:space="preserve">FRE in roots </t>
    </r>
    <r>
      <rPr>
        <b/>
        <sz val="8"/>
        <color theme="1"/>
        <rFont val="Calibri"/>
        <family val="2"/>
        <scheme val="minor"/>
      </rPr>
      <t>P(1)/A(0)</t>
    </r>
  </si>
  <si>
    <t>SE</t>
  </si>
  <si>
    <t>Frequency roots col per plant</t>
  </si>
  <si>
    <t>mean</t>
  </si>
  <si>
    <r>
      <rPr>
        <i/>
        <sz val="8"/>
        <rFont val="Calibri"/>
        <family val="2"/>
        <scheme val="minor"/>
      </rPr>
      <t>L. in</t>
    </r>
    <r>
      <rPr>
        <sz val="8"/>
        <rFont val="Calibri"/>
        <family val="2"/>
        <scheme val="minor"/>
      </rPr>
      <t xml:space="preserve"> GL in roots </t>
    </r>
    <r>
      <rPr>
        <b/>
        <sz val="8"/>
        <rFont val="Calibri"/>
        <family val="2"/>
        <scheme val="minor"/>
      </rPr>
      <t>P(1)/A(0)</t>
    </r>
  </si>
  <si>
    <t>ROOT HAIR CELLS Vesicles, Arbuscules, Hyphae</t>
  </si>
  <si>
    <t>ROOT CELLS Vesicles, Arbuscules, Hyphae (exc RH)</t>
  </si>
  <si>
    <t>Grass FRE P(1)/A(0)</t>
  </si>
  <si>
    <t># grass roots</t>
  </si>
  <si>
    <t>Grass GLOM P(1)/A(0)</t>
  </si>
  <si>
    <t>OVERALL</t>
  </si>
  <si>
    <t>V</t>
  </si>
  <si>
    <t>A</t>
  </si>
  <si>
    <t>H</t>
  </si>
  <si>
    <t>TH.0.R1d</t>
  </si>
  <si>
    <t>mb</t>
    <phoneticPr fontId="17" type="noConversion"/>
  </si>
  <si>
    <t>wb+on</t>
  </si>
  <si>
    <t>TH.0.R1e</t>
  </si>
  <si>
    <t>TH.0.R1f</t>
  </si>
  <si>
    <t>TH.0.R2</t>
  </si>
  <si>
    <t>ink</t>
  </si>
  <si>
    <t>ac+wb</t>
  </si>
  <si>
    <t>poor q</t>
  </si>
  <si>
    <t>5% AF</t>
  </si>
  <si>
    <t>TH.0.R2A</t>
  </si>
  <si>
    <t>* 5%</t>
  </si>
  <si>
    <t>TH.0.R2f</t>
  </si>
  <si>
    <t>ac+on</t>
  </si>
  <si>
    <t>TH.0.R2a</t>
  </si>
  <si>
    <t>TH.0.R2b</t>
  </si>
  <si>
    <t>TH.0.R2c</t>
  </si>
  <si>
    <t>TH.0.R2d</t>
  </si>
  <si>
    <t>2 cells</t>
  </si>
  <si>
    <t>TH.0.R2d1</t>
  </si>
  <si>
    <t>TH.0.R2g</t>
  </si>
  <si>
    <t>TH.0.R2h</t>
  </si>
  <si>
    <t>TH.0.R2i</t>
  </si>
  <si>
    <t>TH.0.R2j</t>
  </si>
  <si>
    <t>TH.0.R3</t>
  </si>
  <si>
    <t>tb</t>
  </si>
  <si>
    <t>ac</t>
  </si>
  <si>
    <t>TH.0.R3a</t>
  </si>
  <si>
    <t>*TB</t>
  </si>
  <si>
    <t>TH.0.R3b</t>
  </si>
  <si>
    <t>TH.0.R3c</t>
  </si>
  <si>
    <t>*</t>
  </si>
  <si>
    <t>TH.0.R3d</t>
  </si>
  <si>
    <t>TH.0.R3e</t>
  </si>
  <si>
    <t>TH.0.R3f</t>
  </si>
  <si>
    <t>TH.0.R3g</t>
  </si>
  <si>
    <t>TH.0.R3h</t>
  </si>
  <si>
    <t>TH.0.R3i</t>
  </si>
  <si>
    <t>TH.0.R3j</t>
  </si>
  <si>
    <t>TH.0.R3k</t>
  </si>
  <si>
    <t>TH.0.R3l</t>
  </si>
  <si>
    <t>TH.0.R3m</t>
  </si>
  <si>
    <t>TH.0.R3n</t>
  </si>
  <si>
    <t xml:space="preserve">TH.0.G4c </t>
  </si>
  <si>
    <t>TH.0.G4d</t>
  </si>
  <si>
    <t>TH.0.G4a</t>
  </si>
  <si>
    <t>unclear</t>
  </si>
  <si>
    <t>TH.0.G4b</t>
  </si>
  <si>
    <t>TH.0.G4h</t>
  </si>
  <si>
    <t>TH.0.G4i</t>
  </si>
  <si>
    <t>HB.0.R1a</t>
  </si>
  <si>
    <t>no rh</t>
  </si>
  <si>
    <t>HB.0.R1b</t>
  </si>
  <si>
    <t>HB.0.R1c</t>
  </si>
  <si>
    <t>HB.0.R1d</t>
  </si>
  <si>
    <t>HB.0.R1.2a</t>
  </si>
  <si>
    <t>HB.0.R1.2b</t>
  </si>
  <si>
    <t>HB.0.R1.3a</t>
  </si>
  <si>
    <t>HB.0.R1.3b</t>
  </si>
  <si>
    <t>HB.0.R1.3c</t>
  </si>
  <si>
    <t>HB.0.R2a</t>
  </si>
  <si>
    <t>HB.0.R2b</t>
  </si>
  <si>
    <t>HB.0.R2c</t>
  </si>
  <si>
    <t>HB.0.R2d</t>
  </si>
  <si>
    <t>HB.0.R2e</t>
  </si>
  <si>
    <t>HB.0.R2.2a</t>
  </si>
  <si>
    <t>HB.0.R2.2b</t>
  </si>
  <si>
    <t>HB.0.R3</t>
  </si>
  <si>
    <t>HB.0.R3.2a</t>
  </si>
  <si>
    <t>HB.0.R3.2b</t>
  </si>
  <si>
    <t>HB.0.R4</t>
  </si>
  <si>
    <t>CB</t>
  </si>
  <si>
    <t>wb2h</t>
  </si>
  <si>
    <t>HB.0.R4a</t>
  </si>
  <si>
    <t>HB.0.R4b</t>
  </si>
  <si>
    <t>HB.0.G4</t>
  </si>
  <si>
    <t>HB.0.G4a</t>
  </si>
  <si>
    <t>HB.0.G4b</t>
  </si>
  <si>
    <t>HB.0.G4c</t>
  </si>
  <si>
    <t>HB.0.G4d</t>
  </si>
  <si>
    <t>HB.0.G4e</t>
  </si>
  <si>
    <t>ST.0.R1.1a</t>
  </si>
  <si>
    <t>ST.0.R1.1b</t>
  </si>
  <si>
    <t>ST.0.R1.1c</t>
  </si>
  <si>
    <t>ST.0.R1.1d</t>
  </si>
  <si>
    <t>ST.0.R1.1e</t>
  </si>
  <si>
    <t>ST.0.R1.1f</t>
  </si>
  <si>
    <t>ST.0.R1.1g</t>
  </si>
  <si>
    <t>ST.0.R1.2a</t>
  </si>
  <si>
    <t>ST.0.R1.2b</t>
  </si>
  <si>
    <t>ST.0.R1.2c</t>
  </si>
  <si>
    <t>ST.0.R1.2d</t>
  </si>
  <si>
    <t>ST.0.R1.2e</t>
  </si>
  <si>
    <t>ST.0.R1.2f</t>
  </si>
  <si>
    <t>ST.0.R2</t>
  </si>
  <si>
    <t>TB</t>
  </si>
  <si>
    <t>ST.0.R2a</t>
  </si>
  <si>
    <t>hair only</t>
  </si>
  <si>
    <t>ST.0.R2.1</t>
  </si>
  <si>
    <t>af</t>
  </si>
  <si>
    <t>too weak</t>
  </si>
  <si>
    <t>ST.0.R2.1a</t>
  </si>
  <si>
    <t>ac+wb2h</t>
  </si>
  <si>
    <t>ST.0.R2.1b</t>
  </si>
  <si>
    <t>ST.0.R2.1c</t>
  </si>
  <si>
    <t>ST.0.R2.2a</t>
  </si>
  <si>
    <t>ST.0.R2.2b</t>
  </si>
  <si>
    <t>ST.0.R2.2c</t>
  </si>
  <si>
    <t>ST.0.R2.2d</t>
  </si>
  <si>
    <t>ST.0.R2.2e</t>
  </si>
  <si>
    <t>ST.0.R2.2f</t>
  </si>
  <si>
    <t>ST.0.R2.2g</t>
  </si>
  <si>
    <t>ST.0.R3a</t>
  </si>
  <si>
    <t>ST.0.R3b</t>
  </si>
  <si>
    <t>ST.0.R4a</t>
  </si>
  <si>
    <t>ST.0.R4b</t>
  </si>
  <si>
    <t>ST.0.R4c</t>
  </si>
  <si>
    <t>RH</t>
  </si>
  <si>
    <t>ST.0.R4d</t>
  </si>
  <si>
    <t>ST.0.R4e</t>
  </si>
  <si>
    <t>ST.0.R4f</t>
  </si>
  <si>
    <t>ST.0.R4g</t>
  </si>
  <si>
    <t>ST.0.R4h</t>
  </si>
  <si>
    <t>ST.0.R4i</t>
  </si>
  <si>
    <t>ST.0.R4j</t>
  </si>
  <si>
    <t>ST.0.R4.2a</t>
  </si>
  <si>
    <t>ST.0.R4.2b</t>
  </si>
  <si>
    <t>ST.0.R4.2c</t>
  </si>
  <si>
    <t>ST.0.R4.3a</t>
  </si>
  <si>
    <t>R</t>
  </si>
  <si>
    <t>ST.0.R4.3b</t>
  </si>
  <si>
    <t>ST.0.R4.3c</t>
  </si>
  <si>
    <t>ST.0.R4.3d</t>
  </si>
  <si>
    <t>ST.0J1a</t>
  </si>
  <si>
    <t>ST.0J1b</t>
  </si>
  <si>
    <t>ST.0J1c</t>
  </si>
  <si>
    <t>ST.0J1d</t>
  </si>
  <si>
    <t>PL.0.R1</t>
  </si>
  <si>
    <t>PL.0.R1a</t>
  </si>
  <si>
    <t>F</t>
  </si>
  <si>
    <t>PL.0.R1b</t>
  </si>
  <si>
    <t>PL.0.R1c</t>
  </si>
  <si>
    <t>PL.0.R1d</t>
  </si>
  <si>
    <t>Pl.0.R1f</t>
  </si>
  <si>
    <t>* poor qual</t>
  </si>
  <si>
    <t>PL.0.R1.2a</t>
  </si>
  <si>
    <t>PL.0.R1.2b</t>
  </si>
  <si>
    <t>PL.0.R1.2c</t>
  </si>
  <si>
    <t>PL.0.R1.2d</t>
  </si>
  <si>
    <t>PL.0.R2b</t>
  </si>
  <si>
    <t>PL.0.R2a</t>
  </si>
  <si>
    <t>PL.0.R2c</t>
  </si>
  <si>
    <t>PL.0.R2d</t>
  </si>
  <si>
    <t>PL.0.R2e</t>
  </si>
  <si>
    <t>PL.0.R2.2</t>
  </si>
  <si>
    <t>percentage of area per root</t>
  </si>
  <si>
    <t>PL.0.R2.2a</t>
  </si>
  <si>
    <t>poor</t>
  </si>
  <si>
    <t>percentage of roots per plant</t>
  </si>
  <si>
    <t>PL.0.R2.1a.1</t>
  </si>
  <si>
    <t>percent of root hairs</t>
  </si>
  <si>
    <t>PL.0.R2.1a1.2</t>
  </si>
  <si>
    <t>PL.0.R3a</t>
  </si>
  <si>
    <t>P</t>
  </si>
  <si>
    <t>vegetation differences</t>
  </si>
  <si>
    <t>PL.0.R3b</t>
  </si>
  <si>
    <t>maybe glom</t>
  </si>
  <si>
    <t>precipitation</t>
  </si>
  <si>
    <t>PL.0.R3c</t>
  </si>
  <si>
    <t>temperature data</t>
  </si>
  <si>
    <t>PL.0.R3d</t>
  </si>
  <si>
    <t>PL.0.R3e</t>
  </si>
  <si>
    <t>PL.0.R3f</t>
  </si>
  <si>
    <t>PL.0.R3g</t>
  </si>
  <si>
    <t>PL.0.R3h</t>
  </si>
  <si>
    <t>PL.0.R3i</t>
  </si>
  <si>
    <t>PL.0.R3j</t>
  </si>
  <si>
    <t>PL.0.R3k</t>
  </si>
  <si>
    <t>PL.0.R3l</t>
  </si>
  <si>
    <t>PL.0.R3m</t>
  </si>
  <si>
    <t>PL.0.R3n</t>
  </si>
  <si>
    <t>PL.0.R4</t>
  </si>
  <si>
    <t>ac+wb2</t>
  </si>
  <si>
    <t>PL.0.R4b</t>
  </si>
  <si>
    <t>wb2</t>
  </si>
  <si>
    <t>PL.0.R4b1</t>
  </si>
  <si>
    <t>PL.0.R4a</t>
  </si>
  <si>
    <t>PL.0.R4c</t>
  </si>
  <si>
    <t>PL.0.R4d</t>
  </si>
  <si>
    <t>PL.0.R4e</t>
  </si>
  <si>
    <t>PL.0.R4f</t>
  </si>
  <si>
    <t>PL.0.R4g</t>
  </si>
  <si>
    <t>PL.0.R4h</t>
  </si>
  <si>
    <t>PL.0.R4i</t>
  </si>
  <si>
    <t>PL.0.R4j</t>
  </si>
  <si>
    <t>PL.0.R4k</t>
  </si>
  <si>
    <t>PL.0.R4l</t>
  </si>
  <si>
    <t>wb+6h</t>
  </si>
  <si>
    <t>PL.0.R4m</t>
  </si>
  <si>
    <t>PL.0.R4n</t>
  </si>
  <si>
    <t>PL.0.R4o</t>
  </si>
  <si>
    <t>PL.0.R4p</t>
  </si>
  <si>
    <t>PL.0.R4q</t>
  </si>
  <si>
    <t>PL.0.R4r</t>
  </si>
  <si>
    <t>PL.0.R4s</t>
  </si>
  <si>
    <t>PL.0.R4t</t>
  </si>
  <si>
    <t>PL.0.R4u</t>
  </si>
  <si>
    <t>PL.0.R4v</t>
  </si>
  <si>
    <t>PL.0.R4w</t>
  </si>
  <si>
    <t>PL.0.R4.2a</t>
  </si>
  <si>
    <t>PL.0.R4.2b</t>
  </si>
  <si>
    <t>PL.0.R4.2c</t>
  </si>
  <si>
    <t>PL.0.R4.2d</t>
  </si>
  <si>
    <t>PL.0.R4.2e</t>
  </si>
  <si>
    <t>PL.0.R4.2f</t>
  </si>
  <si>
    <t>PL.0.R4.2g</t>
  </si>
  <si>
    <t>PL.0.R4.2h</t>
  </si>
  <si>
    <t>PL.0.R4.2i</t>
  </si>
  <si>
    <t>PL.0.R4.2j</t>
  </si>
  <si>
    <t>PL.0.R4.2k</t>
  </si>
  <si>
    <t>PL.0.R4.2l</t>
  </si>
  <si>
    <t>PL.0.R4.3</t>
  </si>
  <si>
    <t>PL.0.R4.3a</t>
  </si>
  <si>
    <t>PL.0.R4.3b</t>
  </si>
  <si>
    <t>PL.0.R4.3c</t>
  </si>
  <si>
    <t>PL.0.R4.3d</t>
  </si>
  <si>
    <t>PL.0.R4.3e</t>
  </si>
  <si>
    <t>PL.0.R4.4a</t>
  </si>
  <si>
    <t>PL.0.R4.4b</t>
  </si>
  <si>
    <t>PL.0.R4.4c</t>
  </si>
  <si>
    <t>PL.0.R4.4d</t>
  </si>
  <si>
    <t>PL.0.R4.4e</t>
  </si>
  <si>
    <t>PL.0.R4.4f</t>
  </si>
  <si>
    <t>PL.0.R4.4g</t>
  </si>
  <si>
    <t>PL.0.R4.4h</t>
  </si>
  <si>
    <t>PL.0.R4.4i</t>
  </si>
  <si>
    <t>PL.0.R4.4j</t>
  </si>
  <si>
    <t>PL.0.R4.4k</t>
  </si>
  <si>
    <t>PL.0.R4.4l</t>
  </si>
  <si>
    <t>PL.0.R4.4m</t>
  </si>
  <si>
    <t>PL.0.R4.4n</t>
  </si>
  <si>
    <t>PL.0.Ga</t>
  </si>
  <si>
    <t>PL..0.Gb</t>
  </si>
  <si>
    <t>PL.0.GR2</t>
  </si>
  <si>
    <t>reev</t>
  </si>
  <si>
    <t>PL.0.Gc</t>
  </si>
  <si>
    <t>PL.0.Gd</t>
  </si>
  <si>
    <t>PL.0G2a</t>
  </si>
  <si>
    <t>PL.0G2b</t>
  </si>
  <si>
    <t>PL.0.R2G1</t>
  </si>
  <si>
    <t>PL.0.R2G2</t>
  </si>
  <si>
    <t>PL.0.J2a</t>
  </si>
  <si>
    <t>?</t>
  </si>
  <si>
    <t>PL.0.J2b</t>
  </si>
  <si>
    <t>PL.0.J2c</t>
  </si>
  <si>
    <t>PL.0.J2d</t>
  </si>
  <si>
    <t>PL.0.J2</t>
  </si>
  <si>
    <t>CE.0.R1a</t>
  </si>
  <si>
    <t>CE.0.R1b</t>
  </si>
  <si>
    <t>CE.0.R1c</t>
  </si>
  <si>
    <t>CE.0.R1d</t>
  </si>
  <si>
    <t>CE.0.R1e</t>
  </si>
  <si>
    <t>CE.0.R1.2a</t>
  </si>
  <si>
    <t>CE.0.R1.2b</t>
  </si>
  <si>
    <t>CE.0.R1.2c</t>
  </si>
  <si>
    <t>CE.0.R1.2d</t>
  </si>
  <si>
    <t>CE.0.R1.2e</t>
  </si>
  <si>
    <t>CE.0.R1.2f</t>
  </si>
  <si>
    <t>CE.0.R1.2g</t>
  </si>
  <si>
    <t>CE.0.1.4a</t>
  </si>
  <si>
    <t>maybe G</t>
  </si>
  <si>
    <t>CE.0.1.4b</t>
  </si>
  <si>
    <t>CE.0.1.4c</t>
  </si>
  <si>
    <t>CE.0.1.4d</t>
  </si>
  <si>
    <t>CE.0.1.4e</t>
  </si>
  <si>
    <t>CE.0.1.4f</t>
  </si>
  <si>
    <t>CE.0.1.5a</t>
  </si>
  <si>
    <t>CE.0.1.5b</t>
  </si>
  <si>
    <t>CE.0.1.5c</t>
  </si>
  <si>
    <t>CE.0.1.5d</t>
  </si>
  <si>
    <t>CE.0.1.5e</t>
  </si>
  <si>
    <t>CE.0.1.5f</t>
  </si>
  <si>
    <t>CE.0.1.6a</t>
  </si>
  <si>
    <t>CE.0.1.6b</t>
  </si>
  <si>
    <t>CE.0.1.6c</t>
  </si>
  <si>
    <t>CE.0.1.6d</t>
  </si>
  <si>
    <t>CE.0.1.6e</t>
  </si>
  <si>
    <t>CE.0.1.7a</t>
  </si>
  <si>
    <t>CE.0.1.7b</t>
  </si>
  <si>
    <t>CE.0.1.7c</t>
  </si>
  <si>
    <t>CE.0.1.9a</t>
  </si>
  <si>
    <t>CE.0.1.9b</t>
  </si>
  <si>
    <t>CE.0.1.9c</t>
  </si>
  <si>
    <t>CE.0.1.9d</t>
  </si>
  <si>
    <t>CE.0.R1.10</t>
  </si>
  <si>
    <t>CE.0.1.10a</t>
  </si>
  <si>
    <t>CE.0.1.10b</t>
  </si>
  <si>
    <t>CE.0.1.10c</t>
  </si>
  <si>
    <t>CE.0.R1.8h</t>
  </si>
  <si>
    <t>CE.0.R1.8i</t>
  </si>
  <si>
    <t>CE.0.R1.8j</t>
  </si>
  <si>
    <t>CE.0.R1.8k</t>
  </si>
  <si>
    <t>CE.0.R1.8l</t>
  </si>
  <si>
    <t>CE.0.R1.8m</t>
  </si>
  <si>
    <t>CE.0.R1.9a</t>
  </si>
  <si>
    <t>CE.0.R1.9b</t>
  </si>
  <si>
    <t>CE.0.R1.9c</t>
  </si>
  <si>
    <t>CE.0.R1.9d</t>
  </si>
  <si>
    <t>CE.0.R1.12a</t>
  </si>
  <si>
    <t>CE.0.R1.12b</t>
  </si>
  <si>
    <t>CE.0.R1.12c</t>
  </si>
  <si>
    <t>CE.0.R1.13a</t>
  </si>
  <si>
    <t>CE.0.R1.13b</t>
  </si>
  <si>
    <t>CE.0.R1.13c</t>
  </si>
  <si>
    <t>CE.0.R1.14</t>
  </si>
  <si>
    <t>CE.0.R1.15a</t>
  </si>
  <si>
    <t>CE.0.R1.15b</t>
  </si>
  <si>
    <t>CE.0.R1.15c</t>
  </si>
  <si>
    <t>CE.0.R1.15d</t>
  </si>
  <si>
    <t>CE.0.R1.16a</t>
  </si>
  <si>
    <t>CE.0.R1.16b</t>
  </si>
  <si>
    <t>glom</t>
  </si>
  <si>
    <t>CE.0.R1.16c</t>
  </si>
  <si>
    <t>CE.0.R1.16d</t>
  </si>
  <si>
    <t>CE.0.R1.17a</t>
  </si>
  <si>
    <t>CE.0.R1.17b</t>
  </si>
  <si>
    <t>CE.0.R1.17c</t>
  </si>
  <si>
    <t>CE.0.R1.17d</t>
  </si>
  <si>
    <t>CE.0.R1.18a</t>
  </si>
  <si>
    <t>CE.0.R1.18b</t>
  </si>
  <si>
    <t>CE.0.R1.18c</t>
  </si>
  <si>
    <t>CE.0.R1.21a</t>
  </si>
  <si>
    <t>CE.0.R1.21b</t>
  </si>
  <si>
    <t>CE.0.R1.21c</t>
  </si>
  <si>
    <t>CE.0.1.22a</t>
  </si>
  <si>
    <t>CE.0.1.22b</t>
  </si>
  <si>
    <t>CE.0.1.22c</t>
  </si>
  <si>
    <t>MP.0.R1a</t>
  </si>
  <si>
    <t>MP.0.R1b</t>
  </si>
  <si>
    <t>MP.0.R1c</t>
  </si>
  <si>
    <t>MP.0.R1d</t>
  </si>
  <si>
    <t>MP.0.R1e</t>
  </si>
  <si>
    <t>MP.0.R1.1a</t>
  </si>
  <si>
    <t>MP.0.R1.1b</t>
  </si>
  <si>
    <t>MP.0.R1.1c</t>
  </si>
  <si>
    <t>MP.0.R1.1d</t>
  </si>
  <si>
    <t>MP.0.R1.1e</t>
  </si>
  <si>
    <t>2 cells +</t>
  </si>
  <si>
    <t>MP.0.R1.1f</t>
  </si>
  <si>
    <t>MP.0.R2.12a</t>
  </si>
  <si>
    <t>MP.0.R2.12b</t>
  </si>
  <si>
    <t>MP.0.R2.12c</t>
  </si>
  <si>
    <t>MP.0.R2.12d</t>
  </si>
  <si>
    <t>MP.0.R2.13a</t>
  </si>
  <si>
    <t>MP.0.R2.13b</t>
  </si>
  <si>
    <t>MP.0.R2.15a</t>
  </si>
  <si>
    <t>MP.0.R2.15b</t>
  </si>
  <si>
    <t>MP.0.R2.15c</t>
  </si>
  <si>
    <t>MP.0.R2.5a</t>
  </si>
  <si>
    <t>MP.0.R2.5b</t>
  </si>
  <si>
    <t>MP.0.R2.0a</t>
  </si>
  <si>
    <t>MP.0.R2.0b</t>
  </si>
  <si>
    <t>MP.0.R2.0c</t>
  </si>
  <si>
    <t>MP.0.R2.0d</t>
  </si>
  <si>
    <t>MP.0.R2.1a</t>
  </si>
  <si>
    <t>MP.0.R2.1b</t>
  </si>
  <si>
    <t>MP.0.R2.1c</t>
  </si>
  <si>
    <t>MP.0.R2.1d</t>
  </si>
  <si>
    <t>MP.0.R2.1e</t>
  </si>
  <si>
    <t>MP.0.R2.1f</t>
  </si>
  <si>
    <t>MP.0.R2.2a</t>
  </si>
  <si>
    <t>MP.0.R2.2b</t>
  </si>
  <si>
    <t>MP.0.R2.2h</t>
  </si>
  <si>
    <t>MP.0.R2.2i</t>
  </si>
  <si>
    <t>MP.0.R2.3a</t>
  </si>
  <si>
    <t>MP.0.R2.3b</t>
  </si>
  <si>
    <t>MP.0.R2.3c</t>
  </si>
  <si>
    <t>MP.0.R2.4a</t>
  </si>
  <si>
    <t>MP.0.R2.4b</t>
  </si>
  <si>
    <t>MP.0.R2.4c</t>
  </si>
  <si>
    <t>MP.0.R2.4d</t>
  </si>
  <si>
    <t>MP.0.R2.4e</t>
  </si>
  <si>
    <t>MP.0.R2.4f</t>
  </si>
  <si>
    <t>MP.0.R2.4g</t>
  </si>
  <si>
    <t>MP.0.R2.4h</t>
  </si>
  <si>
    <t>MP.0.R2.4i</t>
  </si>
  <si>
    <t>MP.0.R2.5_a</t>
  </si>
  <si>
    <t>MP.0.R2.5_b</t>
  </si>
  <si>
    <t>MP.0.R2.7a</t>
  </si>
  <si>
    <t>MP.0.R2.7b</t>
  </si>
  <si>
    <t>MP.0.R2.7c</t>
  </si>
  <si>
    <t>MP.0.R2.8a</t>
  </si>
  <si>
    <t>MP.0.R2.8b</t>
  </si>
  <si>
    <t>MP.0.R2.8c</t>
  </si>
  <si>
    <t>one cell</t>
  </si>
  <si>
    <t>MP.0.R2.8d</t>
  </si>
  <si>
    <t>MP.0.R2.9a</t>
  </si>
  <si>
    <t>MP.0.R2.9b</t>
  </si>
  <si>
    <t>MP.0.R2.9c</t>
  </si>
  <si>
    <t>MP.0.R2.9d</t>
  </si>
  <si>
    <t>MP.0.R2.16a</t>
  </si>
  <si>
    <t>MP.0.R2.16b</t>
  </si>
  <si>
    <t>MP.0.R2.17a</t>
  </si>
  <si>
    <t>MP.0.R2.17b</t>
  </si>
  <si>
    <t>MP.0.R2.17c</t>
  </si>
  <si>
    <t>MP.0.R2.18a</t>
  </si>
  <si>
    <t>MP.0.R2.18b</t>
  </si>
  <si>
    <t>MP.0.R3.14a</t>
  </si>
  <si>
    <t>MP.0.R3.14b</t>
  </si>
  <si>
    <t>MP.0.R3.14c</t>
  </si>
  <si>
    <t>MP.0.G1.1</t>
  </si>
  <si>
    <t>MP.0.G2.1a</t>
  </si>
  <si>
    <t>MP.0.G2.1b</t>
  </si>
  <si>
    <t>MP.0.G2.1c</t>
  </si>
  <si>
    <t>MP.0.G2.1d</t>
  </si>
  <si>
    <t>MP.0.G2.1e</t>
  </si>
  <si>
    <t>MP.0.G2.1f</t>
  </si>
  <si>
    <t>BD.0.R1a</t>
    <phoneticPr fontId="17" type="noConversion"/>
  </si>
  <si>
    <t>ac</t>
    <phoneticPr fontId="17" type="noConversion"/>
  </si>
  <si>
    <t>BD.0.R1b</t>
    <phoneticPr fontId="17" type="noConversion"/>
  </si>
  <si>
    <t>BD.0.R1c</t>
    <phoneticPr fontId="17" type="noConversion"/>
  </si>
  <si>
    <t>BD.0.R1d</t>
    <phoneticPr fontId="17" type="noConversion"/>
  </si>
  <si>
    <t>BD.0.R1e</t>
  </si>
  <si>
    <t>BD.0.R1f</t>
  </si>
  <si>
    <t>BD.0.R1g</t>
  </si>
  <si>
    <t>BD.0.R1h</t>
  </si>
  <si>
    <t>BD.0.R5</t>
  </si>
  <si>
    <t>BD.0.G2.0a</t>
    <phoneticPr fontId="17" type="noConversion"/>
  </si>
  <si>
    <t>BD.0.G.2.1</t>
    <phoneticPr fontId="17" type="noConversion"/>
  </si>
  <si>
    <t>BD.0.G2.2a</t>
    <phoneticPr fontId="17" type="noConversion"/>
  </si>
  <si>
    <t>BD.0.G2.2b</t>
    <phoneticPr fontId="17" type="noConversion"/>
  </si>
  <si>
    <t>BD.0.G2.2c</t>
    <phoneticPr fontId="17" type="noConversion"/>
  </si>
  <si>
    <t>BD.0.G2.2d</t>
    <phoneticPr fontId="17" type="noConversion"/>
  </si>
  <si>
    <t>BD.0.G2.2e</t>
    <phoneticPr fontId="17" type="noConversion"/>
  </si>
  <si>
    <t>BD.0.G2.2f</t>
    <phoneticPr fontId="17" type="noConversion"/>
  </si>
  <si>
    <t>BD.0.G2.2g</t>
    <phoneticPr fontId="17" type="noConversion"/>
  </si>
  <si>
    <t>BD.0.G2.2h</t>
    <phoneticPr fontId="17" type="noConversion"/>
  </si>
  <si>
    <t>BD.0.G2.2i</t>
    <phoneticPr fontId="17" type="noConversion"/>
  </si>
  <si>
    <t>BD.0.G2.2j</t>
    <phoneticPr fontId="17" type="noConversion"/>
  </si>
  <si>
    <t>BD.0.G2.2k</t>
    <phoneticPr fontId="17" type="noConversion"/>
  </si>
  <si>
    <t>BD.0.G2.2l</t>
    <phoneticPr fontId="17" type="noConversion"/>
  </si>
  <si>
    <t>BD.0.G2.2m</t>
    <phoneticPr fontId="17" type="noConversion"/>
  </si>
  <si>
    <t>BD.0.G2.2n</t>
    <phoneticPr fontId="17" type="noConversion"/>
  </si>
  <si>
    <t>BD.0.G2.2o</t>
    <phoneticPr fontId="17" type="noConversion"/>
  </si>
  <si>
    <t>BD.0.G2.2p</t>
    <phoneticPr fontId="17" type="noConversion"/>
  </si>
  <si>
    <t>BD.0.G.2.3</t>
    <phoneticPr fontId="17" type="noConversion"/>
  </si>
  <si>
    <t>BD.0.G2.4a</t>
    <phoneticPr fontId="17" type="noConversion"/>
  </si>
  <si>
    <t>BD.0.G2.4b</t>
    <phoneticPr fontId="17" type="noConversion"/>
  </si>
  <si>
    <t>BD.0.G2.4c</t>
    <phoneticPr fontId="17" type="noConversion"/>
  </si>
  <si>
    <t>BD.0.G2.4d</t>
    <phoneticPr fontId="17" type="noConversion"/>
  </si>
  <si>
    <t>BD.0.G2.4e</t>
    <phoneticPr fontId="17" type="noConversion"/>
  </si>
  <si>
    <t>BD.0.G2.5a</t>
    <phoneticPr fontId="17" type="noConversion"/>
  </si>
  <si>
    <t>BD.0.G2.6b</t>
    <phoneticPr fontId="17" type="noConversion"/>
  </si>
  <si>
    <t>BD.0.G2.6a</t>
  </si>
  <si>
    <t>BD.0.G2.6b</t>
  </si>
  <si>
    <t>BD.0.G2.6c</t>
  </si>
  <si>
    <t>BD.0.G2.6d</t>
  </si>
  <si>
    <t>BD.0.G2.6e</t>
  </si>
  <si>
    <t>BD.0.G2.6f</t>
  </si>
  <si>
    <t>BD.0.G2.8a</t>
  </si>
  <si>
    <t>BD.0.G2.8b</t>
  </si>
  <si>
    <t>BD.0.G2.8c</t>
  </si>
  <si>
    <t>BD.0.G2.8d</t>
  </si>
  <si>
    <t>BD.0.G2.8e</t>
  </si>
  <si>
    <t>BD.0.G2.8f</t>
  </si>
  <si>
    <t>BD.0.G2.8g</t>
  </si>
  <si>
    <t>BD.0.G2.8h</t>
  </si>
  <si>
    <t>BD.0.G2.8i</t>
  </si>
  <si>
    <t>BD.0.G2.8j</t>
  </si>
  <si>
    <t>BD.0.G2.8k</t>
  </si>
  <si>
    <t>BD.0.G2.8l</t>
  </si>
  <si>
    <t>MH.0.R1a</t>
    <phoneticPr fontId="17" type="noConversion"/>
  </si>
  <si>
    <t>MH.0.R1b</t>
  </si>
  <si>
    <t>MH.0.R1c</t>
  </si>
  <si>
    <t>MH.0.R1d</t>
  </si>
  <si>
    <t>MH.0.R1e</t>
  </si>
  <si>
    <t>MH.0.R1f</t>
    <phoneticPr fontId="17" type="noConversion"/>
  </si>
  <si>
    <t>MH.0.R1g</t>
    <phoneticPr fontId="17" type="noConversion"/>
  </si>
  <si>
    <t>MH.0.R1.2a</t>
  </si>
  <si>
    <t>MH.0.R1.2b</t>
  </si>
  <si>
    <t>MH.0.R1.2c</t>
  </si>
  <si>
    <t>MH.0.R1.2d</t>
  </si>
  <si>
    <t>MH.0.R1.2e</t>
  </si>
  <si>
    <t>MH.0.R1.2f</t>
  </si>
  <si>
    <t>MH.0.R1.2g</t>
  </si>
  <si>
    <t>MH.0.R1.2h</t>
  </si>
  <si>
    <t>MH.0.R2a</t>
  </si>
  <si>
    <t>MH.0.R2b</t>
  </si>
  <si>
    <t>MH.0.R2c</t>
  </si>
  <si>
    <t>MH.0.R2d</t>
  </si>
  <si>
    <t>MH.0.R2e</t>
  </si>
  <si>
    <t>MH.0.R2f</t>
  </si>
  <si>
    <t>MH.0.R2g</t>
  </si>
  <si>
    <t>MH.0.R2h</t>
  </si>
  <si>
    <t>MH.0.R2.1_e</t>
  </si>
  <si>
    <t>MH.0.R2.1_f</t>
  </si>
  <si>
    <t>MH.0.R2.2a</t>
    <phoneticPr fontId="17" type="noConversion"/>
  </si>
  <si>
    <t>MH.0.R2.2b</t>
    <phoneticPr fontId="17" type="noConversion"/>
  </si>
  <si>
    <t>MH.0.R2.2c</t>
    <phoneticPr fontId="17" type="noConversion"/>
  </si>
  <si>
    <t>MH.0.R2.2d</t>
    <phoneticPr fontId="17" type="noConversion"/>
  </si>
  <si>
    <t>MH.0.R2.2e</t>
    <phoneticPr fontId="17" type="noConversion"/>
  </si>
  <si>
    <t>MH.0.R2.2h</t>
  </si>
  <si>
    <t>MH.0.R2.2i</t>
  </si>
  <si>
    <t>MH.0.R2.13_a</t>
  </si>
  <si>
    <t>MH.0.R2.13_b</t>
  </si>
  <si>
    <t>MH.0.R3a</t>
    <phoneticPr fontId="17" type="noConversion"/>
  </si>
  <si>
    <t>MH.0.R3b</t>
    <phoneticPr fontId="17" type="noConversion"/>
  </si>
  <si>
    <t>MH.0.R3.2a</t>
  </si>
  <si>
    <t>no let on slides</t>
  </si>
  <si>
    <t>MH.0.R3.2b</t>
  </si>
  <si>
    <t>MH.0.R3.2c</t>
  </si>
  <si>
    <t>MH.0.R3.2d</t>
  </si>
  <si>
    <t>MH.0.R3.2e</t>
  </si>
  <si>
    <t>MH.0.R3.2f</t>
  </si>
  <si>
    <t>MH.0.R3.2g</t>
  </si>
  <si>
    <t>MH.0.R3.2h</t>
  </si>
  <si>
    <t>MH.0.R3.2i</t>
  </si>
  <si>
    <t>MH.0.R3.2j</t>
  </si>
  <si>
    <t>MH.0.R3.2k</t>
  </si>
  <si>
    <t>MH.0.R3.2l</t>
  </si>
  <si>
    <t>MH.0.R3.2m</t>
  </si>
  <si>
    <t>MH.0.R3.2n</t>
  </si>
  <si>
    <t>MH.0.R4d</t>
    <phoneticPr fontId="17" type="noConversion"/>
  </si>
  <si>
    <t>MH.0.R5e</t>
    <phoneticPr fontId="17" type="noConversion"/>
  </si>
  <si>
    <t>MH.0.G2.0a</t>
    <phoneticPr fontId="17" type="noConversion"/>
  </si>
  <si>
    <t>MH.0.G2.0b</t>
    <phoneticPr fontId="17" type="noConversion"/>
  </si>
  <si>
    <t>MH.0.G2.0c</t>
    <phoneticPr fontId="17" type="noConversion"/>
  </si>
  <si>
    <t>MH.0.G2.0d</t>
  </si>
  <si>
    <t>MH.0.G.2.1</t>
  </si>
  <si>
    <t>MH.0.G.2.2</t>
  </si>
  <si>
    <t>MH.0.G.2.3a</t>
  </si>
  <si>
    <t>MH.0.G.2.3b</t>
  </si>
  <si>
    <t>MH.0.G3a</t>
    <phoneticPr fontId="17" type="noConversion"/>
  </si>
  <si>
    <t>MH.0.G3b</t>
    <phoneticPr fontId="17" type="noConversion"/>
  </si>
  <si>
    <t>MH.0.G3a1</t>
  </si>
  <si>
    <t>MH.0.G3b1</t>
  </si>
  <si>
    <t>MH.0.G3c</t>
  </si>
  <si>
    <t>MH.0.G3d</t>
  </si>
  <si>
    <t>MH.0.G3e</t>
  </si>
  <si>
    <t>MH.0.G3f</t>
  </si>
  <si>
    <t>MH.0.G3g</t>
  </si>
  <si>
    <t>MH.0.G3Aa</t>
  </si>
  <si>
    <t>MH.0.G3Ab</t>
  </si>
  <si>
    <t>MH.0.G3Ac</t>
  </si>
  <si>
    <t>MH.0.G3Ad</t>
  </si>
  <si>
    <t>MH.0.G3Ae</t>
  </si>
  <si>
    <t>MH.0.G3Ba</t>
  </si>
  <si>
    <t>MH.0.G3Bb</t>
  </si>
  <si>
    <t>MH.0.G3Bc</t>
  </si>
  <si>
    <t>MH.0.G3Ca</t>
  </si>
  <si>
    <t>MH.0.G3Cb</t>
  </si>
  <si>
    <t>SH.0.R1a</t>
  </si>
  <si>
    <t>SH.0.R1b</t>
  </si>
  <si>
    <t>SH.0.R1c</t>
  </si>
  <si>
    <t>SH.0.R1d</t>
  </si>
  <si>
    <t>SH.0.R1e</t>
  </si>
  <si>
    <t>SH.0.R1.2a</t>
  </si>
  <si>
    <t>SH.0.R1.2b</t>
  </si>
  <si>
    <t>SH.0.R1.2c</t>
  </si>
  <si>
    <t>SH.0.R1.2d</t>
  </si>
  <si>
    <t>SH.0.R1.2e</t>
  </si>
  <si>
    <t>SH.0.R1.2f</t>
  </si>
  <si>
    <t>SH.0.R1.2g</t>
  </si>
  <si>
    <t>SH.0.R1.2h</t>
  </si>
  <si>
    <t>SH.0.R1.2i</t>
  </si>
  <si>
    <t>SH.0.R2a</t>
  </si>
  <si>
    <t>SH.0.R2b</t>
  </si>
  <si>
    <t>SH.0.R2c</t>
  </si>
  <si>
    <t>SH.0.R2d</t>
  </si>
  <si>
    <t>SH.0.R2e</t>
  </si>
  <si>
    <t>SH.0.R2.2a</t>
  </si>
  <si>
    <t>SH.0.R2.2b</t>
  </si>
  <si>
    <t>SH.0.R2.2c</t>
  </si>
  <si>
    <t>SH.0.R2.2d</t>
  </si>
  <si>
    <t>SH.0.R2.2e</t>
  </si>
  <si>
    <t>SH.0.R2.2f</t>
  </si>
  <si>
    <t>SH.0.R2.2g</t>
  </si>
  <si>
    <t>SH.0.R2.2h</t>
  </si>
  <si>
    <t>SH.0.R2.2i</t>
  </si>
  <si>
    <t>SH.0.R2.2j</t>
  </si>
  <si>
    <t>SH.0.R2.2k</t>
  </si>
  <si>
    <t>SH.0.R3a</t>
  </si>
  <si>
    <t>SH.0.R3b</t>
  </si>
  <si>
    <t>SH.0.R3c</t>
  </si>
  <si>
    <t>SH.0.R3d</t>
  </si>
  <si>
    <t>SH.0.R3e</t>
  </si>
  <si>
    <t>SH.0.R3f</t>
  </si>
  <si>
    <t>SH.0.R3.2a</t>
  </si>
  <si>
    <t>SH.0.R3.2b</t>
  </si>
  <si>
    <t>SH.0.R3.2c</t>
  </si>
  <si>
    <t>SH.0.R3.2d</t>
  </si>
  <si>
    <t>SH.0.R3.2e</t>
  </si>
  <si>
    <t>SH.0.R3.2f</t>
  </si>
  <si>
    <t>SH.0.R3.2g</t>
  </si>
  <si>
    <t>SH.0.R3.2h</t>
  </si>
  <si>
    <t>SH.0.R3.2i</t>
  </si>
  <si>
    <t>SH.0.R3.2j</t>
  </si>
  <si>
    <t>SH.0.R3.3a</t>
  </si>
  <si>
    <t>SH.0.R3.3b</t>
  </si>
  <si>
    <t>SH.0.R3.3c</t>
  </si>
  <si>
    <t>SH.0.R3.3d</t>
  </si>
  <si>
    <t>SH.0.R3.3e</t>
  </si>
  <si>
    <t>SH.0.R3.3f</t>
  </si>
  <si>
    <t>SH.0.R3.3g</t>
  </si>
  <si>
    <t>SH.0.R3.3h</t>
  </si>
  <si>
    <t>SH.0.R4a</t>
  </si>
  <si>
    <t>SH.0.R4b</t>
  </si>
  <si>
    <t>change to c/d on slide</t>
  </si>
  <si>
    <t>SH.0.R5a</t>
  </si>
  <si>
    <t>SH.0.R5b</t>
  </si>
  <si>
    <t>SH.0.R5c</t>
  </si>
  <si>
    <t>SH.0.R5d</t>
  </si>
  <si>
    <t>SH.0.R5f</t>
  </si>
  <si>
    <t>SH.0.R5g</t>
  </si>
  <si>
    <t>NL</t>
  </si>
  <si>
    <t>NL.0.R1</t>
  </si>
  <si>
    <t>NL.0.R1a</t>
  </si>
  <si>
    <t>NL.0.R1b</t>
  </si>
  <si>
    <t>NL.0.R2a</t>
  </si>
  <si>
    <t>NL.0.R2b</t>
  </si>
  <si>
    <t>NL.0.R2c</t>
  </si>
  <si>
    <t>NL.0.R2d</t>
  </si>
  <si>
    <t>NL.0.R2e</t>
  </si>
  <si>
    <t>NL.0.R2f</t>
  </si>
  <si>
    <t>NL.0.R2k</t>
  </si>
  <si>
    <t>NL.0.R2l</t>
  </si>
  <si>
    <t>NL.0.R2m</t>
  </si>
  <si>
    <t>NL.0.R2.2a</t>
  </si>
  <si>
    <t>NL.0.R2.2b</t>
  </si>
  <si>
    <t>NL.0.R2.2c</t>
  </si>
  <si>
    <t>NL.0.R2.2d</t>
  </si>
  <si>
    <t>NL.0.R2.2e</t>
  </si>
  <si>
    <t>NL.0.R2.2f</t>
  </si>
  <si>
    <t>NL.0.R2.2g</t>
  </si>
  <si>
    <t>NL.0.R2.2h</t>
  </si>
  <si>
    <t>NL.0.R2.2i</t>
  </si>
  <si>
    <t>NL.0.R3d</t>
  </si>
  <si>
    <t>NL.0.R3e</t>
  </si>
  <si>
    <t>NL.0.R3f</t>
    <phoneticPr fontId="17" type="noConversion"/>
  </si>
  <si>
    <t>ac+on</t>
    <phoneticPr fontId="17" type="noConversion"/>
  </si>
  <si>
    <t>NL.0.R3g</t>
    <phoneticPr fontId="17" type="noConversion"/>
  </si>
  <si>
    <t>NL.0.R3h</t>
    <phoneticPr fontId="17" type="noConversion"/>
  </si>
  <si>
    <t>NL.0.R3i</t>
    <phoneticPr fontId="17" type="noConversion"/>
  </si>
  <si>
    <t>NL.0.R3.1a</t>
  </si>
  <si>
    <t>NL.0.R3.1b</t>
  </si>
  <si>
    <t>NL.0.R3.1c</t>
    <phoneticPr fontId="17" type="noConversion"/>
  </si>
  <si>
    <t>NL.0.R3.1d</t>
  </si>
  <si>
    <t>NL.0.R3.1e</t>
  </si>
  <si>
    <t>NL.0.R3.1f</t>
  </si>
  <si>
    <t>NL.0.R3.2a</t>
  </si>
  <si>
    <t>NL.0.R3.2b</t>
  </si>
  <si>
    <t>NL.0.R3.2c</t>
  </si>
  <si>
    <t>NL.0.R3.2e</t>
  </si>
  <si>
    <t>NL.0.R3.2f</t>
  </si>
  <si>
    <t>NL.0.R3.3a</t>
  </si>
  <si>
    <t>NL.0.R3.3b</t>
  </si>
  <si>
    <t>NL.0.R3.3c</t>
  </si>
  <si>
    <t>NL.0.R3.3d</t>
  </si>
  <si>
    <t>NL.0.R3.3e</t>
  </si>
  <si>
    <t>NL.0.R3.3f</t>
  </si>
  <si>
    <t>NL.0.R3.4a</t>
  </si>
  <si>
    <t>NL.0.R3.4b</t>
  </si>
  <si>
    <t>NL.0.R3.4c</t>
  </si>
  <si>
    <t>NL.0.R3.4a1</t>
  </si>
  <si>
    <t>NL.0.R3.4b1</t>
  </si>
  <si>
    <t>NL.0.R3.4c1</t>
  </si>
  <si>
    <t>NL.0.R3.5a</t>
  </si>
  <si>
    <t>NL.0.R3.5b</t>
  </si>
  <si>
    <t>NL.0.R3.5c</t>
  </si>
  <si>
    <t>NL.0.R3.5d</t>
  </si>
  <si>
    <t>NL.0.R3.5e</t>
  </si>
  <si>
    <t>NL.0.R3.5f</t>
  </si>
  <si>
    <t>NL.0.R3.5g</t>
  </si>
  <si>
    <t>NL.0.R3.5h</t>
  </si>
  <si>
    <t>NL.0.R3.5i</t>
  </si>
  <si>
    <t>NL.0.R3.6a</t>
  </si>
  <si>
    <t>NL.0.R3.6b</t>
  </si>
  <si>
    <t>NL.0.R3.6c</t>
  </si>
  <si>
    <t>NL.0.R3.6d</t>
  </si>
  <si>
    <t>NL.0.R3.6e</t>
  </si>
  <si>
    <t>NL.0.R3.6f</t>
  </si>
  <si>
    <t>NL.0.R3.6g</t>
  </si>
  <si>
    <t>NL.0.R3.6h</t>
  </si>
  <si>
    <t>NL.0.R3.6I</t>
  </si>
  <si>
    <t>NL.0.R3.6J</t>
  </si>
  <si>
    <t>NL.0.R3.6k</t>
  </si>
  <si>
    <t>NL.0.R3.6l</t>
  </si>
  <si>
    <t>NL.0.R3.7a</t>
  </si>
  <si>
    <t>NL.0.R3.7b</t>
  </si>
  <si>
    <t>NL.0.R3.7c</t>
  </si>
  <si>
    <t>NL.0.R3.7d</t>
  </si>
  <si>
    <t>NL.0.R3.9a</t>
  </si>
  <si>
    <t>NL.0.R3.9b</t>
  </si>
  <si>
    <t>NL.0.R3.10</t>
  </si>
  <si>
    <t>NL.0.R3.11a</t>
  </si>
  <si>
    <t>on</t>
  </si>
  <si>
    <t>NL.0.R3.12a</t>
  </si>
  <si>
    <t>NL.0.R3.12b</t>
  </si>
  <si>
    <t>NL.0.R3.12c</t>
  </si>
  <si>
    <t>NL.0.R3.12d</t>
  </si>
  <si>
    <t>NL.0.R3.12e</t>
    <phoneticPr fontId="17" type="noConversion"/>
  </si>
  <si>
    <t>wb+on</t>
    <phoneticPr fontId="17" type="noConversion"/>
  </si>
  <si>
    <t>NL.0.R3.12f</t>
    <phoneticPr fontId="17" type="noConversion"/>
  </si>
  <si>
    <t>NL.0.R3.12g</t>
    <phoneticPr fontId="17" type="noConversion"/>
  </si>
  <si>
    <t>NL.0.R3.12h</t>
    <phoneticPr fontId="17" type="noConversion"/>
  </si>
  <si>
    <t>NL.0.R3.13a</t>
  </si>
  <si>
    <t>NL.0.R3.13b</t>
  </si>
  <si>
    <t>NL.0.R3.13c</t>
  </si>
  <si>
    <t>NL.0.R3.13d</t>
  </si>
  <si>
    <t>NL.0.R3.13e</t>
  </si>
  <si>
    <t>NL.0.R3.13f</t>
  </si>
  <si>
    <t>NL.0.R3.13g</t>
  </si>
  <si>
    <t>NL.0.R3.13h</t>
  </si>
  <si>
    <t>NL0.R3.14a</t>
  </si>
  <si>
    <t>NL0.R3.14b</t>
  </si>
  <si>
    <t>NL0.R3.14c</t>
  </si>
  <si>
    <t>NL0.R3.14d</t>
  </si>
  <si>
    <t>NL0.R3.14e</t>
  </si>
  <si>
    <t>NL.0.R3.14f</t>
  </si>
  <si>
    <t>NL.0.R3.14g</t>
  </si>
  <si>
    <t>NL.0.R3.14h</t>
  </si>
  <si>
    <t>NL.0.R3.14i</t>
  </si>
  <si>
    <t>NL.0.R3.14j</t>
  </si>
  <si>
    <t>NL0.R3.14k</t>
  </si>
  <si>
    <t>wR+on</t>
  </si>
  <si>
    <t>NL0.R3.14l</t>
  </si>
  <si>
    <t>NL0.R3.14m</t>
  </si>
  <si>
    <t>NL0.R3.14n</t>
  </si>
  <si>
    <t>NL.0.J3.10</t>
  </si>
  <si>
    <t>NL.0.J3.10a</t>
  </si>
  <si>
    <t>NL.0.G2a</t>
  </si>
  <si>
    <t>NL.0.G2b</t>
  </si>
  <si>
    <t>NL.0.G2c</t>
  </si>
  <si>
    <t>NL.0.G3.1</t>
  </si>
  <si>
    <t>NL.0.G3.1a</t>
  </si>
  <si>
    <t>Nl.0.G3.8a</t>
  </si>
  <si>
    <t>Nl.0.G3.8b</t>
  </si>
  <si>
    <t>NL.0.GR3.8a</t>
  </si>
  <si>
    <t>WB+Overnight</t>
  </si>
  <si>
    <t>NL.0.GR3.8b</t>
  </si>
  <si>
    <t>NL/GR3.9</t>
  </si>
  <si>
    <t>AL.0.R.1a</t>
  </si>
  <si>
    <t>AL.0.R.1b</t>
  </si>
  <si>
    <t>AL.0.G.5.0</t>
  </si>
  <si>
    <t>AL.0.G.5.0a</t>
  </si>
  <si>
    <t>AL.0.G.5.0b</t>
  </si>
  <si>
    <t>AL.0.G.5.0c</t>
  </si>
  <si>
    <t>AL.0.G.5.0d</t>
  </si>
  <si>
    <t>AL.0.G.5.0e</t>
  </si>
  <si>
    <t>AL.0.G.5.0f</t>
  </si>
  <si>
    <t>AL.0.G.5.1</t>
  </si>
  <si>
    <t>AL.0.G.5.1a</t>
  </si>
  <si>
    <t>AL.0.G.5.1b</t>
  </si>
  <si>
    <t>AL.0.G.5.1c</t>
  </si>
  <si>
    <t>AL.0.G.5.1d</t>
  </si>
  <si>
    <t>Notes:</t>
  </si>
  <si>
    <t>plants per plot typically three.</t>
  </si>
  <si>
    <t>Th.0.R2</t>
  </si>
  <si>
    <t>to do</t>
  </si>
  <si>
    <t>June 20, 2019</t>
  </si>
  <si>
    <t>Time</t>
  </si>
  <si>
    <t>Time 1</t>
  </si>
  <si>
    <t xml:space="preserve">Soils (NRM)  </t>
  </si>
  <si>
    <t>Root fungus ID and colonization</t>
  </si>
  <si>
    <t>roots/plant</t>
  </si>
  <si>
    <t>avg root length (mm)</t>
  </si>
  <si>
    <t>avg plant length (cm)</t>
  </si>
  <si>
    <t>avg roots/cm</t>
  </si>
  <si>
    <t>% without RH</t>
  </si>
  <si>
    <t>Plant tissue (Pop gen.)</t>
  </si>
  <si>
    <t>Precipitation</t>
  </si>
  <si>
    <t>Health (started T1)</t>
  </si>
  <si>
    <t>Associates DAFOR (T1)</t>
  </si>
  <si>
    <t>Strobili %</t>
  </si>
  <si>
    <t>Spore recruitment</t>
  </si>
  <si>
    <t>OM (tests)</t>
  </si>
  <si>
    <t># mol.</t>
  </si>
  <si>
    <t># plants exam</t>
  </si>
  <si>
    <r>
      <t xml:space="preserve">% plants </t>
    </r>
    <r>
      <rPr>
        <sz val="12"/>
        <color theme="1"/>
        <rFont val="Calibri"/>
        <family val="2"/>
        <charset val="129"/>
        <scheme val="minor"/>
      </rPr>
      <t xml:space="preserve">col </t>
    </r>
    <r>
      <rPr>
        <sz val="12"/>
        <color theme="1"/>
        <rFont val="Calibri"/>
        <family val="2"/>
        <charset val="129"/>
        <scheme val="minor"/>
      </rPr>
      <t>Muc-like</t>
    </r>
  </si>
  <si>
    <t>Freq. roots col. per plant (wtd avg.)</t>
  </si>
  <si>
    <t># roots exam</t>
  </si>
  <si>
    <r>
      <t xml:space="preserve">% </t>
    </r>
    <r>
      <rPr>
        <sz val="12"/>
        <color theme="1"/>
        <rFont val="Calibri"/>
        <family val="2"/>
        <charset val="129"/>
        <scheme val="minor"/>
      </rPr>
      <t xml:space="preserve">roots </t>
    </r>
    <r>
      <rPr>
        <sz val="12"/>
        <color theme="1"/>
        <rFont val="Calibri"/>
        <family val="2"/>
        <charset val="129"/>
        <scheme val="minor"/>
      </rPr>
      <t xml:space="preserve">colonised </t>
    </r>
    <r>
      <rPr>
        <sz val="12"/>
        <color theme="1"/>
        <rFont val="Calibri"/>
        <family val="2"/>
        <charset val="129"/>
        <scheme val="minor"/>
      </rPr>
      <t>Muc-like</t>
    </r>
  </si>
  <si>
    <r>
      <t xml:space="preserve">% </t>
    </r>
    <r>
      <rPr>
        <sz val="12"/>
        <color theme="1"/>
        <rFont val="Calibri"/>
        <family val="2"/>
        <charset val="129"/>
        <scheme val="minor"/>
      </rPr>
      <t>roots colonised GLOM-like</t>
    </r>
  </si>
  <si>
    <t>wt (G)</t>
  </si>
  <si>
    <t># samples/ID</t>
  </si>
  <si>
    <t>(mm/y)</t>
  </si>
  <si>
    <t>Hansatech</t>
  </si>
  <si>
    <t>pH, available macro, conductivity</t>
  </si>
  <si>
    <t>T0</t>
  </si>
  <si>
    <t>DONE T1</t>
  </si>
  <si>
    <t>Y</t>
  </si>
  <si>
    <t>1, 2, pH, C&amp;N&amp;P available, conductivity</t>
  </si>
  <si>
    <t>10/ST.0 1-10</t>
  </si>
  <si>
    <t>N</t>
  </si>
  <si>
    <t>10/PL.0 1-10</t>
  </si>
  <si>
    <t>5/CE.0 1-5</t>
  </si>
  <si>
    <t>Munday Estate (path)</t>
  </si>
  <si>
    <t>a few on one subplot</t>
  </si>
  <si>
    <t>yes</t>
  </si>
  <si>
    <r>
      <t>S. Heide</t>
    </r>
    <r>
      <rPr>
        <sz val="12"/>
        <color theme="1"/>
        <rFont val="Calibri"/>
        <family val="2"/>
        <charset val="129"/>
        <scheme val="minor"/>
      </rPr>
      <t xml:space="preserve"> A</t>
    </r>
  </si>
  <si>
    <t>S. Heide B</t>
  </si>
  <si>
    <t>To date (14/3/20)</t>
  </si>
  <si>
    <t>Time 0</t>
  </si>
  <si>
    <t>Soils (FR)</t>
  </si>
  <si>
    <r>
      <t>Precipitation</t>
    </r>
    <r>
      <rPr>
        <sz val="12"/>
        <color theme="1"/>
        <rFont val="Calibri"/>
        <family val="2"/>
        <charset val="129"/>
        <scheme val="minor"/>
      </rPr>
      <t xml:space="preserve"> 2018</t>
    </r>
  </si>
  <si>
    <t># OM *</t>
  </si>
  <si>
    <r>
      <t>Min</t>
    </r>
    <r>
      <rPr>
        <sz val="12"/>
        <color theme="1"/>
        <rFont val="Calibri"/>
        <family val="2"/>
        <charset val="129"/>
        <scheme val="minor"/>
      </rPr>
      <t>eral</t>
    </r>
  </si>
  <si>
    <r>
      <t>B</t>
    </r>
    <r>
      <rPr>
        <sz val="12"/>
        <color theme="1"/>
        <rFont val="Calibri"/>
        <family val="2"/>
        <charset val="129"/>
        <scheme val="minor"/>
      </rPr>
      <t xml:space="preserve">ulk </t>
    </r>
    <r>
      <rPr>
        <sz val="12"/>
        <color theme="1"/>
        <rFont val="Calibri"/>
        <family val="2"/>
        <charset val="129"/>
        <scheme val="minor"/>
      </rPr>
      <t>D</t>
    </r>
    <r>
      <rPr>
        <sz val="12"/>
        <color theme="1"/>
        <rFont val="Calibri"/>
        <family val="2"/>
        <charset val="129"/>
        <scheme val="minor"/>
      </rPr>
      <t>ensity</t>
    </r>
  </si>
  <si>
    <t>%  FRE</t>
  </si>
  <si>
    <t># plants</t>
  </si>
  <si>
    <r>
      <t xml:space="preserve">% colonised </t>
    </r>
    <r>
      <rPr>
        <sz val="12"/>
        <color theme="1"/>
        <rFont val="Calibri"/>
        <family val="2"/>
        <charset val="129"/>
        <scheme val="minor"/>
      </rPr>
      <t>Muc-like</t>
    </r>
  </si>
  <si>
    <t>correlates to OM</t>
  </si>
  <si>
    <t>tbd</t>
  </si>
  <si>
    <t>with Netty</t>
  </si>
  <si>
    <t>0.53g</t>
  </si>
  <si>
    <t>1.03 g</t>
  </si>
  <si>
    <t>10/ST 1-10</t>
  </si>
  <si>
    <t>0.91g</t>
  </si>
  <si>
    <t>10/PL 1-10</t>
  </si>
  <si>
    <t>&gt; 0.6 g</t>
  </si>
  <si>
    <t>5/CE 1-5</t>
  </si>
  <si>
    <t>0.35 g</t>
  </si>
  <si>
    <t>0.28 g</t>
  </si>
  <si>
    <t>0.22 g</t>
  </si>
  <si>
    <t>0.3 g</t>
  </si>
  <si>
    <t>0.78 g</t>
  </si>
  <si>
    <t>too few plants to collect</t>
  </si>
  <si>
    <t>Total % roots colonised</t>
  </si>
  <si>
    <t>na</t>
  </si>
  <si>
    <t>Autumn 2019 (T1 Results)</t>
  </si>
  <si>
    <r>
      <rPr>
        <i/>
        <sz val="14"/>
        <rFont val="Calibri"/>
        <family val="2"/>
        <scheme val="minor"/>
      </rPr>
      <t>Lycopodiella inundata</t>
    </r>
    <r>
      <rPr>
        <sz val="14"/>
        <rFont val="Calibri"/>
        <family val="2"/>
        <scheme val="minor"/>
      </rPr>
      <t xml:space="preserve"> root colonization analysis</t>
    </r>
  </si>
  <si>
    <t>Photo Y(done) / TD(to do)</t>
  </si>
  <si>
    <r>
      <t>% FRE</t>
    </r>
    <r>
      <rPr>
        <b/>
        <sz val="8"/>
        <color theme="1"/>
        <rFont val="Calibri"/>
        <family val="2"/>
        <scheme val="minor"/>
      </rPr>
      <t xml:space="preserve"> in plants P(1)/A(0)</t>
    </r>
  </si>
  <si>
    <r>
      <rPr>
        <sz val="8"/>
        <color theme="1"/>
        <rFont val="Calibri"/>
        <family val="2"/>
        <scheme val="minor"/>
      </rPr>
      <t>FRE</t>
    </r>
    <r>
      <rPr>
        <b/>
        <sz val="8"/>
        <color theme="1"/>
        <rFont val="Calibri"/>
        <family val="2"/>
        <scheme val="minor"/>
      </rPr>
      <t xml:space="preserve"> in plants P(1)/A(0)</t>
    </r>
  </si>
  <si>
    <r>
      <t xml:space="preserve"># </t>
    </r>
    <r>
      <rPr>
        <sz val="8"/>
        <color theme="1"/>
        <rFont val="Calibri"/>
        <family val="2"/>
        <scheme val="minor"/>
      </rPr>
      <t>roots evaluated</t>
    </r>
  </si>
  <si>
    <t>% roots FRE colonized</t>
  </si>
  <si>
    <t>FRE P(1)/A(0)</t>
  </si>
  <si>
    <t>% roots col per plant</t>
  </si>
  <si>
    <t>Mean</t>
  </si>
  <si>
    <r>
      <rPr>
        <b/>
        <sz val="8"/>
        <color theme="1"/>
        <rFont val="Calibri"/>
        <family val="2"/>
        <scheme val="minor"/>
      </rPr>
      <t>HAIR</t>
    </r>
    <r>
      <rPr>
        <sz val="8"/>
        <color theme="1"/>
        <rFont val="Calibri"/>
        <family val="2"/>
        <scheme val="minor"/>
      </rPr>
      <t xml:space="preserve"> CELLS Vesicles, Arbuscules, Hyphae</t>
    </r>
  </si>
  <si>
    <t>GLOM P(1)/A(0)</t>
  </si>
  <si>
    <t>PL.1.1.L.1.1a</t>
  </si>
  <si>
    <t>PL.1.1.L.1.1b</t>
  </si>
  <si>
    <t>TD</t>
  </si>
  <si>
    <t>PL.1.1.L.1.1c</t>
  </si>
  <si>
    <t>PL.1.1.L.2.1a</t>
  </si>
  <si>
    <t>PL.1.1.L.2.1b</t>
  </si>
  <si>
    <t>PL.1.1.L.2.1c</t>
  </si>
  <si>
    <t>root cap col.</t>
  </si>
  <si>
    <t>PL.1.1.L.2.2a</t>
  </si>
  <si>
    <t>PL.1.1.L.2.2b</t>
  </si>
  <si>
    <t>PL.1.1.L.3.1a</t>
  </si>
  <si>
    <t>PL.1.1.L.3.1b</t>
  </si>
  <si>
    <t>PL.1.1.L.3.1c</t>
  </si>
  <si>
    <t>PL.1.1.L.3.2a</t>
  </si>
  <si>
    <t>PL.1.1.L.3.2c</t>
  </si>
  <si>
    <t>PL.1.1.L.3.2d</t>
  </si>
  <si>
    <t>PL.1.2.L.7.1a</t>
  </si>
  <si>
    <t>PL.1.2.L.8.1a</t>
  </si>
  <si>
    <t>PL.1.2.L.8.1b</t>
  </si>
  <si>
    <t>PL.1.2.L.9.2a</t>
  </si>
  <si>
    <t>PL.1.2.L.9.2b</t>
  </si>
  <si>
    <t>PL.1.2.L.9.2c</t>
  </si>
  <si>
    <t>PL.1.3.L.1.2a</t>
  </si>
  <si>
    <t>PL.1.3.L.1.2b</t>
  </si>
  <si>
    <t>in tip</t>
  </si>
  <si>
    <t>PL.1.3.L.1.2c</t>
  </si>
  <si>
    <t>PL.1.3.L.2.1a</t>
  </si>
  <si>
    <t>PL.1.3.L.2.1b</t>
  </si>
  <si>
    <t>PL.1.3.L.2.1c</t>
  </si>
  <si>
    <t>PL.1.3.L.2.1d</t>
  </si>
  <si>
    <t>PL.1.3.L.2.3a</t>
  </si>
  <si>
    <t>PL.1.3.L.2.3b</t>
  </si>
  <si>
    <t>PL.1.3.L.3.1a</t>
  </si>
  <si>
    <t>PL.1.3.L.3.1b</t>
  </si>
  <si>
    <t>PL.1.3.L.3.2a</t>
  </si>
  <si>
    <t>PL.1.3.L.3.2b</t>
  </si>
  <si>
    <t>PL.1.3.L.3.2c</t>
  </si>
  <si>
    <t>RH entry</t>
  </si>
  <si>
    <t>PL.1.3.L.4.1a</t>
  </si>
  <si>
    <t>PL.1.3.L.4.1b</t>
  </si>
  <si>
    <t>PL.1.3.L.4.2a</t>
  </si>
  <si>
    <t>PL.1.3.L.4.2b</t>
  </si>
  <si>
    <t>PL.1.3.L.4.2c</t>
  </si>
  <si>
    <t>PL.1.3.L.5.1a</t>
  </si>
  <si>
    <t>PL.1.3.L.5.1b</t>
  </si>
  <si>
    <t>PL.1.3.L.5.1c</t>
  </si>
  <si>
    <t>PL.1.3.L.5.2a</t>
  </si>
  <si>
    <t>PL.1.3.L.5.2b</t>
  </si>
  <si>
    <t>PL.1.3.L.6.1a</t>
  </si>
  <si>
    <t>PL.1.3.L.6.1b</t>
  </si>
  <si>
    <t>PL.1.3.L.6.1c</t>
  </si>
  <si>
    <t>ST.1.1.L.1.1a</t>
  </si>
  <si>
    <t>ST.1.1.L.1.1b</t>
  </si>
  <si>
    <t>ST.1.1.L.1.1c</t>
  </si>
  <si>
    <t>ST.1.1.L.1.2a</t>
  </si>
  <si>
    <t>ST.1.1.L.1.2b</t>
  </si>
  <si>
    <t>ST.1.1.L.1.2c</t>
  </si>
  <si>
    <t>ST.1.1 L 2.4a</t>
  </si>
  <si>
    <t>ST.1.1 L 2.4b</t>
  </si>
  <si>
    <t>ST.1.1 L 2.4c</t>
  </si>
  <si>
    <t>ST.1.1 L 2.5a</t>
  </si>
  <si>
    <t>ST.1.1 L 2.5d</t>
  </si>
  <si>
    <t>ST.1.1 L 3.4c</t>
  </si>
  <si>
    <t>ST.1.1 L 3.4d</t>
  </si>
  <si>
    <t>ST.1.2 L 2.4a</t>
  </si>
  <si>
    <t>ST.1.2 L 2.4b</t>
  </si>
  <si>
    <t>ST.1.2 L 2.4c</t>
  </si>
  <si>
    <t>ST.1.2 L 3.1a</t>
  </si>
  <si>
    <t>ST.1.2 L 3.1b</t>
  </si>
  <si>
    <t>ST.1.2 L 3.1c</t>
  </si>
  <si>
    <t>ST.1.2 L 3.2a</t>
  </si>
  <si>
    <t>ST.1.2 L 3.2b</t>
  </si>
  <si>
    <t>ST.1.2 L 3.2c</t>
  </si>
  <si>
    <t>ST.1.2 L 4.3a</t>
  </si>
  <si>
    <t>ST.1.2 L 4.3b</t>
  </si>
  <si>
    <t>ST.1.2 L 4.3c</t>
  </si>
  <si>
    <t>ST.1.2 L 5.1a</t>
  </si>
  <si>
    <t>ST.1.2 L 5.1b</t>
  </si>
  <si>
    <t>ST.1.2 L 5.1c</t>
  </si>
  <si>
    <t>ST.1.2 L 6.2a</t>
  </si>
  <si>
    <t>ST.1.2 L 6.2b</t>
  </si>
  <si>
    <t>ST.1.2 L 6.2c</t>
  </si>
  <si>
    <t>ST.1.2 L 6.3a</t>
  </si>
  <si>
    <t>ST.1.2 L 6.3b</t>
  </si>
  <si>
    <t>ST.1.2 L 6.3c</t>
  </si>
  <si>
    <t>ST.1.3 L 1.1a</t>
  </si>
  <si>
    <t>ST.1.3 L 1.1b</t>
  </si>
  <si>
    <t>ST.1.3 L 1.1c</t>
  </si>
  <si>
    <t>ST.1.3 L 1.2a</t>
  </si>
  <si>
    <t>ST.1.3 L 1.2b</t>
  </si>
  <si>
    <t>ST.1.3 L 1.2c</t>
  </si>
  <si>
    <t>ST.1.3 L 1.3a</t>
  </si>
  <si>
    <t>ST.1.3 L 4.2a</t>
  </si>
  <si>
    <t>ST.1.3 L 4.2b</t>
  </si>
  <si>
    <t>TH.1.1 L 1.1a</t>
  </si>
  <si>
    <t>TH.1.1 L 1.1b</t>
  </si>
  <si>
    <t>TH.1.1 L 1.1c</t>
  </si>
  <si>
    <t>TH.1.1 L 1.2a</t>
  </si>
  <si>
    <t>TH.1.1 L 1.2b</t>
  </si>
  <si>
    <t>TH.1.1 L 1.2c</t>
  </si>
  <si>
    <t>TH.1.1 L 1.2d</t>
  </si>
  <si>
    <t>TH.1.1 L 1.3a</t>
  </si>
  <si>
    <t xml:space="preserve">Y </t>
  </si>
  <si>
    <t>TH.1.1 L 1.3b</t>
  </si>
  <si>
    <t>TH.1.1 L 1.4a</t>
  </si>
  <si>
    <t>TH.1.1 L 1.4b</t>
  </si>
  <si>
    <t>TH.1.1 L 1.4c</t>
  </si>
  <si>
    <t>TH.1.1 L 1.5a</t>
  </si>
  <si>
    <t>*5% KOH</t>
  </si>
  <si>
    <t>TH.1.1 L 1.5b</t>
  </si>
  <si>
    <t>TH.1.1 L 1.5c</t>
  </si>
  <si>
    <t>TH.1.1 L 2.4</t>
  </si>
  <si>
    <t>dest ON</t>
  </si>
  <si>
    <t>TH.1.1 L 2.5</t>
  </si>
  <si>
    <t>TH.1.2 L 1.1a</t>
  </si>
  <si>
    <t>TH.1.2 L 1.1b</t>
  </si>
  <si>
    <t>TH.1.2 L 1.1c</t>
  </si>
  <si>
    <t>TH.1.2 L 1.2a</t>
  </si>
  <si>
    <t>TH.1.2 L 1.2b</t>
  </si>
  <si>
    <t>TH.1.2 L 1.2c</t>
  </si>
  <si>
    <t>TH.1.2 L 1.4a</t>
  </si>
  <si>
    <t>TH.1.2 L 1.4b</t>
  </si>
  <si>
    <t>noisy</t>
  </si>
  <si>
    <t>TH.1.2 L 1.4c</t>
  </si>
  <si>
    <t>TH.1.2 L 1.5</t>
  </si>
  <si>
    <t>HCLON; 2 covers</t>
  </si>
  <si>
    <t>TH.1.2 L 6.3a</t>
  </si>
  <si>
    <t>TH.1.2 L 6.3b</t>
  </si>
  <si>
    <t>TH.1.2 L 6.3c</t>
  </si>
  <si>
    <t>TH.1.2 L 6.4a</t>
  </si>
  <si>
    <t>TH.1.2 L 6.4b</t>
  </si>
  <si>
    <t>TH.1.2 L 6.4c</t>
  </si>
  <si>
    <t>TH.1.3 L 1.1a</t>
  </si>
  <si>
    <t>TH.1.3 L 1.1b</t>
  </si>
  <si>
    <t>TH.1.3 L 1.1c</t>
  </si>
  <si>
    <t>TH.1.3 L 1.2a</t>
  </si>
  <si>
    <t>TH.1.3 L 1.2b</t>
  </si>
  <si>
    <t>TH.1.3 L 1.2c</t>
  </si>
  <si>
    <t>TH.1.3 L 3.4a</t>
  </si>
  <si>
    <t>TH.1.3 L 3.4b</t>
  </si>
  <si>
    <t>TH.1.3 L 3.4c</t>
  </si>
  <si>
    <t>TH.1.3 L 6.3</t>
  </si>
  <si>
    <t>TH.1.3 L 6.4a</t>
  </si>
  <si>
    <t>TH.1.3 L 6.4b</t>
  </si>
  <si>
    <t>TH.1.3 L 6.4c</t>
  </si>
  <si>
    <t>HB.1.1.L.1.1_a</t>
  </si>
  <si>
    <t>HB.1.1.L.1.1_b</t>
  </si>
  <si>
    <t>HB.1.1.L.1.1_c</t>
  </si>
  <si>
    <t>HB.1.1.L.1.2_a</t>
  </si>
  <si>
    <t>HB.1.1.L.1.2_b</t>
  </si>
  <si>
    <t>HB.1.1.L.1.2_c</t>
  </si>
  <si>
    <t>HB.1.1.L.1.3_a</t>
  </si>
  <si>
    <t>HB.1.1.L.1.3_b</t>
  </si>
  <si>
    <t>HB.1.1.L.2.1_a</t>
  </si>
  <si>
    <t>HB.1.1.L.2.1_b</t>
  </si>
  <si>
    <t>HB.1.1.L.2.1_c</t>
  </si>
  <si>
    <t>HB.1.1.L.2.2_a</t>
  </si>
  <si>
    <t>HB.1.1.L.2.2_b</t>
  </si>
  <si>
    <t>HB.1.1.L.2.2_c</t>
  </si>
  <si>
    <t>HB.1.1.L.2.3_a</t>
  </si>
  <si>
    <t>HB.1.1.L.2.3_b</t>
  </si>
  <si>
    <t>HB.1.1.L.2.3_c</t>
  </si>
  <si>
    <t>HB.1.1.L.3.1_a</t>
  </si>
  <si>
    <t>HB.1.1.L.3.1_b</t>
  </si>
  <si>
    <t>HB.1.1.L.3.1_c</t>
  </si>
  <si>
    <t>HB.1.1.L.3.2_a</t>
  </si>
  <si>
    <t>HB.1.1.L.3.2_b</t>
  </si>
  <si>
    <t>TD RH</t>
  </si>
  <si>
    <t>HB.1.1.L.3.2_c</t>
  </si>
  <si>
    <t>HB.1.1.L.4.1_a</t>
  </si>
  <si>
    <t>HB.1.1.L.4.1_b</t>
  </si>
  <si>
    <t>HB.1.1.L.4.1_c</t>
  </si>
  <si>
    <t>HB.1.1.L.4.2_a</t>
  </si>
  <si>
    <t>HB.1.1.L.4.2_b</t>
  </si>
  <si>
    <t>HB.1.1.L.5.1_a</t>
  </si>
  <si>
    <t>HB.1.1.L.5.1_b</t>
  </si>
  <si>
    <t>HB.1.1.L.5.1_c</t>
  </si>
  <si>
    <t>HB.1.1.L.5.2_a</t>
  </si>
  <si>
    <t>HB.1.1.L.5.2_b</t>
  </si>
  <si>
    <t>HB.1.1.L.5.2_c</t>
  </si>
  <si>
    <t>HB.1.2 L.1.x.a</t>
  </si>
  <si>
    <t>HB.1.2 L.1.x.b</t>
  </si>
  <si>
    <t>HB.1.2 L.1.x.c</t>
  </si>
  <si>
    <t>HB.1.2 L.1.x.d</t>
  </si>
  <si>
    <t>HB.1.2 L.1.x.e</t>
  </si>
  <si>
    <t>HB.1.2.L.1.x.f</t>
  </si>
  <si>
    <t>HB.1.2.L.1.1_a</t>
  </si>
  <si>
    <t>HB.1.2.L.1.1_b</t>
  </si>
  <si>
    <t>HB.1.2.L.1.1_c</t>
  </si>
  <si>
    <t>HB.1.2.L.1.2_a</t>
  </si>
  <si>
    <t>HB.1.2.L.1.2_b</t>
  </si>
  <si>
    <t>HB.1.2.L.1.2_c</t>
  </si>
  <si>
    <t>HB.1.2.L.3.1_a</t>
  </si>
  <si>
    <t>HB.1.2.L.3.1_b</t>
  </si>
  <si>
    <t>HB.1.2.L.3.1_c</t>
  </si>
  <si>
    <t>HB.1.2.L.3.2_a</t>
  </si>
  <si>
    <t>HB.1.2.L.3.2_b</t>
  </si>
  <si>
    <t>HB.1.2.L.3.2_c</t>
  </si>
  <si>
    <t>HB.1.2.L.3.3_a</t>
  </si>
  <si>
    <t>HB.1.2.L.3.3_b</t>
  </si>
  <si>
    <t>HB.1.2.L.3.3_c</t>
  </si>
  <si>
    <t>HB.1.2 L 6.4a</t>
  </si>
  <si>
    <t>HB.1.2 L 6.4b</t>
  </si>
  <si>
    <t>HB.1.3.L1.1_a</t>
  </si>
  <si>
    <t>HB.1.3.L1.1_b</t>
  </si>
  <si>
    <t>HB.1.3.L1.1_c</t>
  </si>
  <si>
    <t>HB.1.3.L1.2_a</t>
  </si>
  <si>
    <t>HB.1.3.L1.2_b</t>
  </si>
  <si>
    <t>HB.1.3.L1.2_c</t>
  </si>
  <si>
    <t>HB.1.3.L1.2_d</t>
  </si>
  <si>
    <t>HB.1.3.L1.3_a</t>
  </si>
  <si>
    <t>HB.1.3.L1.3_b</t>
  </si>
  <si>
    <t>HB.1.3.L1.3_c</t>
  </si>
  <si>
    <t>HB.1.3.L.3.5_b</t>
  </si>
  <si>
    <t>HB.1.3.L.3.5_d</t>
  </si>
  <si>
    <t>HB.1.3.L.3.5_c</t>
  </si>
  <si>
    <t>HB.1.3 L 3.7a</t>
  </si>
  <si>
    <t>HB.1.3 L 3.7d</t>
  </si>
  <si>
    <t>HB.1.3 L 5.4a</t>
  </si>
  <si>
    <t>HB.1.3 L 5.4b</t>
  </si>
  <si>
    <t>MP.1.L.1.1a</t>
  </si>
  <si>
    <t>MP.1.L.1.1b</t>
  </si>
  <si>
    <t>MP.1.L.1.1c</t>
  </si>
  <si>
    <t>MP.1.L.2.1a</t>
  </si>
  <si>
    <t>MP.1.L.2.1b</t>
  </si>
  <si>
    <t>MP.1.L.2.1c</t>
  </si>
  <si>
    <t>MP.1.L.2.2a</t>
  </si>
  <si>
    <t>MP.1.L.2.2b</t>
  </si>
  <si>
    <t>MP.1.L.2.2c</t>
  </si>
  <si>
    <t>MP.1.L.3.1a</t>
  </si>
  <si>
    <t>MP.1.L.3.1b</t>
  </si>
  <si>
    <t>MP.1.L.3.1c</t>
  </si>
  <si>
    <t>MP.1.L.3.2a</t>
  </si>
  <si>
    <t>MP.1.L.3.2b</t>
  </si>
  <si>
    <t>MP.1.L.3.2c</t>
  </si>
  <si>
    <t>MP.1 L 4.1a</t>
  </si>
  <si>
    <t>MP.1 L 4.1b</t>
  </si>
  <si>
    <t>MP.1 L 4.1c</t>
  </si>
  <si>
    <t>MP.1 L 5.1a</t>
  </si>
  <si>
    <t>MP.1 L 5.1b</t>
  </si>
  <si>
    <t>MP.1 L 5.1c</t>
  </si>
  <si>
    <t>MP.1 L 5.2a</t>
  </si>
  <si>
    <t>MP.1 L 5.2b</t>
  </si>
  <si>
    <t>MP.1 L 6.1a</t>
  </si>
  <si>
    <t>MP.1 L 6.1b</t>
  </si>
  <si>
    <t>MP.1 L 6.1c</t>
  </si>
  <si>
    <t>MP.1 L 6.1d</t>
  </si>
  <si>
    <t>MP.1 L 7.1a</t>
  </si>
  <si>
    <t>MP.1 L 7.1b</t>
  </si>
  <si>
    <t>MP.1 L 7.1c</t>
  </si>
  <si>
    <t>MP.1 L 7.1d</t>
  </si>
  <si>
    <t>MP.1 L 8.1</t>
  </si>
  <si>
    <t>MP.1 L 8.1a</t>
  </si>
  <si>
    <t>MP.1 L 8.1b</t>
  </si>
  <si>
    <t>MP.1 L 8.1c</t>
  </si>
  <si>
    <t>MP.1 L 9.1a</t>
  </si>
  <si>
    <t>MP.1 L 9.1b</t>
  </si>
  <si>
    <t>MP.1 L 9.1c</t>
  </si>
  <si>
    <t>MP.1 L 10.1a</t>
  </si>
  <si>
    <t>MP.1 L 10.1b</t>
  </si>
  <si>
    <t>MP.1 L 10.1c</t>
  </si>
  <si>
    <t>MP.1 L 10.1d</t>
  </si>
  <si>
    <t>MP.1 L 11.1a</t>
  </si>
  <si>
    <t>MP.1 L 11.1b</t>
  </si>
  <si>
    <t>MP.1 L 11.1c</t>
  </si>
  <si>
    <t>MP.1 L 11.1d</t>
  </si>
  <si>
    <t>MP.1 L 12.1a</t>
  </si>
  <si>
    <t>MP.1 L 12.1b</t>
  </si>
  <si>
    <t>MP.1 L 12.1c</t>
  </si>
  <si>
    <t>MP.1 L 13.1a</t>
  </si>
  <si>
    <t>MP.1 L 13.1b</t>
  </si>
  <si>
    <t>MP.1 L 13.1c</t>
  </si>
  <si>
    <t>MP.1 L 14.1a</t>
  </si>
  <si>
    <t>MP.1 L 14.1b</t>
  </si>
  <si>
    <t>MP.1 L 14.1c</t>
  </si>
  <si>
    <t>MP.1 L 15.1a</t>
  </si>
  <si>
    <t>MP.1 L 15.1b</t>
  </si>
  <si>
    <t>MP.1 L 15.1c</t>
  </si>
  <si>
    <t>MP.1 L 15.1d</t>
  </si>
  <si>
    <t>MP.1 L 16.1a</t>
  </si>
  <si>
    <t>MP.1 L 16.1b</t>
  </si>
  <si>
    <t>MP.1 L 17.1a</t>
  </si>
  <si>
    <t>CE.1.1.L.1.4a</t>
  </si>
  <si>
    <t>CE.1.1.L.1.4b</t>
  </si>
  <si>
    <t>CE.1.1.L.1.4c</t>
  </si>
  <si>
    <t>CE.1.1.L.1.4d</t>
  </si>
  <si>
    <t>CE.1.1.L.2a</t>
  </si>
  <si>
    <t>CE.1.1.L.2b</t>
  </si>
  <si>
    <t>CE.1.1.L.2c</t>
  </si>
  <si>
    <t>CE.1.1.L.2d</t>
  </si>
  <si>
    <t>CE.1.1.L.3a</t>
  </si>
  <si>
    <t>CE.1.1.L.3b</t>
  </si>
  <si>
    <t>CE.1.1.L.3c</t>
  </si>
  <si>
    <t>CE.1.1.L.3d</t>
  </si>
  <si>
    <t>CE.1.1.L.4.1a</t>
  </si>
  <si>
    <t>CE.1.1.L.4.1b</t>
  </si>
  <si>
    <t>CE.1.1.L.4.1c</t>
  </si>
  <si>
    <t>CE.1.1.L.4.1d</t>
  </si>
  <si>
    <t>CE.1.1.L.5a</t>
  </si>
  <si>
    <t>CE.1.1.L.5b</t>
  </si>
  <si>
    <t>CE.1.1.L.5c</t>
  </si>
  <si>
    <t>cap</t>
  </si>
  <si>
    <t>CE.1.1.L.6a</t>
  </si>
  <si>
    <t>many spores</t>
  </si>
  <si>
    <t>CE.1.1.L.6b</t>
  </si>
  <si>
    <t>CE.1.1.L.6c</t>
  </si>
  <si>
    <t>CE.1.1.L.6d</t>
  </si>
  <si>
    <t>CE.1.2.L.1.1a</t>
  </si>
  <si>
    <t>CE.1.2.L.1.1b</t>
  </si>
  <si>
    <t>CE.1.2.L.1.1c</t>
  </si>
  <si>
    <t>CE.1.2.L.2.1a</t>
  </si>
  <si>
    <t>CE.1.2.L.2.1b</t>
  </si>
  <si>
    <t>CE.1.2.L.2.1c</t>
  </si>
  <si>
    <t>CE.1.2.L.2.2a</t>
  </si>
  <si>
    <t>CE.1.2.L.2.2b</t>
  </si>
  <si>
    <t>CE.1.2.L.3.1a</t>
  </si>
  <si>
    <t>v</t>
  </si>
  <si>
    <t>CE.1.2.L.3.1b</t>
  </si>
  <si>
    <t>CE.1.2.L.3.1c</t>
  </si>
  <si>
    <t>CE.1.2.L.3.2a</t>
  </si>
  <si>
    <t>CE.1.2.L.3.2b</t>
  </si>
  <si>
    <t>CE.1.2.L.4a</t>
  </si>
  <si>
    <t>CE.1.2.L.4b</t>
  </si>
  <si>
    <t>CE.1.2.L.4c</t>
  </si>
  <si>
    <t>CE.1.2.L.5.1a</t>
  </si>
  <si>
    <t>CE.1.2.L.5.1b</t>
  </si>
  <si>
    <t>CE.1.2.L.5.1c</t>
  </si>
  <si>
    <t>CE.1.2.L.5.2a</t>
  </si>
  <si>
    <t>CE.1.2.L.5.2b</t>
  </si>
  <si>
    <t>CE.1.2.L.5.2c</t>
  </si>
  <si>
    <t>CE.1.2.L.6.1a</t>
  </si>
  <si>
    <t>CE.1.2.L.6.1b</t>
  </si>
  <si>
    <t>CE.1.2.L.6.1c</t>
  </si>
  <si>
    <t>CE.1.3 L .1.1a</t>
  </si>
  <si>
    <t>CE.1.3 L .1.1b</t>
  </si>
  <si>
    <t>CE.1.3 L .1.1c</t>
  </si>
  <si>
    <t>CE.1.3 L .1.1d</t>
  </si>
  <si>
    <t>CE.1.3 L .1.2a</t>
  </si>
  <si>
    <t>CE.1.3 L .1.2b</t>
  </si>
  <si>
    <t>CE.1.3 L .1.2c</t>
  </si>
  <si>
    <t>CE.1.3 L .1.2d</t>
  </si>
  <si>
    <t>CE.1.3 L .1.3a</t>
  </si>
  <si>
    <t>CE.1.3 L .1.3b</t>
  </si>
  <si>
    <t>CE.1.3 L .1.3c</t>
  </si>
  <si>
    <t>CE.1.3 L .2.1a</t>
  </si>
  <si>
    <t>CE.1.3 L .2.1b</t>
  </si>
  <si>
    <t>CE.1.3 L .2.1c</t>
  </si>
  <si>
    <t>CE.1.3 L .2.2a</t>
  </si>
  <si>
    <t>CE.1.3 L .2.2b</t>
  </si>
  <si>
    <t>CE.1.3 L .2.2c</t>
  </si>
  <si>
    <t>CE.1.3 L .2.2d</t>
  </si>
  <si>
    <t>CE.1.3 L .2.3a</t>
  </si>
  <si>
    <t>CE.1.3 L .2.3b</t>
  </si>
  <si>
    <t>CE.1.3 L .2.3c</t>
  </si>
  <si>
    <t>CE.1.3 L .3.1a</t>
  </si>
  <si>
    <t>CE.1.3 L .3.1b</t>
  </si>
  <si>
    <t>CE.1.3 L .3.1c</t>
  </si>
  <si>
    <t>CE.1.3 L .3.2a</t>
  </si>
  <si>
    <t>CE.1.3 L .3.2b</t>
  </si>
  <si>
    <t>CE.1.3 L .3.2c</t>
  </si>
  <si>
    <t>CE.1.3 L .3.3a</t>
  </si>
  <si>
    <t>CE.1.3 L .4.1a</t>
  </si>
  <si>
    <t>CE.1.3 L .4.1b</t>
  </si>
  <si>
    <t>CE.1.3 L .4.1c</t>
  </si>
  <si>
    <t>CE.1.3 L .4.1d</t>
  </si>
  <si>
    <t>CE.1.3 L .4.2a</t>
  </si>
  <si>
    <t>CE.1.3 L .4.2b</t>
  </si>
  <si>
    <t>CE.1.3 L .4.2c</t>
  </si>
  <si>
    <t>CE.1.3 L .4.3a</t>
  </si>
  <si>
    <t>CE.1.3 L .4.3b</t>
  </si>
  <si>
    <t>CE.1.3 L .4.3c</t>
  </si>
  <si>
    <t>CE.1.3 L .5.1a</t>
  </si>
  <si>
    <t>CE.1.3 L .5.1b</t>
  </si>
  <si>
    <t>CE.1.3 L .5.1c</t>
  </si>
  <si>
    <t>CE.1.3 L .5.2a</t>
  </si>
  <si>
    <t>CE.1.3 L .5.2b</t>
  </si>
  <si>
    <t>CE.1.3 L .5.2c</t>
  </si>
  <si>
    <t>CE.1.3 L .5.3a</t>
  </si>
  <si>
    <t>CE.1.3 L .5.3b</t>
  </si>
  <si>
    <t>CE.1.3 L .5.3c</t>
  </si>
  <si>
    <t>dirty</t>
  </si>
  <si>
    <t>CE.1.3 L 6.1a</t>
  </si>
  <si>
    <t>CE.1.3 L 6.1b</t>
  </si>
  <si>
    <t>CE.1.3 L 6.1c</t>
  </si>
  <si>
    <t>CE.1.3 L 6.2a</t>
  </si>
  <si>
    <t>CE.1.3 L 6.2b</t>
  </si>
  <si>
    <t>CE.1.3 L 6.2c</t>
  </si>
  <si>
    <t>CE.1.3 L 6.3</t>
  </si>
  <si>
    <t>CE.1.7 L 1.2a</t>
  </si>
  <si>
    <t>CE.1.7 L 1.2b</t>
  </si>
  <si>
    <t>AL</t>
  </si>
  <si>
    <t>Long Valley</t>
  </si>
  <si>
    <t>AL.1.1.L.1.1a</t>
  </si>
  <si>
    <t>AL.1.1.L.1.1b</t>
  </si>
  <si>
    <t>AL.1.1.L.1.1c</t>
  </si>
  <si>
    <t>AL.1.1.L.1.1d</t>
  </si>
  <si>
    <t>AL.1.1.L.1.1e</t>
  </si>
  <si>
    <t>AL.1.1.L.1.1f</t>
  </si>
  <si>
    <t>AL.1.1.L.2.1a</t>
  </si>
  <si>
    <t>AL.1.1.L.2.1b</t>
  </si>
  <si>
    <t>AL.1.1.L.2.1c</t>
  </si>
  <si>
    <t>AL.1.1.L.2.2a</t>
  </si>
  <si>
    <t>AL.1.1.L.2.2b</t>
  </si>
  <si>
    <t>AL.1.1.L.2.2c</t>
  </si>
  <si>
    <t>AL.1.1.L.2.3a</t>
  </si>
  <si>
    <t>AL.1.1.L.2.3b</t>
  </si>
  <si>
    <t>AL.1.1.L.2.3c</t>
  </si>
  <si>
    <t>AL.1.1.L.2.4e</t>
  </si>
  <si>
    <t>AL.1.1.L.2.4f</t>
  </si>
  <si>
    <t>*asco present</t>
  </si>
  <si>
    <t>AL.1.1.L.5.1h</t>
  </si>
  <si>
    <t>AL.1.1.L.5.1i</t>
  </si>
  <si>
    <t>AL.1.1.L.5.1a</t>
  </si>
  <si>
    <t>AL.1.1.L.5.1b</t>
  </si>
  <si>
    <t>AL.1.1.L.5.1c</t>
  </si>
  <si>
    <t>AL.1.1.L.5.1d</t>
  </si>
  <si>
    <t>AL.1.1.L.5.1e</t>
  </si>
  <si>
    <t>AL.1.1.L.5.1f</t>
  </si>
  <si>
    <t>MH.1.1 L.1.1a</t>
  </si>
  <si>
    <t>MH.1.1 L.1.1b</t>
  </si>
  <si>
    <t>MH.1.1 L.1.1c</t>
  </si>
  <si>
    <t>MH.1.1 L.1.2a</t>
  </si>
  <si>
    <t>MH.1.1 L.1.2b</t>
  </si>
  <si>
    <t>MH.1.1 L.1.2c</t>
  </si>
  <si>
    <t>MH.1.1 L.1.3a</t>
  </si>
  <si>
    <t>MH.1.1 L.1.3b</t>
  </si>
  <si>
    <t>MH.1.1 L.1.3c</t>
  </si>
  <si>
    <t>MH.1.1 L.1.4a</t>
  </si>
  <si>
    <t>MH.1.1 L.1.4b</t>
  </si>
  <si>
    <t>MH.1.1 L.1.4c</t>
  </si>
  <si>
    <t>MH.1.1 L.1.4d</t>
  </si>
  <si>
    <t>MH.1.1 L.1.4e</t>
  </si>
  <si>
    <t>MH.1.1 L.2.1a</t>
  </si>
  <si>
    <t>MH.1.1 L.2.1b</t>
  </si>
  <si>
    <t>MH.1.1 L.2.1c</t>
  </si>
  <si>
    <t>MH.1.1 L.2.2a</t>
  </si>
  <si>
    <t>MH.1.2.L.5.1a</t>
  </si>
  <si>
    <t>MH.1.2.L.5.1b</t>
  </si>
  <si>
    <t>MH.1.2.L.5.1c</t>
  </si>
  <si>
    <t>MH.1.2.L.5.2a</t>
  </si>
  <si>
    <t>MH.1.2.L.5.2b</t>
  </si>
  <si>
    <t>MH.1.2.L.5.2c</t>
  </si>
  <si>
    <t>MH.1.2.L.5.2d</t>
  </si>
  <si>
    <t>MH.1.5 L 6.4a</t>
  </si>
  <si>
    <t>MH.1.5 L 6.4d</t>
  </si>
  <si>
    <t>BD1 L 1.1a</t>
  </si>
  <si>
    <t>BD1 L 1.1b</t>
  </si>
  <si>
    <t>BD1 L 1.1c</t>
  </si>
  <si>
    <t>BD1 L 2.1a</t>
  </si>
  <si>
    <t>BD1 L 2.1b</t>
  </si>
  <si>
    <t>BD1 L 2.1c</t>
  </si>
  <si>
    <t>BD1.L 2.2a</t>
  </si>
  <si>
    <t>BD1.L 2.2b</t>
  </si>
  <si>
    <t>BD1.L 2.2c</t>
  </si>
  <si>
    <t>BD1.L 2.12a</t>
  </si>
  <si>
    <t>BD1.L 2.12b</t>
  </si>
  <si>
    <t>BD1.L 2.12c</t>
  </si>
  <si>
    <t>BD1.L 3.1a</t>
  </si>
  <si>
    <t>BD1.L 3.1b</t>
  </si>
  <si>
    <t>BD1.L 3.1c</t>
  </si>
  <si>
    <t>BD1.L 3.2a</t>
  </si>
  <si>
    <t>BD1.L 3.2b</t>
  </si>
  <si>
    <t>BD1.L 3.2c</t>
  </si>
  <si>
    <t>BD1.L 3.2d</t>
  </si>
  <si>
    <t>BD1.L 3.3a</t>
  </si>
  <si>
    <t>BD1.L 4.1a</t>
  </si>
  <si>
    <t>BD1.L 4.1b</t>
  </si>
  <si>
    <t>BD1.L 5.1a</t>
  </si>
  <si>
    <t>BD1.L 5.1b</t>
  </si>
  <si>
    <t>BD1.L 5.1c</t>
  </si>
  <si>
    <t>BD1.L 6.1a</t>
  </si>
  <si>
    <t>BD1.L 6.1b</t>
  </si>
  <si>
    <t>BD1.L 6.1c</t>
  </si>
  <si>
    <t>BD1.L 6.2a</t>
  </si>
  <si>
    <t>BD1.L 6.2b</t>
  </si>
  <si>
    <t>BD1.L 6.2c</t>
  </si>
  <si>
    <t>BD1.L 6.3a</t>
  </si>
  <si>
    <t>BD1.L 6.3b</t>
  </si>
  <si>
    <t>BD1.L 6.3c</t>
  </si>
  <si>
    <t>BD1.L 7.1a</t>
  </si>
  <si>
    <t>BD1.L 7.1b</t>
  </si>
  <si>
    <t>BD1.L 7.1c</t>
  </si>
  <si>
    <t>BD1.L 7.2a</t>
  </si>
  <si>
    <t>BD1.L 7.2b</t>
  </si>
  <si>
    <t>BD1.L 7.2c</t>
  </si>
  <si>
    <t>BD1.L 7.2d</t>
  </si>
  <si>
    <t>BD1.L 7.2e</t>
  </si>
  <si>
    <t>BD1.L 7.2f</t>
  </si>
  <si>
    <t>BD1.L 7.3a</t>
  </si>
  <si>
    <t>BD1.L 7.3b</t>
  </si>
  <si>
    <t>BD1.L 7.3c</t>
  </si>
  <si>
    <t>BD1.L 8.1a</t>
  </si>
  <si>
    <t>BD1.L 8.1b</t>
  </si>
  <si>
    <t>BD1.L 10.1a</t>
  </si>
  <si>
    <t>BD1.L11.a</t>
  </si>
  <si>
    <t>BD1.L11.b</t>
  </si>
  <si>
    <t>BD1.L12.a</t>
  </si>
  <si>
    <t>BD1.L12.b</t>
  </si>
  <si>
    <t>BD1.L12.c</t>
  </si>
  <si>
    <t>BD1.L13.a</t>
  </si>
  <si>
    <t>BD1.L13.b</t>
  </si>
  <si>
    <t>BD1.L13.c</t>
  </si>
  <si>
    <t>BD1.L14.a</t>
  </si>
  <si>
    <t>BD1.L14.b</t>
  </si>
  <si>
    <t>BD1.L14.c</t>
  </si>
  <si>
    <t>BD1.L15.a</t>
  </si>
  <si>
    <t>BD1.L15.b</t>
  </si>
  <si>
    <t>BD1.L15.c</t>
  </si>
  <si>
    <t>BD1.L15.d</t>
  </si>
  <si>
    <t>BD1.L16.a</t>
  </si>
  <si>
    <t>BD1.L16.b</t>
  </si>
  <si>
    <t>BD1.L17.a</t>
  </si>
  <si>
    <t>BD1.G.1.1a</t>
  </si>
  <si>
    <t>BD1.G.1.1b</t>
  </si>
  <si>
    <t>BD1.G.1.1c</t>
  </si>
  <si>
    <t>BD1.G.1.1d</t>
  </si>
  <si>
    <t>Strabechtse Heide A</t>
  </si>
  <si>
    <t>NLA1.1.L.1.1_a</t>
  </si>
  <si>
    <t>NLA1.1.L.1.1_b</t>
  </si>
  <si>
    <t>NLA1.1.L.1.1_c</t>
  </si>
  <si>
    <t>NLA1.1.L.1.2_a</t>
  </si>
  <si>
    <t>NLA1.1.L.1.2_b</t>
  </si>
  <si>
    <t>NLA1.1.L.1.2_c</t>
  </si>
  <si>
    <t>NLA1.1.L.1.3_a</t>
  </si>
  <si>
    <t>NLA1.1.L.1.3_b</t>
  </si>
  <si>
    <t>NLA1.1.L.4.4_a</t>
  </si>
  <si>
    <t>NLA1.1.L.4.4_b</t>
  </si>
  <si>
    <t>NLA1.1.L.4.4_c</t>
  </si>
  <si>
    <t>NLA1.1.L.4.4_d</t>
  </si>
  <si>
    <t>NLA1.2.L.1.1_a</t>
  </si>
  <si>
    <t>NLA1.2.L.1.1_b</t>
  </si>
  <si>
    <t>NLA1.2.L.1.2_a</t>
  </si>
  <si>
    <t>NLA1.2.L.1.2_b</t>
  </si>
  <si>
    <t>NLA1.2.L.1.2_c</t>
  </si>
  <si>
    <t>NLA1.2.L.2.1_a</t>
  </si>
  <si>
    <t>NLA1.2.L.2.1_b</t>
  </si>
  <si>
    <t>NLA1.2.L.2.1_c</t>
  </si>
  <si>
    <t>NLA1.2.L.5.4_a</t>
  </si>
  <si>
    <t>NLA1.2.L.5.4_b</t>
  </si>
  <si>
    <t>NLA1.2.L.6.3_a</t>
  </si>
  <si>
    <t>NLA1.2.L.6.3_b</t>
  </si>
  <si>
    <t>NLA1.3.L.1.1_a</t>
  </si>
  <si>
    <t>NLA1.3.L.1.1_b</t>
  </si>
  <si>
    <t>NLA1.3.L.1.1_c</t>
  </si>
  <si>
    <t>NLA1.3.L.1.3_a</t>
  </si>
  <si>
    <t>NLA1.3.L.1.3_b</t>
  </si>
  <si>
    <t>NLA1.3.L.1.3_c</t>
  </si>
  <si>
    <t>NLA1.3.L.2.1_a</t>
  </si>
  <si>
    <t>NLA1.3.L.2.1_b</t>
  </si>
  <si>
    <t>NLA1.3.L.2.1_c</t>
  </si>
  <si>
    <t>NLA1.3.L.2.4_a</t>
  </si>
  <si>
    <t>NLA1.3.L.2.4_b</t>
  </si>
  <si>
    <t>NLA1.3.L.2.4_c</t>
  </si>
  <si>
    <t>NLA1.3.L.4.2_a</t>
  </si>
  <si>
    <t>NLA1.3.L.4.2_b</t>
  </si>
  <si>
    <t>NLA1.3.L.4.2_c</t>
  </si>
  <si>
    <t>NLA1.3.L.4.3_a</t>
  </si>
  <si>
    <t>NLA1.2G1.1_a</t>
  </si>
  <si>
    <t>NLA1.2G1.1_b</t>
  </si>
  <si>
    <t>Strabechtse Heide B</t>
  </si>
  <si>
    <t>NLB1.1.L.1.2_a</t>
  </si>
  <si>
    <t>NLB1.1.L.1.2_b</t>
  </si>
  <si>
    <t>NLB1.1.L.1.2_c</t>
  </si>
  <si>
    <t>NLB1.1.L.1.3_a</t>
  </si>
  <si>
    <t>NLB1.1.L.1.3_b</t>
  </si>
  <si>
    <t>NLB1.1.L.2.1_a</t>
  </si>
  <si>
    <t>NLB1.1.L.2.1_b</t>
  </si>
  <si>
    <t>NLB1.1.L.2.1_c</t>
  </si>
  <si>
    <t>NLB1.1.L.2.2_a</t>
  </si>
  <si>
    <t>NLB1.1.L.2.2_b</t>
  </si>
  <si>
    <t>NLB1.1.L.2.2_c</t>
  </si>
  <si>
    <t>NLB1.1.L.2.3_a</t>
  </si>
  <si>
    <t>NLB1.1.L.2.3_b</t>
  </si>
  <si>
    <t>NLB1.1.L.3.1_a</t>
  </si>
  <si>
    <t>NLB1.1.L.3.1_b</t>
  </si>
  <si>
    <t>NLB1.1.L.6.1_a</t>
  </si>
  <si>
    <t>NLB1.1.L.6.1_b</t>
  </si>
  <si>
    <t>NLB1.2.L.1.1_a</t>
  </si>
  <si>
    <t>NLB1.2.L.1.1_b</t>
  </si>
  <si>
    <t>NLB1.2.L.1.1_c</t>
  </si>
  <si>
    <t>NLB1.2.L.1.2_a</t>
  </si>
  <si>
    <t>NLB1.2.L.1.2_b</t>
  </si>
  <si>
    <t>NLB1.2.L.1.2_c</t>
  </si>
  <si>
    <t>NLB1.2.L.5.1_a</t>
  </si>
  <si>
    <t>NLB1.2.L.5.1_b</t>
  </si>
  <si>
    <t>NLB1.2.L.5.1_c</t>
  </si>
  <si>
    <t>NLB1.2.L.5.1_d</t>
  </si>
  <si>
    <t>NLB1.2.L.5.2_b</t>
  </si>
  <si>
    <t>NLB1.2.L.5.2_c</t>
  </si>
  <si>
    <t>NLB1.2.L.5.2_a</t>
  </si>
  <si>
    <t>NLB1.3.L.4.3_a</t>
  </si>
  <si>
    <t>NLB1.3.L.4.3_b</t>
  </si>
  <si>
    <t>NLB1.3.L.6.2_a</t>
  </si>
  <si>
    <t>NLB1.3.L.6.2_b</t>
  </si>
  <si>
    <t>NLB1.3.L.6.2_c</t>
  </si>
  <si>
    <t>SH.1.1.L.1.1_a</t>
  </si>
  <si>
    <t>SH.1.1.L.1.1_b</t>
  </si>
  <si>
    <t>SH.1.1.L.1.1_c</t>
  </si>
  <si>
    <t>SH.1.1.L.1.2_a</t>
  </si>
  <si>
    <t>SH.1.1.L.1.2_b</t>
  </si>
  <si>
    <t>SH.1.1.L.1.2_c</t>
  </si>
  <si>
    <t>SH.1.1.L.1.3_a</t>
  </si>
  <si>
    <t>SH.1.1.L.1.3_b</t>
  </si>
  <si>
    <t>SH.1.1.L.1.3_c</t>
  </si>
  <si>
    <t>SH.1.1.L.2.1_a</t>
  </si>
  <si>
    <t>SH.1.1.L.2.1_b</t>
  </si>
  <si>
    <t>SH.1.1.L.2.1_c</t>
  </si>
  <si>
    <t>SH.1.1.L.2.2_a</t>
  </si>
  <si>
    <t>SH.1.1.L.2.2_b</t>
  </si>
  <si>
    <t>SH.1.1.L.2.2_c</t>
  </si>
  <si>
    <t>SH.1.1.L.4.1_a</t>
  </si>
  <si>
    <t>SH.1.1.L.4.1_b</t>
  </si>
  <si>
    <t>SH.1.1.L.4.1_c</t>
  </si>
  <si>
    <t>SH.1.1.L.7.1_a</t>
  </si>
  <si>
    <t>SH.1.1.L.7.1_b</t>
  </si>
  <si>
    <t>SH.1.1.L.7.1_c</t>
  </si>
  <si>
    <t>SH.1.2.L.1.1_a</t>
  </si>
  <si>
    <t>SH.1.2.L.1.1_b</t>
  </si>
  <si>
    <t>SH.1.2.L.1.1_c</t>
  </si>
  <si>
    <t>SH.1.2.L.1.2_a</t>
  </si>
  <si>
    <t>SH.1.2.L.1.2_b</t>
  </si>
  <si>
    <t>SH.1.2.L.2.1_a</t>
  </si>
  <si>
    <t>SH.1.2.L.2.1_b</t>
  </si>
  <si>
    <t>SH.1.2.L.2.1_c</t>
  </si>
  <si>
    <t>SH.1.2.L.2.2_a</t>
  </si>
  <si>
    <t>SH.1.2.L.2.2_b</t>
  </si>
  <si>
    <t>SH.1.2.L.2.2_c</t>
  </si>
  <si>
    <t>SH.1.2.L.2.2_d</t>
  </si>
  <si>
    <t>SH.1.2.L.4.2_a</t>
  </si>
  <si>
    <t>SH.1.2.L.4.2_b</t>
  </si>
  <si>
    <t>SH.1.2.L.4.2_c</t>
  </si>
  <si>
    <t>SH.1.2.L.5.2_a</t>
  </si>
  <si>
    <t>SH.1.2.L.5.2_b</t>
  </si>
  <si>
    <t>SH.1.2.L.5.2_c</t>
  </si>
  <si>
    <t>SH.1.3.L.1.1_a</t>
  </si>
  <si>
    <t>SH.1.3.L.1.1_b</t>
  </si>
  <si>
    <t>SH.1.3.L.1.1_c</t>
  </si>
  <si>
    <t>SH.1.3.L.1.2_a</t>
  </si>
  <si>
    <t>SH.1.3.L.1.2_b</t>
  </si>
  <si>
    <t>SH.1.3.L.1.2_c</t>
  </si>
  <si>
    <t>SH.1.3.L.1.2_d</t>
  </si>
  <si>
    <t>SH.1.3.L.2.1_a</t>
  </si>
  <si>
    <t>SH.1.3.L.2.1_b</t>
  </si>
  <si>
    <t>SH.1.3.L.2.1_c</t>
  </si>
  <si>
    <t>SH.1.3.L.2.2_a</t>
  </si>
  <si>
    <t>SH.1.3.L.2.2_b</t>
  </si>
  <si>
    <t>SH.1.3.L.2.2_c</t>
  </si>
  <si>
    <t>SH.1.3.L.2.3_a</t>
  </si>
  <si>
    <t>SH.1.3.L.2.3_b</t>
  </si>
  <si>
    <t>SH.1.3.L.2.3_c</t>
  </si>
  <si>
    <t>SH.1.3.L.2.4_a</t>
  </si>
  <si>
    <t>SH.1.3.L.2.4_b</t>
  </si>
  <si>
    <t>SH.1.3.L.2.4_c</t>
  </si>
  <si>
    <t>SH.1.3.L.2.4_d</t>
  </si>
  <si>
    <t>SH.1.3.L.3.1_a</t>
  </si>
  <si>
    <t>SH.1.3.L.3.1_b</t>
  </si>
  <si>
    <t>SH.1.3.L.3.1_c</t>
  </si>
  <si>
    <t>SH.1.3.L.3.3_a</t>
  </si>
  <si>
    <t>SH.1.3.L.3.3_b</t>
  </si>
  <si>
    <t>SH.1.3.L.3.3_c</t>
  </si>
  <si>
    <t>SH.1.3.L.3.2_a</t>
  </si>
  <si>
    <t>SH.1.3.L.3.2_b</t>
  </si>
  <si>
    <t>SH.1.3.L.3.2_c</t>
  </si>
  <si>
    <t>SH.1.3.L.4.1_a</t>
  </si>
  <si>
    <t>SH.1.3.L.4.1_b</t>
  </si>
  <si>
    <t>SH.1.3.L.4.1_c</t>
  </si>
  <si>
    <t>SH.1.3.L.4.2_a</t>
  </si>
  <si>
    <t>N/A</t>
  </si>
  <si>
    <t>SH.1.3.L.4.2_b</t>
  </si>
  <si>
    <t>SH.1.3.L.4.2_c</t>
  </si>
  <si>
    <t>plants per plot typically 3.</t>
  </si>
  <si>
    <t>Site Name</t>
  </si>
  <si>
    <t>MucFRE confirmed</t>
  </si>
  <si>
    <t>Frequency roots/plant (wtd. avg.)</t>
  </si>
  <si>
    <t># roots colonised</t>
  </si>
  <si>
    <t>Strabechtse Heide</t>
  </si>
  <si>
    <t>Aldershot</t>
  </si>
  <si>
    <t>Total plants</t>
  </si>
  <si>
    <t>Total roots</t>
  </si>
  <si>
    <t>spring</t>
  </si>
  <si>
    <t>autumn</t>
  </si>
  <si>
    <t>uncolonised</t>
  </si>
  <si>
    <t>colonised</t>
  </si>
  <si>
    <t>NL-A</t>
  </si>
  <si>
    <t>NL-B</t>
  </si>
  <si>
    <t>plant 1</t>
  </si>
  <si>
    <t>plant 2</t>
  </si>
  <si>
    <t>plant 3</t>
  </si>
  <si>
    <t>plant 4</t>
  </si>
  <si>
    <t>plant 5</t>
  </si>
  <si>
    <t>plant 6</t>
  </si>
  <si>
    <t>plant 7</t>
  </si>
  <si>
    <t>plant 8</t>
  </si>
  <si>
    <t>Site</t>
  </si>
  <si>
    <t>Stannon</t>
  </si>
  <si>
    <t>SD</t>
  </si>
  <si>
    <t>root length (mm)</t>
  </si>
  <si>
    <t>roots/cm</t>
  </si>
  <si>
    <t>Stagbury Hill</t>
  </si>
  <si>
    <t>only one plot</t>
  </si>
  <si>
    <t>Barnsfield</t>
  </si>
  <si>
    <t>Barn A</t>
  </si>
  <si>
    <t>Barn B</t>
  </si>
  <si>
    <t>Barn C</t>
  </si>
  <si>
    <t>Coulin</t>
  </si>
  <si>
    <t>Munday</t>
  </si>
  <si>
    <t>plant 9</t>
  </si>
  <si>
    <t>plant 10</t>
  </si>
  <si>
    <t>plant 11</t>
  </si>
  <si>
    <t>plant 12</t>
  </si>
  <si>
    <t>plant 13</t>
  </si>
  <si>
    <t>plant 14</t>
  </si>
  <si>
    <t>plant 15</t>
  </si>
  <si>
    <t>plant 16</t>
  </si>
  <si>
    <t>plant 17</t>
  </si>
  <si>
    <t>plant 18</t>
  </si>
  <si>
    <t>overall</t>
  </si>
  <si>
    <t>NLA1.3.L.1.2_a</t>
  </si>
  <si>
    <t>NLA1.3.L.1.2_b</t>
  </si>
  <si>
    <t>NLA1.3.L.1.2_c</t>
  </si>
  <si>
    <t>NLA1.3.L.2.2_a</t>
  </si>
  <si>
    <t>NLA1.3.L.2.2_b</t>
  </si>
  <si>
    <t>NLA1.3.L.2.2_c</t>
  </si>
  <si>
    <t>NLA1.3.L.3.1_a</t>
  </si>
  <si>
    <t>NLA1.3.L.3.1_b</t>
  </si>
  <si>
    <t>NLA1.3.L.3.1_c</t>
  </si>
  <si>
    <t>NLA1.3.L.4.1_a</t>
  </si>
  <si>
    <t>NLA1.3.L.4.1_b</t>
  </si>
  <si>
    <t>NLA1.3.L.4.1_c</t>
  </si>
  <si>
    <t>NLA1.3.L.5.1_a</t>
  </si>
  <si>
    <t>NLA1.3.L.5.1_b</t>
  </si>
  <si>
    <t>NLA1.3.L.5.1_c</t>
  </si>
  <si>
    <t>NLB1.1.L.1.1_a</t>
  </si>
  <si>
    <t>NLB1.1.L.1.1_b</t>
  </si>
  <si>
    <t>NLB1.1.L.1.1_c</t>
  </si>
  <si>
    <t>NLB1.1.L.4.1_a</t>
  </si>
  <si>
    <t>NLB1.1.L.4.1_b</t>
  </si>
  <si>
    <t>NLB1.1.L.5.1_a</t>
  </si>
  <si>
    <t>NLB1.1.L.5.1_b</t>
  </si>
  <si>
    <t>NLB1.1.L.5.1_c</t>
  </si>
  <si>
    <t>NLB1.2.L.3.1_a</t>
  </si>
  <si>
    <t>NLB1.2.L.3.1_b</t>
  </si>
  <si>
    <t>NLB1.2.L.3.1_c</t>
  </si>
  <si>
    <t>NLB1.2.L.4.1_a</t>
  </si>
  <si>
    <t>NLB1.2.L.4.1_b</t>
  </si>
  <si>
    <t>PL.1.1.L.5.2a</t>
  </si>
  <si>
    <t>PL.1.1.L.5.2b</t>
  </si>
  <si>
    <t>PL.1.1.L.5.2c</t>
  </si>
  <si>
    <t>PL.1.1.L.6.1a</t>
  </si>
  <si>
    <t>PL.1.2.L.2.1a</t>
  </si>
  <si>
    <t>PL.1.2.L.2.1b</t>
  </si>
  <si>
    <t>PL.1.2.L.2.1c</t>
  </si>
  <si>
    <t>PL.1.2.L.4.1a</t>
  </si>
  <si>
    <t>PL.1.2.L.4.1b</t>
  </si>
  <si>
    <t>MH.1.1 L.3.2a</t>
  </si>
  <si>
    <t>MH.1.1 L.3.2b</t>
  </si>
  <si>
    <t>MH.1.1 L.3.2c</t>
  </si>
  <si>
    <t>MH.1.1 L.3.1a</t>
  </si>
  <si>
    <t>MH.1.1 L.3.1b</t>
  </si>
  <si>
    <t>MH.1.1 L.3.1c</t>
  </si>
  <si>
    <t>MH.1.1 L.3.1d</t>
  </si>
  <si>
    <t>MH.1.1 L.3.1e</t>
  </si>
  <si>
    <t>nd</t>
  </si>
  <si>
    <t>ST.1.2 L 5.2a</t>
  </si>
  <si>
    <t>ST.1.2 L 5.2b</t>
  </si>
  <si>
    <t>ST.1.2 L 5.2c</t>
  </si>
  <si>
    <t>ST.1.3 L 3.1b</t>
  </si>
  <si>
    <t>ST.1.3 L 3.1a</t>
  </si>
  <si>
    <t>ST.1.3 L 3.1c</t>
  </si>
  <si>
    <t>G</t>
  </si>
  <si>
    <t>MH.1.2.L.3.1a</t>
  </si>
  <si>
    <t>MH.1.2.L.3.1b</t>
  </si>
  <si>
    <t>MH.1.2.L.3.1c</t>
  </si>
  <si>
    <t>MH.1.3.L.1.1a</t>
  </si>
  <si>
    <t>MH.1.3.L.1.1b</t>
  </si>
  <si>
    <t>MH.1.3.L.1.1c</t>
  </si>
  <si>
    <t>MH.1.3.L.2.1a</t>
  </si>
  <si>
    <t>MH.1.3.L.2.1b</t>
  </si>
  <si>
    <t>MH.1.3.L.2.1c</t>
  </si>
  <si>
    <t>PL.1.1.L.3.3a</t>
  </si>
  <si>
    <t>PL.1.1.L.3.3b</t>
  </si>
  <si>
    <t>PL.1.1.L.3.3c</t>
  </si>
  <si>
    <t>PL.1.1.L.4.1a</t>
  </si>
  <si>
    <t>PL.1.1.L.4.1b</t>
  </si>
  <si>
    <t>PL.1.1.L.4.1c</t>
  </si>
  <si>
    <t>PL.1.1.L.5.1a</t>
  </si>
  <si>
    <t>PL.1.1.L.5.1b</t>
  </si>
  <si>
    <t>PL.1.1.L.5.1c</t>
  </si>
  <si>
    <t>PL.1.2.L.1.2a</t>
  </si>
  <si>
    <t>PL.1.2.L.1.2b</t>
  </si>
  <si>
    <t>PL.1.2.L.2.2a</t>
  </si>
  <si>
    <t>PL.1.2.L.2.2b</t>
  </si>
  <si>
    <t>PL.1.2.L.2.2c</t>
  </si>
  <si>
    <t>PL.1.2.L.3.1a</t>
  </si>
  <si>
    <t>PL.1.2.L.3.1b</t>
  </si>
  <si>
    <t>PL.1.2.L.3.1c</t>
  </si>
  <si>
    <t>PL.1.3.L.1.1a</t>
  </si>
  <si>
    <t>PL.1.3.L.1.1b</t>
  </si>
  <si>
    <t>PL.1.3.L.1.1c</t>
  </si>
  <si>
    <t>PL.1.3.L.2.2a</t>
  </si>
  <si>
    <t>PL.1.3.L.2.2b</t>
  </si>
  <si>
    <t>PL.1.3.L.2.2c</t>
  </si>
  <si>
    <t xml:space="preserve">Autumn 2019 </t>
  </si>
  <si>
    <t xml:space="preserve">Total </t>
  </si>
  <si>
    <t>Table 2. Numbers and frequency of roots colonised by MucFRE-like hyphae, by site, spring compared with autumn 2019.</t>
  </si>
  <si>
    <r>
      <t xml:space="preserve">FRE in roots </t>
    </r>
    <r>
      <rPr>
        <b/>
        <sz val="8"/>
        <color theme="1"/>
        <rFont val="Calibri"/>
        <family val="2"/>
        <scheme val="minor"/>
      </rPr>
      <t>P(1)/A(0)</t>
    </r>
  </si>
  <si>
    <t>Mean roots all sites</t>
  </si>
  <si>
    <t>mean % roots col per plant</t>
  </si>
  <si>
    <t>To date (20/4/20)</t>
  </si>
  <si>
    <r>
      <t xml:space="preserve">IDed </t>
    </r>
    <r>
      <rPr>
        <sz val="12"/>
        <color theme="1"/>
        <rFont val="Calibri"/>
        <family val="2"/>
        <charset val="129"/>
        <scheme val="minor"/>
      </rPr>
      <t>FRE</t>
    </r>
  </si>
  <si>
    <r>
      <t># mol.</t>
    </r>
    <r>
      <rPr>
        <sz val="12"/>
        <color theme="1"/>
        <rFont val="Calibri"/>
        <family val="2"/>
        <charset val="129"/>
        <scheme val="minor"/>
      </rPr>
      <t xml:space="preserve"> OTUs</t>
    </r>
  </si>
  <si>
    <t>Spring 2019</t>
  </si>
  <si>
    <t># roots uncolonised</t>
  </si>
  <si>
    <t>% roots colonised MucFRE-like</t>
  </si>
  <si>
    <t>% uncolonised Muc-like</t>
  </si>
  <si>
    <t>TH.0.R4h</t>
  </si>
  <si>
    <t>TH.0.R4i</t>
  </si>
  <si>
    <t>TH.0.R4c</t>
  </si>
  <si>
    <t>TH.0.R4d</t>
  </si>
  <si>
    <t>TH.0.R4a</t>
  </si>
  <si>
    <t>TH.0.R4b</t>
  </si>
  <si>
    <t># roots analysed</t>
  </si>
  <si>
    <t># plants analysed</t>
  </si>
  <si>
    <t>% subplots colonised MucFRE-like</t>
  </si>
  <si>
    <t>PL.1.1.L.6.1b</t>
  </si>
  <si>
    <t>PL.1.1.L.6.1c</t>
  </si>
  <si>
    <t>PL.1.2.L.1.2c</t>
  </si>
  <si>
    <t>PL.1.2.L.4.1c</t>
  </si>
  <si>
    <t>Total root length (mm) per site</t>
  </si>
  <si>
    <t>Total root length (cm) per site</t>
  </si>
  <si>
    <t>Growth Measurements (note: this seasons growth)</t>
  </si>
  <si>
    <t xml:space="preserve"> (Autumn 2019)</t>
  </si>
  <si>
    <t>Means</t>
  </si>
  <si>
    <t>Sums</t>
  </si>
  <si>
    <t>max</t>
  </si>
  <si>
    <t>min</t>
  </si>
  <si>
    <t># roots/ rhizome</t>
  </si>
  <si>
    <t>rhizome length (cm)</t>
  </si>
  <si>
    <t>Total number of plant rhizomes measured</t>
  </si>
  <si>
    <t>subplot 1</t>
  </si>
  <si>
    <t>subplot 2</t>
  </si>
  <si>
    <t>subplot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</si>
</sst>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0.0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29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8"/>
      <color theme="1"/>
      <name val="Calibri"/>
      <family val="2"/>
      <scheme val="minor"/>
    </font>
    <font>
      <sz val="12"/>
      <color theme="5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i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Arial"/>
      <family val="2"/>
    </font>
    <font>
      <sz val="10"/>
      <color rgb="FF00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BC2E6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D7D31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B4C6E7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FF6600"/>
        <bgColor indexed="64"/>
      </patternFill>
    </fill>
  </fills>
  <borders count="86">
    <border>
      <left/>
      <right/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Dashed">
        <color auto="1"/>
      </left>
      <right/>
      <top style="thin">
        <color auto="1"/>
      </top>
      <bottom/>
      <diagonal/>
    </border>
    <border>
      <left style="medium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Dashed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n">
        <color auto="1"/>
      </top>
      <bottom style="dotted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double">
        <color auto="1"/>
      </top>
      <bottom style="thick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ck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</borders>
  <cellStyleXfs count="2020">
    <xf numFmtId="0" fontId="0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9" fontId="36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839">
    <xf numFmtId="0" fontId="0" fillId="0" borderId="0" xfId="0"/>
    <xf numFmtId="0" fontId="0" fillId="0" borderId="0" xfId="0" applyBorder="1"/>
    <xf numFmtId="0" fontId="0" fillId="0" borderId="9" xfId="0" applyBorder="1"/>
    <xf numFmtId="0" fontId="7" fillId="0" borderId="0" xfId="0" applyFont="1"/>
    <xf numFmtId="0" fontId="7" fillId="0" borderId="0" xfId="0" applyFont="1" applyBorder="1"/>
    <xf numFmtId="0" fontId="7" fillId="0" borderId="3" xfId="0" applyFont="1" applyBorder="1"/>
    <xf numFmtId="0" fontId="7" fillId="0" borderId="18" xfId="0" applyFont="1" applyBorder="1"/>
    <xf numFmtId="0" fontId="8" fillId="0" borderId="0" xfId="0" applyFont="1"/>
    <xf numFmtId="0" fontId="6" fillId="0" borderId="0" xfId="0" applyFont="1"/>
    <xf numFmtId="0" fontId="10" fillId="0" borderId="19" xfId="0" applyFont="1" applyBorder="1" applyAlignment="1">
      <alignment wrapText="1"/>
    </xf>
    <xf numFmtId="0" fontId="11" fillId="0" borderId="0" xfId="0" applyFont="1"/>
    <xf numFmtId="0" fontId="11" fillId="0" borderId="0" xfId="0" applyFont="1" applyBorder="1"/>
    <xf numFmtId="0" fontId="11" fillId="0" borderId="18" xfId="0" applyFont="1" applyBorder="1"/>
    <xf numFmtId="0" fontId="11" fillId="0" borderId="25" xfId="0" applyFont="1" applyBorder="1"/>
    <xf numFmtId="0" fontId="11" fillId="0" borderId="9" xfId="0" applyFont="1" applyBorder="1"/>
    <xf numFmtId="0" fontId="12" fillId="0" borderId="9" xfId="0" applyFont="1" applyBorder="1"/>
    <xf numFmtId="0" fontId="8" fillId="0" borderId="0" xfId="0" applyFont="1" applyBorder="1"/>
    <xf numFmtId="0" fontId="7" fillId="0" borderId="6" xfId="0" applyFont="1" applyBorder="1"/>
    <xf numFmtId="0" fontId="0" fillId="0" borderId="1" xfId="0" applyBorder="1"/>
    <xf numFmtId="0" fontId="0" fillId="0" borderId="0" xfId="0" applyFont="1" applyBorder="1"/>
    <xf numFmtId="0" fontId="0" fillId="0" borderId="0" xfId="0" applyAlignment="1">
      <alignment horizontal="left"/>
    </xf>
    <xf numFmtId="0" fontId="15" fillId="0" borderId="0" xfId="0" applyFont="1"/>
    <xf numFmtId="0" fontId="14" fillId="0" borderId="0" xfId="0" applyFont="1"/>
    <xf numFmtId="0" fontId="0" fillId="0" borderId="0" xfId="0" applyFont="1"/>
    <xf numFmtId="0" fontId="0" fillId="0" borderId="6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25" xfId="0" applyFont="1" applyBorder="1"/>
    <xf numFmtId="0" fontId="0" fillId="0" borderId="27" xfId="0" applyFont="1" applyBorder="1"/>
    <xf numFmtId="0" fontId="0" fillId="0" borderId="24" xfId="0" applyFont="1" applyBorder="1"/>
    <xf numFmtId="0" fontId="0" fillId="0" borderId="6" xfId="0" applyFont="1" applyBorder="1"/>
    <xf numFmtId="0" fontId="0" fillId="0" borderId="3" xfId="0" applyFont="1" applyBorder="1"/>
    <xf numFmtId="0" fontId="0" fillId="0" borderId="18" xfId="0" applyFont="1" applyBorder="1"/>
    <xf numFmtId="0" fontId="0" fillId="0" borderId="9" xfId="0" applyFont="1" applyBorder="1"/>
    <xf numFmtId="0" fontId="0" fillId="0" borderId="8" xfId="0" applyFont="1" applyBorder="1"/>
    <xf numFmtId="0" fontId="0" fillId="0" borderId="13" xfId="0" applyFont="1" applyBorder="1"/>
    <xf numFmtId="0" fontId="0" fillId="0" borderId="23" xfId="0" applyFont="1" applyBorder="1"/>
    <xf numFmtId="0" fontId="0" fillId="0" borderId="22" xfId="0" applyFont="1" applyBorder="1"/>
    <xf numFmtId="0" fontId="0" fillId="0" borderId="0" xfId="0" applyFont="1" applyFill="1" applyBorder="1"/>
    <xf numFmtId="0" fontId="18" fillId="2" borderId="7" xfId="0" applyFont="1" applyFill="1" applyBorder="1"/>
    <xf numFmtId="0" fontId="7" fillId="4" borderId="0" xfId="0" applyFont="1" applyFill="1" applyAlignment="1">
      <alignment horizontal="left"/>
    </xf>
    <xf numFmtId="0" fontId="18" fillId="4" borderId="7" xfId="0" applyFont="1" applyFill="1" applyBorder="1" applyAlignment="1">
      <alignment horizontal="left" wrapText="1"/>
    </xf>
    <xf numFmtId="9" fontId="17" fillId="4" borderId="0" xfId="0" applyNumberFormat="1" applyFont="1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25" xfId="0" applyFont="1" applyFill="1" applyBorder="1" applyAlignment="1">
      <alignment horizontal="left"/>
    </xf>
    <xf numFmtId="0" fontId="0" fillId="4" borderId="0" xfId="0" applyFont="1" applyFill="1" applyAlignment="1">
      <alignment horizontal="left"/>
    </xf>
    <xf numFmtId="0" fontId="0" fillId="4" borderId="9" xfId="0" applyFont="1" applyFill="1" applyBorder="1" applyAlignment="1">
      <alignment horizontal="left"/>
    </xf>
    <xf numFmtId="0" fontId="0" fillId="4" borderId="18" xfId="0" applyFont="1" applyFill="1" applyBorder="1" applyAlignment="1">
      <alignment horizontal="left"/>
    </xf>
    <xf numFmtId="0" fontId="0" fillId="4" borderId="0" xfId="0" applyFill="1" applyAlignment="1">
      <alignment horizontal="left"/>
    </xf>
    <xf numFmtId="0" fontId="20" fillId="0" borderId="0" xfId="0" applyFont="1" applyBorder="1"/>
    <xf numFmtId="0" fontId="21" fillId="0" borderId="0" xfId="0" applyFont="1"/>
    <xf numFmtId="0" fontId="21" fillId="0" borderId="36" xfId="0" applyFont="1" applyBorder="1"/>
    <xf numFmtId="0" fontId="21" fillId="0" borderId="35" xfId="0" applyFont="1" applyBorder="1" applyAlignment="1">
      <alignment wrapText="1"/>
    </xf>
    <xf numFmtId="0" fontId="21" fillId="0" borderId="31" xfId="0" applyFont="1" applyBorder="1"/>
    <xf numFmtId="0" fontId="0" fillId="9" borderId="25" xfId="0" applyFont="1" applyFill="1" applyBorder="1"/>
    <xf numFmtId="0" fontId="0" fillId="9" borderId="25" xfId="0" applyFont="1" applyFill="1" applyBorder="1" applyAlignment="1">
      <alignment horizontal="left"/>
    </xf>
    <xf numFmtId="0" fontId="0" fillId="9" borderId="0" xfId="0" applyFont="1" applyFill="1" applyBorder="1"/>
    <xf numFmtId="0" fontId="0" fillId="9" borderId="27" xfId="0" applyFont="1" applyFill="1" applyBorder="1"/>
    <xf numFmtId="0" fontId="0" fillId="9" borderId="24" xfId="0" applyFont="1" applyFill="1" applyBorder="1"/>
    <xf numFmtId="0" fontId="0" fillId="9" borderId="0" xfId="0" applyFont="1" applyFill="1" applyBorder="1" applyAlignment="1">
      <alignment horizontal="left"/>
    </xf>
    <xf numFmtId="0" fontId="0" fillId="11" borderId="25" xfId="0" applyFont="1" applyFill="1" applyBorder="1" applyAlignment="1">
      <alignment horizontal="left"/>
    </xf>
    <xf numFmtId="0" fontId="18" fillId="2" borderId="7" xfId="0" applyFont="1" applyFill="1" applyBorder="1" applyAlignment="1">
      <alignment horizontal="right" wrapText="1"/>
    </xf>
    <xf numFmtId="0" fontId="20" fillId="0" borderId="0" xfId="0" applyFont="1"/>
    <xf numFmtId="0" fontId="0" fillId="0" borderId="0" xfId="0" applyFill="1"/>
    <xf numFmtId="0" fontId="0" fillId="0" borderId="25" xfId="0" applyFont="1" applyFill="1" applyBorder="1"/>
    <xf numFmtId="0" fontId="8" fillId="0" borderId="0" xfId="0" applyFont="1" applyFill="1" applyAlignment="1">
      <alignment horizontal="left"/>
    </xf>
    <xf numFmtId="0" fontId="25" fillId="0" borderId="0" xfId="0" applyFont="1" applyBorder="1" applyAlignment="1">
      <alignment horizontal="center"/>
    </xf>
    <xf numFmtId="0" fontId="25" fillId="0" borderId="0" xfId="0" applyFont="1"/>
    <xf numFmtId="0" fontId="26" fillId="0" borderId="22" xfId="0" applyFont="1" applyBorder="1"/>
    <xf numFmtId="165" fontId="0" fillId="0" borderId="0" xfId="0" applyNumberFormat="1"/>
    <xf numFmtId="165" fontId="26" fillId="0" borderId="0" xfId="0" applyNumberFormat="1" applyFont="1" applyBorder="1"/>
    <xf numFmtId="0" fontId="0" fillId="0" borderId="3" xfId="0" applyBorder="1"/>
    <xf numFmtId="0" fontId="0" fillId="0" borderId="6" xfId="0" applyBorder="1"/>
    <xf numFmtId="0" fontId="0" fillId="4" borderId="9" xfId="0" applyFill="1" applyBorder="1" applyAlignment="1">
      <alignment horizontal="left"/>
    </xf>
    <xf numFmtId="0" fontId="0" fillId="0" borderId="8" xfId="0" applyBorder="1"/>
    <xf numFmtId="0" fontId="0" fillId="0" borderId="13" xfId="0" applyBorder="1"/>
    <xf numFmtId="0" fontId="0" fillId="0" borderId="11" xfId="0" applyBorder="1"/>
    <xf numFmtId="0" fontId="0" fillId="12" borderId="0" xfId="0" applyFont="1" applyFill="1" applyBorder="1"/>
    <xf numFmtId="0" fontId="10" fillId="0" borderId="20" xfId="0" applyFont="1" applyBorder="1" applyAlignment="1">
      <alignment wrapText="1"/>
    </xf>
    <xf numFmtId="165" fontId="26" fillId="6" borderId="0" xfId="0" applyNumberFormat="1" applyFont="1" applyFill="1" applyBorder="1"/>
    <xf numFmtId="9" fontId="8" fillId="0" borderId="0" xfId="0" applyNumberFormat="1" applyFont="1"/>
    <xf numFmtId="9" fontId="0" fillId="0" borderId="0" xfId="0" applyNumberFormat="1"/>
    <xf numFmtId="1" fontId="8" fillId="0" borderId="0" xfId="0" applyNumberFormat="1" applyFont="1"/>
    <xf numFmtId="1" fontId="0" fillId="0" borderId="0" xfId="0" applyNumberFormat="1"/>
    <xf numFmtId="0" fontId="10" fillId="0" borderId="4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21" fillId="0" borderId="32" xfId="0" applyFont="1" applyBorder="1"/>
    <xf numFmtId="0" fontId="10" fillId="0" borderId="14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0" fillId="0" borderId="0" xfId="0" applyFill="1" applyBorder="1"/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13" borderId="0" xfId="0" applyFill="1"/>
    <xf numFmtId="0" fontId="8" fillId="0" borderId="0" xfId="0" applyFont="1" applyAlignment="1">
      <alignment horizontal="right"/>
    </xf>
    <xf numFmtId="0" fontId="25" fillId="0" borderId="0" xfId="0" applyFont="1" applyBorder="1" applyAlignment="1">
      <alignment horizontal="right"/>
    </xf>
    <xf numFmtId="1" fontId="25" fillId="0" borderId="6" xfId="0" applyNumberFormat="1" applyFont="1" applyBorder="1" applyAlignment="1">
      <alignment horizontal="right"/>
    </xf>
    <xf numFmtId="0" fontId="25" fillId="2" borderId="0" xfId="0" applyFont="1" applyFill="1"/>
    <xf numFmtId="1" fontId="25" fillId="2" borderId="6" xfId="0" applyNumberFormat="1" applyFont="1" applyFill="1" applyBorder="1" applyAlignment="1">
      <alignment horizontal="right"/>
    </xf>
    <xf numFmtId="0" fontId="25" fillId="2" borderId="0" xfId="0" applyFont="1" applyFill="1" applyBorder="1"/>
    <xf numFmtId="1" fontId="8" fillId="0" borderId="6" xfId="0" applyNumberFormat="1" applyFont="1" applyBorder="1" applyAlignment="1">
      <alignment horizontal="right"/>
    </xf>
    <xf numFmtId="0" fontId="9" fillId="0" borderId="0" xfId="0" applyFont="1"/>
    <xf numFmtId="0" fontId="12" fillId="0" borderId="0" xfId="0" applyFont="1"/>
    <xf numFmtId="0" fontId="12" fillId="0" borderId="0" xfId="0" applyFont="1" applyBorder="1"/>
    <xf numFmtId="0" fontId="12" fillId="0" borderId="25" xfId="0" applyFont="1" applyBorder="1"/>
    <xf numFmtId="0" fontId="12" fillId="0" borderId="18" xfId="0" applyFont="1" applyBorder="1"/>
    <xf numFmtId="0" fontId="27" fillId="2" borderId="0" xfId="0" applyFont="1" applyFill="1"/>
    <xf numFmtId="0" fontId="13" fillId="0" borderId="0" xfId="0" applyFont="1"/>
    <xf numFmtId="0" fontId="33" fillId="0" borderId="0" xfId="0" applyFont="1"/>
    <xf numFmtId="0" fontId="34" fillId="0" borderId="0" xfId="0" applyFont="1"/>
    <xf numFmtId="2" fontId="8" fillId="0" borderId="0" xfId="0" applyNumberFormat="1" applyFont="1" applyAlignment="1">
      <alignment horizontal="right"/>
    </xf>
    <xf numFmtId="2" fontId="32" fillId="0" borderId="24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right"/>
    </xf>
    <xf numFmtId="0" fontId="0" fillId="13" borderId="9" xfId="0" applyFill="1" applyBorder="1"/>
    <xf numFmtId="0" fontId="0" fillId="13" borderId="0" xfId="0" applyFont="1" applyFill="1" applyBorder="1"/>
    <xf numFmtId="0" fontId="0" fillId="13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9" borderId="6" xfId="0" applyFont="1" applyFill="1" applyBorder="1"/>
    <xf numFmtId="0" fontId="0" fillId="9" borderId="3" xfId="0" applyFont="1" applyFill="1" applyBorder="1"/>
    <xf numFmtId="0" fontId="0" fillId="13" borderId="25" xfId="0" applyFont="1" applyFill="1" applyBorder="1"/>
    <xf numFmtId="0" fontId="0" fillId="13" borderId="9" xfId="0" applyFont="1" applyFill="1" applyBorder="1"/>
    <xf numFmtId="0" fontId="20" fillId="0" borderId="0" xfId="0" applyFont="1" applyFill="1" applyBorder="1"/>
    <xf numFmtId="0" fontId="0" fillId="0" borderId="25" xfId="0" applyFont="1" applyFill="1" applyBorder="1" applyAlignment="1">
      <alignment horizontal="left"/>
    </xf>
    <xf numFmtId="0" fontId="0" fillId="0" borderId="27" xfId="0" applyFont="1" applyFill="1" applyBorder="1"/>
    <xf numFmtId="0" fontId="0" fillId="0" borderId="24" xfId="0" applyFont="1" applyFill="1" applyBorder="1"/>
    <xf numFmtId="0" fontId="29" fillId="0" borderId="0" xfId="0" applyFont="1"/>
    <xf numFmtId="0" fontId="0" fillId="9" borderId="0" xfId="0" applyFont="1" applyFill="1"/>
    <xf numFmtId="0" fontId="29" fillId="0" borderId="0" xfId="0" applyFont="1" applyFill="1" applyBorder="1"/>
    <xf numFmtId="0" fontId="0" fillId="0" borderId="6" xfId="0" applyFont="1" applyFill="1" applyBorder="1"/>
    <xf numFmtId="0" fontId="0" fillId="0" borderId="3" xfId="0" applyFont="1" applyFill="1" applyBorder="1"/>
    <xf numFmtId="0" fontId="0" fillId="0" borderId="0" xfId="0" applyFont="1" applyFill="1"/>
    <xf numFmtId="0" fontId="0" fillId="0" borderId="0" xfId="0" applyFill="1" applyAlignment="1">
      <alignment horizontal="left"/>
    </xf>
    <xf numFmtId="0" fontId="0" fillId="0" borderId="9" xfId="0" applyFill="1" applyBorder="1"/>
    <xf numFmtId="0" fontId="0" fillId="0" borderId="9" xfId="0" applyFont="1" applyFill="1" applyBorder="1"/>
    <xf numFmtId="0" fontId="0" fillId="0" borderId="18" xfId="0" applyFont="1" applyFill="1" applyBorder="1"/>
    <xf numFmtId="0" fontId="0" fillId="3" borderId="0" xfId="0" applyFill="1"/>
    <xf numFmtId="0" fontId="0" fillId="3" borderId="0" xfId="0" applyFont="1" applyFill="1" applyBorder="1"/>
    <xf numFmtId="0" fontId="0" fillId="3" borderId="0" xfId="0" applyFont="1" applyFill="1" applyBorder="1" applyAlignment="1">
      <alignment horizontal="left"/>
    </xf>
    <xf numFmtId="0" fontId="0" fillId="3" borderId="0" xfId="0" applyFont="1" applyFill="1"/>
    <xf numFmtId="0" fontId="0" fillId="3" borderId="0" xfId="0" applyFont="1" applyFill="1" applyAlignment="1">
      <alignment horizontal="left"/>
    </xf>
    <xf numFmtId="0" fontId="14" fillId="0" borderId="0" xfId="0" applyFont="1" applyAlignment="1"/>
    <xf numFmtId="0" fontId="0" fillId="0" borderId="0" xfId="0" applyAlignment="1"/>
    <xf numFmtId="0" fontId="15" fillId="0" borderId="0" xfId="0" applyFont="1" applyAlignment="1"/>
    <xf numFmtId="0" fontId="8" fillId="0" borderId="0" xfId="0" applyFont="1" applyAlignment="1"/>
    <xf numFmtId="0" fontId="7" fillId="0" borderId="0" xfId="0" applyFont="1" applyAlignment="1"/>
    <xf numFmtId="9" fontId="17" fillId="0" borderId="25" xfId="0" applyNumberFormat="1" applyFont="1" applyBorder="1" applyAlignment="1"/>
    <xf numFmtId="0" fontId="0" fillId="0" borderId="0" xfId="0" applyFont="1" applyBorder="1" applyAlignment="1"/>
    <xf numFmtId="0" fontId="0" fillId="0" borderId="0" xfId="0" applyFont="1" applyFill="1" applyBorder="1" applyAlignment="1"/>
    <xf numFmtId="0" fontId="0" fillId="3" borderId="0" xfId="0" applyFont="1" applyFill="1" applyBorder="1" applyAlignment="1"/>
    <xf numFmtId="0" fontId="0" fillId="0" borderId="9" xfId="0" applyFont="1" applyBorder="1" applyAlignment="1"/>
    <xf numFmtId="0" fontId="0" fillId="0" borderId="0" xfId="0" applyFont="1" applyAlignment="1"/>
    <xf numFmtId="0" fontId="0" fillId="3" borderId="0" xfId="0" applyFont="1" applyFill="1" applyAlignment="1"/>
    <xf numFmtId="0" fontId="0" fillId="0" borderId="9" xfId="0" applyBorder="1" applyAlignment="1"/>
    <xf numFmtId="0" fontId="0" fillId="0" borderId="0" xfId="0" applyBorder="1" applyAlignment="1"/>
    <xf numFmtId="0" fontId="0" fillId="0" borderId="25" xfId="0" applyFont="1" applyFill="1" applyBorder="1" applyAlignment="1"/>
    <xf numFmtId="0" fontId="0" fillId="0" borderId="25" xfId="0" applyFont="1" applyBorder="1" applyAlignment="1"/>
    <xf numFmtId="0" fontId="38" fillId="0" borderId="0" xfId="0" applyFont="1" applyBorder="1"/>
    <xf numFmtId="0" fontId="38" fillId="0" borderId="0" xfId="0" applyFont="1" applyFill="1" applyBorder="1"/>
    <xf numFmtId="0" fontId="37" fillId="0" borderId="0" xfId="0" applyFont="1"/>
    <xf numFmtId="0" fontId="37" fillId="0" borderId="0" xfId="0" applyFont="1" applyAlignment="1"/>
    <xf numFmtId="0" fontId="37" fillId="4" borderId="0" xfId="0" applyFont="1" applyFill="1" applyAlignment="1">
      <alignment horizontal="left"/>
    </xf>
    <xf numFmtId="0" fontId="0" fillId="0" borderId="0" xfId="0" applyFont="1" applyFill="1" applyAlignment="1"/>
    <xf numFmtId="0" fontId="0" fillId="0" borderId="0" xfId="0" applyFont="1" applyFill="1" applyAlignment="1">
      <alignment horizontal="left"/>
    </xf>
    <xf numFmtId="0" fontId="37" fillId="0" borderId="0" xfId="0" applyFont="1" applyFill="1"/>
    <xf numFmtId="0" fontId="18" fillId="4" borderId="28" xfId="0" applyFont="1" applyFill="1" applyBorder="1" applyAlignment="1">
      <alignment horizontal="left" wrapText="1"/>
    </xf>
    <xf numFmtId="0" fontId="1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0" fillId="9" borderId="25" xfId="0" applyFont="1" applyFill="1" applyBorder="1" applyAlignment="1">
      <alignment horizontal="right"/>
    </xf>
    <xf numFmtId="0" fontId="29" fillId="0" borderId="0" xfId="0" applyFont="1" applyAlignment="1">
      <alignment horizontal="right"/>
    </xf>
    <xf numFmtId="0" fontId="29" fillId="0" borderId="0" xfId="0" applyNumberFormat="1" applyFont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9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0" fillId="0" borderId="25" xfId="0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9" xfId="0" applyFill="1" applyBorder="1" applyAlignment="1">
      <alignment horizontal="right"/>
    </xf>
    <xf numFmtId="0" fontId="0" fillId="0" borderId="9" xfId="0" applyBorder="1" applyAlignment="1">
      <alignment horizontal="right"/>
    </xf>
    <xf numFmtId="0" fontId="0" fillId="5" borderId="0" xfId="0" applyFill="1" applyAlignment="1">
      <alignment horizontal="right"/>
    </xf>
    <xf numFmtId="0" fontId="24" fillId="10" borderId="25" xfId="0" applyFont="1" applyFill="1" applyBorder="1" applyAlignment="1">
      <alignment horizontal="right"/>
    </xf>
    <xf numFmtId="0" fontId="0" fillId="0" borderId="9" xfId="0" applyFont="1" applyFill="1" applyBorder="1" applyAlignment="1">
      <alignment horizontal="right"/>
    </xf>
    <xf numFmtId="0" fontId="0" fillId="0" borderId="9" xfId="0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0" fontId="0" fillId="0" borderId="25" xfId="0" applyFont="1" applyBorder="1" applyAlignment="1">
      <alignment horizontal="right"/>
    </xf>
    <xf numFmtId="0" fontId="0" fillId="0" borderId="18" xfId="0" applyFont="1" applyFill="1" applyBorder="1" applyAlignment="1">
      <alignment horizontal="right"/>
    </xf>
    <xf numFmtId="0" fontId="0" fillId="0" borderId="18" xfId="0" applyFont="1" applyBorder="1" applyAlignment="1">
      <alignment horizontal="right"/>
    </xf>
    <xf numFmtId="0" fontId="39" fillId="0" borderId="0" xfId="0" applyFont="1" applyBorder="1" applyAlignment="1">
      <alignment horizontal="right"/>
    </xf>
    <xf numFmtId="2" fontId="40" fillId="0" borderId="24" xfId="0" applyNumberFormat="1" applyFont="1" applyBorder="1" applyAlignment="1">
      <alignment horizontal="right"/>
    </xf>
    <xf numFmtId="0" fontId="0" fillId="13" borderId="0" xfId="0" applyFill="1" applyAlignment="1"/>
    <xf numFmtId="0" fontId="7" fillId="13" borderId="0" xfId="0" applyFont="1" applyFill="1" applyAlignment="1"/>
    <xf numFmtId="0" fontId="0" fillId="13" borderId="0" xfId="0" applyFont="1" applyFill="1" applyBorder="1" applyAlignment="1"/>
    <xf numFmtId="0" fontId="0" fillId="13" borderId="9" xfId="0" applyFont="1" applyFill="1" applyBorder="1" applyAlignment="1"/>
    <xf numFmtId="0" fontId="0" fillId="13" borderId="0" xfId="0" applyFont="1" applyFill="1" applyAlignment="1"/>
    <xf numFmtId="0" fontId="0" fillId="13" borderId="9" xfId="0" applyFill="1" applyBorder="1" applyAlignment="1"/>
    <xf numFmtId="0" fontId="0" fillId="13" borderId="25" xfId="0" applyFont="1" applyFill="1" applyBorder="1" applyAlignment="1"/>
    <xf numFmtId="0" fontId="37" fillId="13" borderId="0" xfId="0" applyFont="1" applyFill="1" applyAlignment="1"/>
    <xf numFmtId="0" fontId="42" fillId="13" borderId="0" xfId="0" applyFont="1" applyFill="1" applyAlignment="1">
      <alignment horizontal="right"/>
    </xf>
    <xf numFmtId="0" fontId="35" fillId="13" borderId="0" xfId="0" applyNumberFormat="1" applyFont="1" applyFill="1" applyBorder="1" applyAlignment="1">
      <alignment horizontal="right"/>
    </xf>
    <xf numFmtId="0" fontId="29" fillId="13" borderId="0" xfId="0" applyFont="1" applyFill="1" applyBorder="1" applyAlignment="1">
      <alignment horizontal="right"/>
    </xf>
    <xf numFmtId="0" fontId="29" fillId="13" borderId="25" xfId="0" applyFont="1" applyFill="1" applyBorder="1" applyAlignment="1">
      <alignment horizontal="right"/>
    </xf>
    <xf numFmtId="0" fontId="29" fillId="13" borderId="0" xfId="0" applyFont="1" applyFill="1" applyAlignment="1">
      <alignment horizontal="right"/>
    </xf>
    <xf numFmtId="0" fontId="29" fillId="13" borderId="9" xfId="0" applyFont="1" applyFill="1" applyBorder="1" applyAlignment="1">
      <alignment horizontal="right"/>
    </xf>
    <xf numFmtId="0" fontId="29" fillId="13" borderId="18" xfId="0" applyFont="1" applyFill="1" applyBorder="1" applyAlignment="1">
      <alignment horizontal="right"/>
    </xf>
    <xf numFmtId="9" fontId="0" fillId="0" borderId="0" xfId="0" applyNumberFormat="1" applyFont="1" applyBorder="1" applyAlignment="1">
      <alignment horizontal="right"/>
    </xf>
    <xf numFmtId="0" fontId="0" fillId="4" borderId="0" xfId="0" applyFont="1" applyFill="1" applyBorder="1"/>
    <xf numFmtId="0" fontId="0" fillId="4" borderId="0" xfId="0" applyFont="1" applyFill="1" applyBorder="1" applyAlignment="1">
      <alignment horizontal="right"/>
    </xf>
    <xf numFmtId="0" fontId="29" fillId="4" borderId="0" xfId="0" applyFont="1" applyFill="1" applyBorder="1" applyAlignment="1">
      <alignment horizontal="right"/>
    </xf>
    <xf numFmtId="0" fontId="0" fillId="4" borderId="6" xfId="0" applyFont="1" applyFill="1" applyBorder="1"/>
    <xf numFmtId="0" fontId="0" fillId="4" borderId="3" xfId="0" applyFont="1" applyFill="1" applyBorder="1"/>
    <xf numFmtId="0" fontId="0" fillId="5" borderId="0" xfId="0" applyFont="1" applyFill="1" applyBorder="1"/>
    <xf numFmtId="0" fontId="0" fillId="5" borderId="0" xfId="0" applyFont="1" applyFill="1" applyAlignment="1">
      <alignment horizontal="left"/>
    </xf>
    <xf numFmtId="0" fontId="0" fillId="5" borderId="0" xfId="0" applyFont="1" applyFill="1"/>
    <xf numFmtId="0" fontId="0" fillId="5" borderId="0" xfId="0" applyFont="1" applyFill="1" applyAlignment="1"/>
    <xf numFmtId="0" fontId="29" fillId="0" borderId="0" xfId="0" applyFont="1" applyFill="1" applyAlignment="1">
      <alignment horizontal="left"/>
    </xf>
    <xf numFmtId="0" fontId="41" fillId="0" borderId="0" xfId="0" applyFont="1" applyFill="1" applyAlignment="1">
      <alignment horizontal="left"/>
    </xf>
    <xf numFmtId="0" fontId="29" fillId="15" borderId="0" xfId="0" applyFont="1" applyFill="1" applyBorder="1" applyAlignment="1">
      <alignment horizontal="left"/>
    </xf>
    <xf numFmtId="0" fontId="29" fillId="15" borderId="38" xfId="0" applyFont="1" applyFill="1" applyBorder="1" applyAlignment="1">
      <alignment horizontal="left"/>
    </xf>
    <xf numFmtId="0" fontId="29" fillId="0" borderId="0" xfId="0" applyFont="1" applyFill="1" applyBorder="1" applyAlignment="1">
      <alignment horizontal="left"/>
    </xf>
    <xf numFmtId="0" fontId="43" fillId="15" borderId="0" xfId="0" applyFont="1" applyFill="1" applyAlignment="1">
      <alignment horizontal="left"/>
    </xf>
    <xf numFmtId="0" fontId="42" fillId="15" borderId="0" xfId="0" applyFont="1" applyFill="1" applyAlignment="1">
      <alignment horizontal="left"/>
    </xf>
    <xf numFmtId="0" fontId="29" fillId="15" borderId="0" xfId="0" applyFont="1" applyFill="1"/>
    <xf numFmtId="0" fontId="29" fillId="15" borderId="0" xfId="0" applyFont="1" applyFill="1" applyAlignment="1">
      <alignment horizontal="left"/>
    </xf>
    <xf numFmtId="0" fontId="8" fillId="0" borderId="0" xfId="0" applyFont="1" applyFill="1" applyBorder="1"/>
    <xf numFmtId="0" fontId="18" fillId="13" borderId="13" xfId="0" applyFont="1" applyFill="1" applyBorder="1" applyAlignment="1">
      <alignment wrapText="1"/>
    </xf>
    <xf numFmtId="0" fontId="8" fillId="0" borderId="0" xfId="0" applyFont="1" applyFill="1" applyAlignment="1"/>
    <xf numFmtId="0" fontId="29" fillId="6" borderId="0" xfId="0" applyFont="1" applyFill="1" applyBorder="1" applyAlignment="1">
      <alignment horizontal="left"/>
    </xf>
    <xf numFmtId="0" fontId="18" fillId="13" borderId="8" xfId="0" applyFont="1" applyFill="1" applyBorder="1" applyAlignment="1"/>
    <xf numFmtId="0" fontId="18" fillId="13" borderId="8" xfId="0" applyFont="1" applyFill="1" applyBorder="1" applyAlignment="1">
      <alignment wrapText="1"/>
    </xf>
    <xf numFmtId="0" fontId="16" fillId="13" borderId="13" xfId="0" applyFont="1" applyFill="1" applyBorder="1" applyAlignment="1">
      <alignment wrapText="1"/>
    </xf>
    <xf numFmtId="0" fontId="18" fillId="13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0" fontId="0" fillId="7" borderId="0" xfId="0" applyFont="1" applyFill="1" applyBorder="1"/>
    <xf numFmtId="0" fontId="0" fillId="7" borderId="0" xfId="0" applyFill="1" applyAlignment="1">
      <alignment horizontal="left"/>
    </xf>
    <xf numFmtId="0" fontId="0" fillId="7" borderId="0" xfId="0" applyFill="1" applyBorder="1"/>
    <xf numFmtId="0" fontId="0" fillId="3" borderId="0" xfId="0" applyFont="1" applyFill="1" applyBorder="1" applyAlignment="1">
      <alignment horizontal="right"/>
    </xf>
    <xf numFmtId="0" fontId="29" fillId="3" borderId="0" xfId="0" applyFont="1" applyFill="1" applyBorder="1" applyAlignment="1">
      <alignment horizontal="right"/>
    </xf>
    <xf numFmtId="0" fontId="0" fillId="3" borderId="6" xfId="0" applyFont="1" applyFill="1" applyBorder="1"/>
    <xf numFmtId="0" fontId="0" fillId="3" borderId="3" xfId="0" applyFont="1" applyFill="1" applyBorder="1"/>
    <xf numFmtId="9" fontId="0" fillId="0" borderId="0" xfId="155" applyFont="1" applyFill="1" applyBorder="1" applyAlignment="1">
      <alignment horizontal="right"/>
    </xf>
    <xf numFmtId="0" fontId="0" fillId="0" borderId="0" xfId="0" quotePrefix="1" applyFont="1" applyFill="1" applyBorder="1" applyAlignment="1">
      <alignment horizontal="right"/>
    </xf>
    <xf numFmtId="0" fontId="29" fillId="0" borderId="0" xfId="0" applyFont="1" applyFill="1" applyAlignment="1">
      <alignment horizontal="right"/>
    </xf>
    <xf numFmtId="1" fontId="0" fillId="0" borderId="0" xfId="155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>
      <alignment horizontal="right"/>
    </xf>
    <xf numFmtId="1" fontId="0" fillId="0" borderId="0" xfId="0" applyNumberFormat="1" applyFont="1" applyBorder="1" applyAlignment="1">
      <alignment horizontal="right"/>
    </xf>
    <xf numFmtId="0" fontId="29" fillId="0" borderId="0" xfId="0" applyFont="1" applyFill="1"/>
    <xf numFmtId="9" fontId="0" fillId="0" borderId="0" xfId="0" applyNumberFormat="1" applyFont="1" applyFill="1" applyBorder="1" applyAlignment="1"/>
    <xf numFmtId="9" fontId="0" fillId="0" borderId="0" xfId="155" applyFont="1" applyFill="1" applyBorder="1" applyAlignment="1"/>
    <xf numFmtId="0" fontId="20" fillId="0" borderId="0" xfId="0" applyFont="1" applyFill="1" applyAlignment="1">
      <alignment horizontal="right"/>
    </xf>
    <xf numFmtId="1" fontId="0" fillId="0" borderId="0" xfId="155" applyNumberFormat="1" applyFont="1" applyFill="1" applyBorder="1" applyAlignment="1"/>
    <xf numFmtId="1" fontId="0" fillId="0" borderId="0" xfId="0" applyNumberFormat="1" applyFont="1" applyFill="1" applyBorder="1" applyAlignment="1"/>
    <xf numFmtId="1" fontId="35" fillId="13" borderId="25" xfId="0" applyNumberFormat="1" applyFont="1" applyFill="1" applyBorder="1" applyAlignment="1">
      <alignment horizontal="right"/>
    </xf>
    <xf numFmtId="9" fontId="0" fillId="0" borderId="25" xfId="0" applyNumberFormat="1" applyFont="1" applyFill="1" applyBorder="1" applyAlignment="1"/>
    <xf numFmtId="0" fontId="18" fillId="0" borderId="0" xfId="0" applyFont="1" applyFill="1" applyAlignment="1">
      <alignment horizontal="right"/>
    </xf>
    <xf numFmtId="1" fontId="35" fillId="16" borderId="25" xfId="0" applyNumberFormat="1" applyFont="1" applyFill="1" applyBorder="1" applyAlignment="1">
      <alignment horizontal="right"/>
    </xf>
    <xf numFmtId="0" fontId="18" fillId="0" borderId="0" xfId="0" applyFont="1" applyFill="1" applyAlignment="1">
      <alignment horizontal="right" wrapText="1"/>
    </xf>
    <xf numFmtId="1" fontId="0" fillId="0" borderId="25" xfId="0" applyNumberFormat="1" applyFont="1" applyFill="1" applyBorder="1" applyAlignment="1"/>
    <xf numFmtId="1" fontId="20" fillId="0" borderId="0" xfId="0" applyNumberFormat="1" applyFont="1" applyAlignment="1">
      <alignment horizontal="right"/>
    </xf>
    <xf numFmtId="1" fontId="0" fillId="9" borderId="25" xfId="0" applyNumberFormat="1" applyFont="1" applyFill="1" applyBorder="1" applyAlignment="1">
      <alignment horizontal="right"/>
    </xf>
    <xf numFmtId="1" fontId="29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0" fillId="9" borderId="0" xfId="0" applyNumberFormat="1" applyFont="1" applyFill="1" applyBorder="1" applyAlignment="1">
      <alignment horizontal="right"/>
    </xf>
    <xf numFmtId="1" fontId="0" fillId="3" borderId="0" xfId="0" applyNumberFormat="1" applyFont="1" applyFill="1" applyBorder="1" applyAlignment="1">
      <alignment horizontal="right"/>
    </xf>
    <xf numFmtId="1" fontId="0" fillId="4" borderId="0" xfId="0" applyNumberFormat="1" applyFont="1" applyFill="1" applyBorder="1" applyAlignment="1">
      <alignment horizontal="right"/>
    </xf>
    <xf numFmtId="1" fontId="0" fillId="0" borderId="0" xfId="0" applyNumberFormat="1" applyFont="1" applyAlignment="1">
      <alignment horizontal="right"/>
    </xf>
    <xf numFmtId="1" fontId="0" fillId="0" borderId="9" xfId="0" applyNumberFormat="1" applyBorder="1" applyAlignment="1">
      <alignment horizontal="right"/>
    </xf>
    <xf numFmtId="1" fontId="24" fillId="10" borderId="25" xfId="0" applyNumberFormat="1" applyFont="1" applyFill="1" applyBorder="1" applyAlignment="1">
      <alignment horizontal="right"/>
    </xf>
    <xf numFmtId="1" fontId="0" fillId="0" borderId="9" xfId="0" applyNumberFormat="1" applyFont="1" applyBorder="1" applyAlignment="1">
      <alignment horizontal="right"/>
    </xf>
    <xf numFmtId="1" fontId="0" fillId="0" borderId="25" xfId="0" applyNumberFormat="1" applyFont="1" applyFill="1" applyBorder="1" applyAlignment="1">
      <alignment horizontal="right"/>
    </xf>
    <xf numFmtId="1" fontId="0" fillId="0" borderId="25" xfId="0" applyNumberFormat="1" applyFont="1" applyBorder="1" applyAlignment="1">
      <alignment horizontal="right"/>
    </xf>
    <xf numFmtId="1" fontId="0" fillId="0" borderId="18" xfId="0" applyNumberFormat="1" applyFont="1" applyBorder="1" applyAlignment="1">
      <alignment horizontal="right"/>
    </xf>
    <xf numFmtId="1" fontId="14" fillId="0" borderId="0" xfId="0" applyNumberFormat="1" applyFont="1" applyAlignment="1">
      <alignment horizontal="right"/>
    </xf>
    <xf numFmtId="0" fontId="0" fillId="14" borderId="0" xfId="0" applyFont="1" applyFill="1" applyBorder="1"/>
    <xf numFmtId="0" fontId="0" fillId="14" borderId="0" xfId="0" applyFill="1"/>
    <xf numFmtId="0" fontId="0" fillId="14" borderId="0" xfId="0" applyFont="1" applyFill="1" applyBorder="1" applyAlignment="1">
      <alignment horizontal="right"/>
    </xf>
    <xf numFmtId="9" fontId="0" fillId="14" borderId="25" xfId="155" applyFont="1" applyFill="1" applyBorder="1" applyAlignment="1">
      <alignment horizontal="right"/>
    </xf>
    <xf numFmtId="0" fontId="0" fillId="14" borderId="6" xfId="0" applyFont="1" applyFill="1" applyBorder="1"/>
    <xf numFmtId="0" fontId="0" fillId="14" borderId="3" xfId="0" applyFont="1" applyFill="1" applyBorder="1"/>
    <xf numFmtId="0" fontId="0" fillId="14" borderId="25" xfId="0" applyFont="1" applyFill="1" applyBorder="1" applyAlignment="1">
      <alignment horizontal="right"/>
    </xf>
    <xf numFmtId="0" fontId="0" fillId="14" borderId="25" xfId="0" applyFont="1" applyFill="1" applyBorder="1"/>
    <xf numFmtId="0" fontId="0" fillId="14" borderId="25" xfId="0" applyFill="1" applyBorder="1"/>
    <xf numFmtId="0" fontId="0" fillId="14" borderId="27" xfId="0" applyFont="1" applyFill="1" applyBorder="1"/>
    <xf numFmtId="0" fontId="0" fillId="14" borderId="24" xfId="0" applyFont="1" applyFill="1" applyBorder="1"/>
    <xf numFmtId="0" fontId="0" fillId="14" borderId="18" xfId="0" applyFont="1" applyFill="1" applyBorder="1"/>
    <xf numFmtId="9" fontId="0" fillId="14" borderId="0" xfId="155" applyFont="1" applyFill="1" applyBorder="1" applyAlignment="1">
      <alignment horizontal="right"/>
    </xf>
    <xf numFmtId="0" fontId="29" fillId="14" borderId="0" xfId="0" applyFont="1" applyFill="1"/>
    <xf numFmtId="0" fontId="29" fillId="14" borderId="0" xfId="0" applyFont="1" applyFill="1" applyAlignment="1">
      <alignment horizontal="right"/>
    </xf>
    <xf numFmtId="0" fontId="29" fillId="14" borderId="0" xfId="0" applyFont="1" applyFill="1" applyBorder="1" applyAlignment="1">
      <alignment horizontal="center"/>
    </xf>
    <xf numFmtId="9" fontId="29" fillId="14" borderId="25" xfId="0" applyNumberFormat="1" applyFont="1" applyFill="1" applyBorder="1" applyAlignment="1"/>
    <xf numFmtId="1" fontId="29" fillId="14" borderId="25" xfId="0" applyNumberFormat="1" applyFont="1" applyFill="1" applyBorder="1" applyAlignment="1">
      <alignment horizontal="right"/>
    </xf>
    <xf numFmtId="9" fontId="29" fillId="14" borderId="0" xfId="0" applyNumberFormat="1" applyFont="1" applyFill="1" applyAlignment="1">
      <alignment horizontal="right"/>
    </xf>
    <xf numFmtId="1" fontId="29" fillId="14" borderId="25" xfId="155" applyNumberFormat="1" applyFont="1" applyFill="1" applyBorder="1" applyAlignment="1"/>
    <xf numFmtId="9" fontId="35" fillId="14" borderId="0" xfId="0" applyNumberFormat="1" applyFont="1" applyFill="1" applyBorder="1" applyAlignment="1">
      <alignment horizontal="left"/>
    </xf>
    <xf numFmtId="9" fontId="29" fillId="14" borderId="25" xfId="155" applyFont="1" applyFill="1" applyBorder="1" applyAlignment="1">
      <alignment horizontal="right"/>
    </xf>
    <xf numFmtId="1" fontId="17" fillId="2" borderId="0" xfId="0" applyNumberFormat="1" applyFont="1" applyFill="1" applyBorder="1" applyAlignment="1">
      <alignment horizontal="right"/>
    </xf>
    <xf numFmtId="9" fontId="17" fillId="2" borderId="0" xfId="0" applyNumberFormat="1" applyFont="1" applyFill="1" applyBorder="1" applyAlignment="1">
      <alignment horizontal="right"/>
    </xf>
    <xf numFmtId="1" fontId="35" fillId="2" borderId="0" xfId="0" applyNumberFormat="1" applyFont="1" applyFill="1" applyBorder="1" applyAlignment="1">
      <alignment horizontal="right"/>
    </xf>
    <xf numFmtId="0" fontId="35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25" xfId="0" applyFont="1" applyFill="1" applyBorder="1" applyAlignment="1">
      <alignment horizontal="right"/>
    </xf>
    <xf numFmtId="0" fontId="0" fillId="2" borderId="9" xfId="0" applyFont="1" applyFill="1" applyBorder="1" applyAlignment="1">
      <alignment horizontal="right"/>
    </xf>
    <xf numFmtId="0" fontId="0" fillId="2" borderId="18" xfId="0" applyFont="1" applyFill="1" applyBorder="1" applyAlignment="1">
      <alignment horizontal="right"/>
    </xf>
    <xf numFmtId="0" fontId="0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26" fillId="0" borderId="0" xfId="0" applyFont="1" applyBorder="1"/>
    <xf numFmtId="0" fontId="21" fillId="0" borderId="35" xfId="0" applyFont="1" applyFill="1" applyBorder="1" applyAlignment="1">
      <alignment wrapText="1"/>
    </xf>
    <xf numFmtId="1" fontId="29" fillId="0" borderId="0" xfId="0" applyNumberFormat="1" applyFont="1" applyFill="1" applyBorder="1" applyAlignment="1">
      <alignment horizontal="right"/>
    </xf>
    <xf numFmtId="9" fontId="29" fillId="0" borderId="0" xfId="155" applyFont="1" applyFill="1" applyBorder="1" applyAlignment="1">
      <alignment horizontal="right"/>
    </xf>
    <xf numFmtId="1" fontId="29" fillId="0" borderId="0" xfId="155" applyNumberFormat="1" applyFont="1" applyFill="1" applyBorder="1" applyAlignment="1"/>
    <xf numFmtId="9" fontId="29" fillId="0" borderId="0" xfId="0" applyNumberFormat="1" applyFont="1" applyFill="1" applyAlignment="1">
      <alignment horizontal="right"/>
    </xf>
    <xf numFmtId="0" fontId="18" fillId="0" borderId="0" xfId="0" applyFont="1" applyFill="1" applyBorder="1" applyAlignment="1">
      <alignment horizontal="right"/>
    </xf>
    <xf numFmtId="9" fontId="29" fillId="0" borderId="0" xfId="155" applyFont="1" applyFill="1" applyBorder="1" applyAlignment="1"/>
    <xf numFmtId="1" fontId="29" fillId="13" borderId="0" xfId="155" applyNumberFormat="1" applyFont="1" applyFill="1" applyBorder="1" applyAlignment="1"/>
    <xf numFmtId="9" fontId="29" fillId="14" borderId="25" xfId="155" applyFont="1" applyFill="1" applyBorder="1" applyAlignment="1"/>
    <xf numFmtId="9" fontId="29" fillId="6" borderId="0" xfId="0" applyNumberFormat="1" applyFont="1" applyFill="1" applyBorder="1" applyAlignment="1">
      <alignment horizontal="left"/>
    </xf>
    <xf numFmtId="2" fontId="29" fillId="17" borderId="0" xfId="155" applyNumberFormat="1" applyFont="1" applyFill="1" applyAlignment="1">
      <alignment horizontal="center"/>
    </xf>
    <xf numFmtId="0" fontId="0" fillId="14" borderId="0" xfId="0" applyFont="1" applyFill="1" applyBorder="1" applyAlignment="1">
      <alignment horizontal="center"/>
    </xf>
    <xf numFmtId="0" fontId="0" fillId="14" borderId="25" xfId="0" applyFont="1" applyFill="1" applyBorder="1" applyAlignment="1"/>
    <xf numFmtId="9" fontId="0" fillId="14" borderId="25" xfId="0" applyNumberFormat="1" applyFont="1" applyFill="1" applyBorder="1" applyAlignment="1"/>
    <xf numFmtId="9" fontId="0" fillId="14" borderId="25" xfId="155" applyFont="1" applyFill="1" applyBorder="1" applyAlignment="1"/>
    <xf numFmtId="0" fontId="29" fillId="14" borderId="0" xfId="0" applyFont="1" applyFill="1" applyBorder="1"/>
    <xf numFmtId="0" fontId="0" fillId="14" borderId="6" xfId="0" applyFont="1" applyFill="1" applyBorder="1" applyAlignment="1">
      <alignment horizontal="center"/>
    </xf>
    <xf numFmtId="0" fontId="0" fillId="14" borderId="3" xfId="0" applyFont="1" applyFill="1" applyBorder="1" applyAlignment="1">
      <alignment horizontal="center"/>
    </xf>
    <xf numFmtId="9" fontId="0" fillId="14" borderId="25" xfId="155" applyNumberFormat="1" applyFont="1" applyFill="1" applyBorder="1" applyAlignment="1"/>
    <xf numFmtId="0" fontId="29" fillId="14" borderId="38" xfId="0" applyFont="1" applyFill="1" applyBorder="1" applyAlignment="1">
      <alignment horizontal="left"/>
    </xf>
    <xf numFmtId="0" fontId="0" fillId="14" borderId="25" xfId="0" applyFont="1" applyFill="1" applyBorder="1" applyAlignment="1">
      <alignment horizontal="left"/>
    </xf>
    <xf numFmtId="0" fontId="0" fillId="14" borderId="0" xfId="0" applyFill="1" applyBorder="1"/>
    <xf numFmtId="0" fontId="29" fillId="14" borderId="0" xfId="0" applyFont="1" applyFill="1" applyBorder="1" applyAlignment="1">
      <alignment horizontal="left"/>
    </xf>
    <xf numFmtId="0" fontId="0" fillId="14" borderId="6" xfId="0" applyFill="1" applyBorder="1"/>
    <xf numFmtId="0" fontId="0" fillId="14" borderId="3" xfId="0" applyFill="1" applyBorder="1"/>
    <xf numFmtId="0" fontId="0" fillId="14" borderId="0" xfId="0" applyFont="1" applyFill="1" applyBorder="1" applyAlignment="1">
      <alignment horizontal="left"/>
    </xf>
    <xf numFmtId="0" fontId="0" fillId="14" borderId="0" xfId="0" applyFill="1" applyAlignment="1">
      <alignment horizontal="left"/>
    </xf>
    <xf numFmtId="0" fontId="0" fillId="14" borderId="0" xfId="0" applyFont="1" applyFill="1"/>
    <xf numFmtId="9" fontId="17" fillId="14" borderId="0" xfId="0" applyNumberFormat="1" applyFont="1" applyFill="1" applyBorder="1" applyAlignment="1">
      <alignment horizontal="left"/>
    </xf>
    <xf numFmtId="0" fontId="0" fillId="14" borderId="25" xfId="0" applyNumberFormat="1" applyFont="1" applyFill="1" applyBorder="1" applyAlignment="1">
      <alignment horizontal="right"/>
    </xf>
    <xf numFmtId="0" fontId="25" fillId="18" borderId="0" xfId="0" applyFont="1" applyFill="1"/>
    <xf numFmtId="0" fontId="25" fillId="18" borderId="4" xfId="0" applyFont="1" applyFill="1" applyBorder="1"/>
    <xf numFmtId="0" fontId="25" fillId="18" borderId="5" xfId="0" applyFont="1" applyFill="1" applyBorder="1"/>
    <xf numFmtId="164" fontId="25" fillId="18" borderId="3" xfId="0" applyNumberFormat="1" applyFont="1" applyFill="1" applyBorder="1"/>
    <xf numFmtId="164" fontId="25" fillId="18" borderId="46" xfId="0" applyNumberFormat="1" applyFont="1" applyFill="1" applyBorder="1"/>
    <xf numFmtId="9" fontId="25" fillId="18" borderId="0" xfId="0" applyNumberFormat="1" applyFont="1" applyFill="1"/>
    <xf numFmtId="9" fontId="25" fillId="18" borderId="0" xfId="155" applyFont="1" applyFill="1" applyBorder="1"/>
    <xf numFmtId="165" fontId="25" fillId="18" borderId="0" xfId="0" applyNumberFormat="1" applyFont="1" applyFill="1" applyBorder="1"/>
    <xf numFmtId="0" fontId="25" fillId="18" borderId="6" xfId="0" applyFont="1" applyFill="1" applyBorder="1"/>
    <xf numFmtId="0" fontId="10" fillId="0" borderId="19" xfId="0" applyFont="1" applyFill="1" applyBorder="1" applyAlignment="1">
      <alignment wrapText="1"/>
    </xf>
    <xf numFmtId="0" fontId="11" fillId="0" borderId="25" xfId="0" applyFont="1" applyFill="1" applyBorder="1"/>
    <xf numFmtId="0" fontId="40" fillId="0" borderId="25" xfId="0" applyFont="1" applyFill="1" applyBorder="1"/>
    <xf numFmtId="0" fontId="40" fillId="0" borderId="18" xfId="0" applyFont="1" applyFill="1" applyBorder="1"/>
    <xf numFmtId="0" fontId="40" fillId="0" borderId="23" xfId="0" applyFont="1" applyFill="1" applyBorder="1"/>
    <xf numFmtId="0" fontId="28" fillId="0" borderId="19" xfId="0" applyFont="1" applyFill="1" applyBorder="1" applyAlignment="1">
      <alignment wrapText="1"/>
    </xf>
    <xf numFmtId="0" fontId="40" fillId="0" borderId="21" xfId="0" applyFont="1" applyFill="1" applyBorder="1"/>
    <xf numFmtId="0" fontId="40" fillId="0" borderId="22" xfId="0" applyFont="1" applyFill="1" applyBorder="1"/>
    <xf numFmtId="1" fontId="40" fillId="0" borderId="44" xfId="0" applyNumberFormat="1" applyFont="1" applyFill="1" applyBorder="1"/>
    <xf numFmtId="9" fontId="40" fillId="0" borderId="22" xfId="0" applyNumberFormat="1" applyFont="1" applyFill="1" applyBorder="1"/>
    <xf numFmtId="9" fontId="40" fillId="0" borderId="22" xfId="155" applyFont="1" applyFill="1" applyBorder="1"/>
    <xf numFmtId="9" fontId="40" fillId="0" borderId="0" xfId="155" applyFont="1" applyFill="1" applyBorder="1"/>
    <xf numFmtId="165" fontId="40" fillId="0" borderId="22" xfId="0" applyNumberFormat="1" applyFont="1" applyFill="1" applyBorder="1"/>
    <xf numFmtId="0" fontId="40" fillId="0" borderId="27" xfId="0" applyFont="1" applyFill="1" applyBorder="1"/>
    <xf numFmtId="0" fontId="40" fillId="0" borderId="29" xfId="0" applyFont="1" applyFill="1" applyBorder="1"/>
    <xf numFmtId="9" fontId="40" fillId="0" borderId="25" xfId="0" applyNumberFormat="1" applyFont="1" applyFill="1" applyBorder="1"/>
    <xf numFmtId="0" fontId="21" fillId="0" borderId="36" xfId="0" applyFont="1" applyFill="1" applyBorder="1"/>
    <xf numFmtId="0" fontId="11" fillId="0" borderId="9" xfId="0" applyFont="1" applyFill="1" applyBorder="1"/>
    <xf numFmtId="2" fontId="0" fillId="0" borderId="0" xfId="155" applyNumberFormat="1" applyFont="1"/>
    <xf numFmtId="2" fontId="8" fillId="0" borderId="0" xfId="155" applyNumberFormat="1" applyFont="1" applyFill="1" applyBorder="1" applyAlignment="1">
      <alignment horizontal="center"/>
    </xf>
    <xf numFmtId="2" fontId="16" fillId="17" borderId="0" xfId="155" applyNumberFormat="1" applyFont="1" applyFill="1" applyBorder="1" applyAlignment="1">
      <alignment horizontal="center" wrapText="1"/>
    </xf>
    <xf numFmtId="2" fontId="0" fillId="14" borderId="0" xfId="155" applyNumberFormat="1" applyFont="1" applyFill="1" applyBorder="1" applyAlignment="1">
      <alignment horizontal="center"/>
    </xf>
    <xf numFmtId="2" fontId="35" fillId="17" borderId="0" xfId="155" applyNumberFormat="1" applyFont="1" applyFill="1" applyBorder="1" applyAlignment="1">
      <alignment horizontal="center"/>
    </xf>
    <xf numFmtId="2" fontId="35" fillId="14" borderId="0" xfId="155" applyNumberFormat="1" applyFont="1" applyFill="1" applyBorder="1" applyAlignment="1">
      <alignment horizontal="center"/>
    </xf>
    <xf numFmtId="2" fontId="29" fillId="17" borderId="0" xfId="155" applyNumberFormat="1" applyFont="1" applyFill="1" applyBorder="1" applyAlignment="1">
      <alignment horizontal="center"/>
    </xf>
    <xf numFmtId="2" fontId="29" fillId="17" borderId="25" xfId="155" applyNumberFormat="1" applyFont="1" applyFill="1" applyBorder="1" applyAlignment="1">
      <alignment horizontal="center"/>
    </xf>
    <xf numFmtId="2" fontId="29" fillId="14" borderId="0" xfId="155" applyNumberFormat="1" applyFont="1" applyFill="1" applyBorder="1" applyAlignment="1">
      <alignment horizontal="center"/>
    </xf>
    <xf numFmtId="2" fontId="29" fillId="14" borderId="0" xfId="155" applyNumberFormat="1" applyFont="1" applyFill="1" applyAlignment="1">
      <alignment horizontal="center"/>
    </xf>
    <xf numFmtId="2" fontId="29" fillId="17" borderId="9" xfId="155" applyNumberFormat="1" applyFont="1" applyFill="1" applyBorder="1" applyAlignment="1">
      <alignment horizontal="center"/>
    </xf>
    <xf numFmtId="2" fontId="29" fillId="17" borderId="18" xfId="155" applyNumberFormat="1" applyFont="1" applyFill="1" applyBorder="1" applyAlignment="1">
      <alignment horizontal="center"/>
    </xf>
    <xf numFmtId="2" fontId="42" fillId="17" borderId="0" xfId="155" applyNumberFormat="1" applyFont="1" applyFill="1" applyAlignment="1">
      <alignment horizontal="center"/>
    </xf>
    <xf numFmtId="2" fontId="0" fillId="0" borderId="0" xfId="0" applyNumberFormat="1" applyFont="1" applyBorder="1"/>
    <xf numFmtId="2" fontId="29" fillId="17" borderId="38" xfId="155" applyNumberFormat="1" applyFont="1" applyFill="1" applyBorder="1" applyAlignment="1">
      <alignment horizontal="center"/>
    </xf>
    <xf numFmtId="2" fontId="46" fillId="17" borderId="0" xfId="155" applyNumberFormat="1" applyFont="1" applyFill="1" applyBorder="1" applyAlignment="1">
      <alignment horizontal="center"/>
    </xf>
    <xf numFmtId="2" fontId="29" fillId="14" borderId="25" xfId="155" applyNumberFormat="1" applyFont="1" applyFill="1" applyBorder="1" applyAlignment="1">
      <alignment horizontal="center"/>
    </xf>
    <xf numFmtId="2" fontId="47" fillId="17" borderId="0" xfId="155" applyNumberFormat="1" applyFont="1" applyFill="1" applyBorder="1" applyAlignment="1">
      <alignment horizontal="center"/>
    </xf>
    <xf numFmtId="2" fontId="47" fillId="17" borderId="0" xfId="155" applyNumberFormat="1" applyFont="1" applyFill="1" applyAlignment="1">
      <alignment horizontal="center"/>
    </xf>
    <xf numFmtId="2" fontId="0" fillId="0" borderId="0" xfId="0" applyNumberFormat="1" applyAlignment="1">
      <alignment horizontal="left"/>
    </xf>
    <xf numFmtId="2" fontId="0" fillId="0" borderId="0" xfId="0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5" fillId="0" borderId="7" xfId="0" applyFont="1" applyBorder="1"/>
    <xf numFmtId="0" fontId="5" fillId="0" borderId="6" xfId="0" applyFont="1" applyBorder="1"/>
    <xf numFmtId="0" fontId="5" fillId="0" borderId="7" xfId="0" applyFont="1" applyFill="1" applyBorder="1" applyAlignment="1">
      <alignment horizontal="right" wrapText="1"/>
    </xf>
    <xf numFmtId="2" fontId="5" fillId="0" borderId="7" xfId="0" applyNumberFormat="1" applyFont="1" applyFill="1" applyBorder="1" applyAlignment="1">
      <alignment horizontal="right" wrapText="1"/>
    </xf>
    <xf numFmtId="0" fontId="5" fillId="0" borderId="9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right"/>
    </xf>
    <xf numFmtId="2" fontId="5" fillId="0" borderId="13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6" xfId="0" applyFont="1" applyBorder="1" applyAlignment="1">
      <alignment horizontal="right"/>
    </xf>
    <xf numFmtId="2" fontId="5" fillId="0" borderId="3" xfId="0" applyNumberFormat="1" applyFont="1" applyBorder="1" applyAlignment="1">
      <alignment horizontal="right"/>
    </xf>
    <xf numFmtId="0" fontId="5" fillId="0" borderId="25" xfId="0" applyFont="1" applyBorder="1"/>
    <xf numFmtId="0" fontId="5" fillId="0" borderId="18" xfId="0" applyFont="1" applyBorder="1"/>
    <xf numFmtId="0" fontId="5" fillId="0" borderId="23" xfId="0" applyFont="1" applyBorder="1"/>
    <xf numFmtId="0" fontId="5" fillId="0" borderId="27" xfId="0" applyFont="1" applyBorder="1" applyAlignment="1">
      <alignment horizontal="right"/>
    </xf>
    <xf numFmtId="2" fontId="5" fillId="0" borderId="24" xfId="0" applyNumberFormat="1" applyFont="1" applyBorder="1" applyAlignment="1">
      <alignment horizontal="right"/>
    </xf>
    <xf numFmtId="0" fontId="5" fillId="0" borderId="27" xfId="0" quotePrefix="1" applyFont="1" applyBorder="1" applyAlignment="1">
      <alignment horizontal="right"/>
    </xf>
    <xf numFmtId="0" fontId="5" fillId="0" borderId="18" xfId="0" applyFont="1" applyBorder="1" applyAlignment="1">
      <alignment wrapText="1"/>
    </xf>
    <xf numFmtId="0" fontId="5" fillId="0" borderId="25" xfId="0" quotePrefix="1" applyFont="1" applyBorder="1"/>
    <xf numFmtId="0" fontId="5" fillId="0" borderId="27" xfId="0" applyFont="1" applyBorder="1" applyAlignment="1">
      <alignment horizontal="right" wrapText="1"/>
    </xf>
    <xf numFmtId="0" fontId="5" fillId="0" borderId="25" xfId="0" applyFont="1" applyBorder="1" applyAlignment="1">
      <alignment wrapText="1"/>
    </xf>
    <xf numFmtId="0" fontId="5" fillId="0" borderId="23" xfId="0" applyFont="1" applyBorder="1" applyAlignment="1">
      <alignment horizontal="right"/>
    </xf>
    <xf numFmtId="2" fontId="5" fillId="0" borderId="22" xfId="0" applyNumberFormat="1" applyFont="1" applyBorder="1" applyAlignment="1">
      <alignment horizontal="right"/>
    </xf>
    <xf numFmtId="0" fontId="5" fillId="0" borderId="0" xfId="0" quotePrefix="1" applyFont="1"/>
    <xf numFmtId="1" fontId="5" fillId="0" borderId="0" xfId="0" applyNumberFormat="1" applyFont="1"/>
    <xf numFmtId="0" fontId="5" fillId="0" borderId="13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5" fillId="0" borderId="15" xfId="0" applyFont="1" applyBorder="1"/>
    <xf numFmtId="0" fontId="5" fillId="0" borderId="16" xfId="0" applyFont="1" applyBorder="1" applyAlignment="1">
      <alignment wrapText="1"/>
    </xf>
    <xf numFmtId="0" fontId="5" fillId="0" borderId="17" xfId="0" applyFont="1" applyFill="1" applyBorder="1" applyAlignment="1">
      <alignment horizontal="center"/>
    </xf>
    <xf numFmtId="0" fontId="5" fillId="0" borderId="7" xfId="0" applyFont="1" applyBorder="1" applyAlignment="1">
      <alignment wrapText="1"/>
    </xf>
    <xf numFmtId="1" fontId="5" fillId="0" borderId="17" xfId="0" applyNumberFormat="1" applyFont="1" applyFill="1" applyBorder="1" applyAlignment="1">
      <alignment horizontal="center"/>
    </xf>
    <xf numFmtId="1" fontId="5" fillId="0" borderId="17" xfId="0" applyNumberFormat="1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7" xfId="0" applyFont="1" applyFill="1" applyBorder="1"/>
    <xf numFmtId="0" fontId="5" fillId="0" borderId="16" xfId="0" applyFont="1" applyBorder="1"/>
    <xf numFmtId="0" fontId="5" fillId="0" borderId="13" xfId="0" applyFont="1" applyFill="1" applyBorder="1"/>
    <xf numFmtId="0" fontId="5" fillId="0" borderId="9" xfId="0" applyFont="1" applyFill="1" applyBorder="1"/>
    <xf numFmtId="1" fontId="5" fillId="0" borderId="15" xfId="0" applyNumberFormat="1" applyFont="1" applyBorder="1"/>
    <xf numFmtId="9" fontId="5" fillId="0" borderId="9" xfId="155" applyFont="1" applyBorder="1"/>
    <xf numFmtId="0" fontId="5" fillId="0" borderId="32" xfId="0" applyFont="1" applyBorder="1"/>
    <xf numFmtId="9" fontId="5" fillId="0" borderId="32" xfId="155" applyFont="1" applyBorder="1"/>
    <xf numFmtId="0" fontId="5" fillId="0" borderId="5" xfId="0" applyFont="1" applyBorder="1"/>
    <xf numFmtId="0" fontId="5" fillId="0" borderId="3" xfId="0" applyFont="1" applyFill="1" applyBorder="1"/>
    <xf numFmtId="0" fontId="5" fillId="0" borderId="0" xfId="0" applyFont="1" applyFill="1" applyBorder="1"/>
    <xf numFmtId="1" fontId="5" fillId="0" borderId="1" xfId="0" applyNumberFormat="1" applyFont="1" applyBorder="1"/>
    <xf numFmtId="9" fontId="5" fillId="0" borderId="0" xfId="155" applyFont="1" applyBorder="1"/>
    <xf numFmtId="0" fontId="5" fillId="0" borderId="31" xfId="0" applyFont="1" applyBorder="1"/>
    <xf numFmtId="9" fontId="5" fillId="0" borderId="31" xfId="155" applyFont="1" applyBorder="1"/>
    <xf numFmtId="0" fontId="5" fillId="0" borderId="21" xfId="0" applyFont="1" applyBorder="1"/>
    <xf numFmtId="0" fontId="5" fillId="0" borderId="22" xfId="0" applyFont="1" applyFill="1" applyBorder="1"/>
    <xf numFmtId="0" fontId="5" fillId="0" borderId="18" xfId="0" applyFont="1" applyFill="1" applyBorder="1"/>
    <xf numFmtId="1" fontId="5" fillId="0" borderId="26" xfId="0" applyNumberFormat="1" applyFont="1" applyBorder="1"/>
    <xf numFmtId="9" fontId="5" fillId="0" borderId="25" xfId="155" applyFont="1" applyBorder="1"/>
    <xf numFmtId="0" fontId="5" fillId="0" borderId="34" xfId="0" applyFont="1" applyBorder="1"/>
    <xf numFmtId="9" fontId="5" fillId="0" borderId="34" xfId="155" applyFont="1" applyBorder="1"/>
    <xf numFmtId="0" fontId="5" fillId="0" borderId="27" xfId="0" applyFont="1" applyBorder="1"/>
    <xf numFmtId="0" fontId="5" fillId="0" borderId="29" xfId="0" applyFont="1" applyBorder="1"/>
    <xf numFmtId="1" fontId="5" fillId="0" borderId="26" xfId="0" applyNumberFormat="1" applyFont="1" applyFill="1" applyBorder="1"/>
    <xf numFmtId="9" fontId="5" fillId="0" borderId="18" xfId="155" applyFont="1" applyFill="1" applyBorder="1"/>
    <xf numFmtId="1" fontId="5" fillId="0" borderId="18" xfId="0" applyNumberFormat="1" applyFont="1" applyBorder="1" applyAlignment="1">
      <alignment wrapText="1"/>
    </xf>
    <xf numFmtId="9" fontId="5" fillId="0" borderId="18" xfId="155" applyFont="1" applyBorder="1" applyAlignment="1">
      <alignment wrapText="1"/>
    </xf>
    <xf numFmtId="0" fontId="5" fillId="0" borderId="27" xfId="0" quotePrefix="1" applyFont="1" applyBorder="1"/>
    <xf numFmtId="1" fontId="5" fillId="0" borderId="25" xfId="0" applyNumberFormat="1" applyFont="1" applyBorder="1"/>
    <xf numFmtId="0" fontId="5" fillId="0" borderId="24" xfId="0" applyFont="1" applyFill="1" applyBorder="1"/>
    <xf numFmtId="0" fontId="5" fillId="0" borderId="25" xfId="0" applyFont="1" applyFill="1" applyBorder="1"/>
    <xf numFmtId="0" fontId="5" fillId="0" borderId="27" xfId="0" applyFont="1" applyBorder="1" applyAlignment="1">
      <alignment wrapText="1"/>
    </xf>
    <xf numFmtId="0" fontId="5" fillId="0" borderId="19" xfId="0" applyFont="1" applyBorder="1"/>
    <xf numFmtId="0" fontId="5" fillId="0" borderId="20" xfId="0" applyFont="1" applyBorder="1"/>
    <xf numFmtId="0" fontId="5" fillId="0" borderId="17" xfId="0" applyFont="1" applyFill="1" applyBorder="1"/>
    <xf numFmtId="1" fontId="5" fillId="0" borderId="9" xfId="0" applyNumberFormat="1" applyFont="1" applyBorder="1"/>
    <xf numFmtId="164" fontId="5" fillId="0" borderId="9" xfId="0" applyNumberFormat="1" applyFont="1" applyBorder="1"/>
    <xf numFmtId="9" fontId="5" fillId="0" borderId="28" xfId="0" applyNumberFormat="1" applyFont="1" applyBorder="1"/>
    <xf numFmtId="0" fontId="5" fillId="0" borderId="4" xfId="0" applyFont="1" applyBorder="1"/>
    <xf numFmtId="0" fontId="5" fillId="0" borderId="1" xfId="0" applyFont="1" applyBorder="1"/>
    <xf numFmtId="1" fontId="5" fillId="0" borderId="0" xfId="0" applyNumberFormat="1" applyFont="1" applyFill="1" applyBorder="1"/>
    <xf numFmtId="164" fontId="5" fillId="0" borderId="3" xfId="0" applyNumberFormat="1" applyFont="1" applyFill="1" applyBorder="1"/>
    <xf numFmtId="1" fontId="5" fillId="0" borderId="3" xfId="0" applyNumberFormat="1" applyFont="1" applyBorder="1"/>
    <xf numFmtId="164" fontId="5" fillId="0" borderId="3" xfId="0" applyNumberFormat="1" applyFont="1" applyBorder="1"/>
    <xf numFmtId="164" fontId="5" fillId="0" borderId="0" xfId="0" applyNumberFormat="1" applyFont="1" applyBorder="1"/>
    <xf numFmtId="0" fontId="5" fillId="0" borderId="3" xfId="0" applyFont="1" applyBorder="1"/>
    <xf numFmtId="1" fontId="5" fillId="0" borderId="0" xfId="0" applyNumberFormat="1" applyFont="1" applyBorder="1"/>
    <xf numFmtId="165" fontId="5" fillId="0" borderId="0" xfId="0" applyNumberFormat="1" applyFont="1"/>
    <xf numFmtId="9" fontId="5" fillId="0" borderId="0" xfId="0" applyNumberFormat="1" applyFont="1"/>
    <xf numFmtId="165" fontId="5" fillId="0" borderId="0" xfId="0" applyNumberFormat="1" applyFont="1" applyBorder="1" applyAlignment="1">
      <alignment horizontal="center" wrapText="1"/>
    </xf>
    <xf numFmtId="0" fontId="5" fillId="0" borderId="2" xfId="0" applyFont="1" applyBorder="1"/>
    <xf numFmtId="0" fontId="5" fillId="0" borderId="0" xfId="0" applyFont="1" applyAlignment="1">
      <alignment wrapText="1"/>
    </xf>
    <xf numFmtId="0" fontId="5" fillId="0" borderId="14" xfId="0" applyFont="1" applyBorder="1"/>
    <xf numFmtId="0" fontId="5" fillId="0" borderId="45" xfId="0" applyFont="1" applyFill="1" applyBorder="1" applyAlignment="1">
      <alignment horizontal="center" wrapText="1"/>
    </xf>
    <xf numFmtId="165" fontId="5" fillId="0" borderId="3" xfId="0" applyNumberFormat="1" applyFont="1" applyBorder="1"/>
    <xf numFmtId="1" fontId="5" fillId="0" borderId="46" xfId="0" applyNumberFormat="1" applyFont="1" applyFill="1" applyBorder="1"/>
    <xf numFmtId="9" fontId="5" fillId="0" borderId="0" xfId="155" applyFont="1" applyFill="1" applyBorder="1"/>
    <xf numFmtId="9" fontId="5" fillId="0" borderId="0" xfId="0" applyNumberFormat="1" applyFont="1" applyBorder="1"/>
    <xf numFmtId="0" fontId="5" fillId="0" borderId="44" xfId="0" applyFont="1" applyFill="1" applyBorder="1"/>
    <xf numFmtId="9" fontId="5" fillId="0" borderId="18" xfId="0" applyNumberFormat="1" applyFont="1" applyBorder="1"/>
    <xf numFmtId="1" fontId="5" fillId="0" borderId="44" xfId="0" applyNumberFormat="1" applyFont="1" applyFill="1" applyBorder="1"/>
    <xf numFmtId="165" fontId="5" fillId="0" borderId="22" xfId="0" applyNumberFormat="1" applyFont="1" applyBorder="1"/>
    <xf numFmtId="9" fontId="5" fillId="0" borderId="25" xfId="0" applyNumberFormat="1" applyFont="1" applyBorder="1"/>
    <xf numFmtId="165" fontId="5" fillId="0" borderId="22" xfId="0" applyNumberFormat="1" applyFont="1" applyFill="1" applyBorder="1"/>
    <xf numFmtId="0" fontId="5" fillId="0" borderId="23" xfId="0" applyFont="1" applyFill="1" applyBorder="1"/>
    <xf numFmtId="0" fontId="5" fillId="0" borderId="21" xfId="0" applyFont="1" applyFill="1" applyBorder="1"/>
    <xf numFmtId="1" fontId="5" fillId="0" borderId="18" xfId="0" applyNumberFormat="1" applyFont="1" applyFill="1" applyBorder="1"/>
    <xf numFmtId="0" fontId="5" fillId="0" borderId="27" xfId="0" applyFont="1" applyFill="1" applyBorder="1"/>
    <xf numFmtId="0" fontId="5" fillId="0" borderId="29" xfId="0" applyFont="1" applyFill="1" applyBorder="1"/>
    <xf numFmtId="9" fontId="5" fillId="0" borderId="25" xfId="0" applyNumberFormat="1" applyFont="1" applyFill="1" applyBorder="1"/>
    <xf numFmtId="0" fontId="5" fillId="0" borderId="46" xfId="0" applyFont="1" applyFill="1" applyBorder="1"/>
    <xf numFmtId="9" fontId="5" fillId="0" borderId="25" xfId="155" applyFont="1" applyFill="1" applyBorder="1"/>
    <xf numFmtId="9" fontId="5" fillId="0" borderId="46" xfId="155" applyFont="1" applyFill="1" applyBorder="1"/>
    <xf numFmtId="0" fontId="5" fillId="0" borderId="18" xfId="0" applyFont="1" applyFill="1" applyBorder="1" applyAlignment="1">
      <alignment wrapText="1"/>
    </xf>
    <xf numFmtId="0" fontId="5" fillId="0" borderId="0" xfId="0" applyFont="1" applyFill="1"/>
    <xf numFmtId="9" fontId="5" fillId="0" borderId="0" xfId="155" applyFont="1" applyFill="1"/>
    <xf numFmtId="0" fontId="5" fillId="0" borderId="8" xfId="0" applyFont="1" applyFill="1" applyBorder="1"/>
    <xf numFmtId="0" fontId="5" fillId="0" borderId="10" xfId="0" applyFont="1" applyFill="1" applyBorder="1"/>
    <xf numFmtId="0" fontId="5" fillId="0" borderId="12" xfId="0" applyFont="1" applyFill="1" applyBorder="1"/>
    <xf numFmtId="165" fontId="5" fillId="0" borderId="13" xfId="0" applyNumberFormat="1" applyFont="1" applyFill="1" applyBorder="1"/>
    <xf numFmtId="1" fontId="5" fillId="0" borderId="44" xfId="155" applyNumberFormat="1" applyFont="1" applyFill="1" applyBorder="1"/>
    <xf numFmtId="9" fontId="5" fillId="0" borderId="22" xfId="155" applyFont="1" applyFill="1" applyBorder="1"/>
    <xf numFmtId="0" fontId="5" fillId="0" borderId="46" xfId="0" applyFont="1" applyBorder="1"/>
    <xf numFmtId="165" fontId="5" fillId="0" borderId="31" xfId="0" applyNumberFormat="1" applyFont="1" applyBorder="1"/>
    <xf numFmtId="1" fontId="5" fillId="18" borderId="3" xfId="0" applyNumberFormat="1" applyFont="1" applyFill="1" applyBorder="1"/>
    <xf numFmtId="2" fontId="35" fillId="13" borderId="0" xfId="0" applyNumberFormat="1" applyFont="1" applyFill="1" applyBorder="1" applyAlignment="1">
      <alignment horizontal="right"/>
    </xf>
    <xf numFmtId="2" fontId="35" fillId="16" borderId="0" xfId="0" applyNumberFormat="1" applyFont="1" applyFill="1" applyBorder="1" applyAlignment="1">
      <alignment horizontal="right"/>
    </xf>
    <xf numFmtId="2" fontId="29" fillId="14" borderId="0" xfId="155" applyNumberFormat="1" applyFont="1" applyFill="1" applyBorder="1" applyAlignment="1"/>
    <xf numFmtId="2" fontId="29" fillId="14" borderId="25" xfId="155" applyNumberFormat="1" applyFont="1" applyFill="1" applyBorder="1" applyAlignment="1"/>
    <xf numFmtId="2" fontId="29" fillId="13" borderId="0" xfId="0" applyNumberFormat="1" applyFont="1" applyFill="1" applyBorder="1" applyAlignment="1">
      <alignment horizontal="right"/>
    </xf>
    <xf numFmtId="2" fontId="29" fillId="13" borderId="0" xfId="0" applyNumberFormat="1" applyFont="1" applyFill="1" applyAlignment="1">
      <alignment horizontal="right"/>
    </xf>
    <xf numFmtId="2" fontId="29" fillId="13" borderId="0" xfId="155" applyNumberFormat="1" applyFont="1" applyFill="1" applyBorder="1" applyAlignment="1"/>
    <xf numFmtId="2" fontId="29" fillId="3" borderId="0" xfId="0" applyNumberFormat="1" applyFont="1" applyFill="1" applyBorder="1" applyAlignment="1">
      <alignment horizontal="right"/>
    </xf>
    <xf numFmtId="2" fontId="29" fillId="4" borderId="0" xfId="0" applyNumberFormat="1" applyFont="1" applyFill="1" applyBorder="1" applyAlignment="1">
      <alignment horizontal="right"/>
    </xf>
    <xf numFmtId="2" fontId="29" fillId="13" borderId="9" xfId="0" applyNumberFormat="1" applyFont="1" applyFill="1" applyBorder="1" applyAlignment="1">
      <alignment horizontal="right"/>
    </xf>
    <xf numFmtId="2" fontId="29" fillId="13" borderId="25" xfId="0" applyNumberFormat="1" applyFont="1" applyFill="1" applyBorder="1" applyAlignment="1">
      <alignment horizontal="right"/>
    </xf>
    <xf numFmtId="2" fontId="29" fillId="13" borderId="18" xfId="0" applyNumberFormat="1" applyFont="1" applyFill="1" applyBorder="1" applyAlignment="1">
      <alignment horizontal="right"/>
    </xf>
    <xf numFmtId="2" fontId="42" fillId="13" borderId="0" xfId="0" applyNumberFormat="1" applyFont="1" applyFill="1" applyAlignment="1">
      <alignment horizontal="right"/>
    </xf>
    <xf numFmtId="2" fontId="46" fillId="19" borderId="0" xfId="0" applyNumberFormat="1" applyFont="1" applyFill="1" applyBorder="1" applyAlignment="1">
      <alignment horizontal="right"/>
    </xf>
    <xf numFmtId="2" fontId="46" fillId="19" borderId="0" xfId="155" applyNumberFormat="1" applyFont="1" applyFill="1" applyBorder="1" applyAlignment="1">
      <alignment horizontal="center"/>
    </xf>
    <xf numFmtId="9" fontId="0" fillId="14" borderId="0" xfId="0" applyNumberFormat="1" applyFont="1" applyFill="1" applyBorder="1" applyAlignment="1"/>
    <xf numFmtId="0" fontId="0" fillId="13" borderId="0" xfId="0" applyFill="1" applyBorder="1" applyAlignment="1"/>
    <xf numFmtId="0" fontId="5" fillId="0" borderId="30" xfId="0" applyFont="1" applyFill="1" applyBorder="1" applyAlignment="1">
      <alignment horizontal="center" wrapText="1"/>
    </xf>
    <xf numFmtId="0" fontId="5" fillId="0" borderId="28" xfId="0" applyFont="1" applyFill="1" applyBorder="1" applyAlignment="1">
      <alignment horizontal="center" wrapText="1"/>
    </xf>
    <xf numFmtId="0" fontId="5" fillId="4" borderId="42" xfId="0" applyFont="1" applyFill="1" applyBorder="1" applyAlignment="1">
      <alignment horizontal="center"/>
    </xf>
    <xf numFmtId="0" fontId="5" fillId="4" borderId="43" xfId="0" applyFon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9" fontId="0" fillId="0" borderId="0" xfId="155" applyFont="1"/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left"/>
    </xf>
    <xf numFmtId="9" fontId="0" fillId="0" borderId="0" xfId="155" applyFont="1" applyAlignment="1">
      <alignment horizontal="center"/>
    </xf>
    <xf numFmtId="1" fontId="29" fillId="0" borderId="0" xfId="0" applyNumberFormat="1" applyFont="1" applyFill="1" applyAlignment="1">
      <alignment horizontal="right"/>
    </xf>
    <xf numFmtId="0" fontId="29" fillId="21" borderId="0" xfId="0" applyFont="1" applyFill="1" applyAlignment="1">
      <alignment horizontal="right"/>
    </xf>
    <xf numFmtId="0" fontId="29" fillId="21" borderId="0" xfId="0" applyFont="1" applyFill="1" applyBorder="1" applyAlignment="1">
      <alignment horizontal="right"/>
    </xf>
    <xf numFmtId="0" fontId="29" fillId="22" borderId="0" xfId="0" applyFont="1" applyFill="1" applyAlignment="1">
      <alignment horizontal="right"/>
    </xf>
    <xf numFmtId="0" fontId="29" fillId="22" borderId="0" xfId="0" applyFont="1" applyFill="1" applyBorder="1" applyAlignment="1">
      <alignment horizontal="right"/>
    </xf>
    <xf numFmtId="0" fontId="0" fillId="22" borderId="0" xfId="0" applyFill="1" applyAlignment="1">
      <alignment horizontal="right"/>
    </xf>
    <xf numFmtId="0" fontId="24" fillId="23" borderId="6" xfId="0" applyFont="1" applyFill="1" applyBorder="1"/>
    <xf numFmtId="2" fontId="0" fillId="0" borderId="0" xfId="155" applyNumberFormat="1" applyFont="1" applyAlignment="1">
      <alignment horizontal="center"/>
    </xf>
    <xf numFmtId="0" fontId="3" fillId="0" borderId="17" xfId="0" applyFont="1" applyBorder="1" applyAlignment="1">
      <alignment wrapText="1"/>
    </xf>
    <xf numFmtId="0" fontId="3" fillId="0" borderId="17" xfId="0" applyFont="1" applyFill="1" applyBorder="1" applyAlignment="1">
      <alignment horizontal="center"/>
    </xf>
    <xf numFmtId="0" fontId="47" fillId="0" borderId="0" xfId="0" applyFont="1" applyFill="1" applyBorder="1" applyAlignment="1">
      <alignment horizontal="center"/>
    </xf>
    <xf numFmtId="0" fontId="47" fillId="0" borderId="3" xfId="0" applyFont="1" applyFill="1" applyBorder="1" applyAlignment="1">
      <alignment horizontal="center"/>
    </xf>
    <xf numFmtId="0" fontId="47" fillId="0" borderId="0" xfId="0" applyFont="1" applyFill="1"/>
    <xf numFmtId="0" fontId="47" fillId="0" borderId="0" xfId="0" applyFont="1" applyFill="1" applyAlignment="1"/>
    <xf numFmtId="9" fontId="46" fillId="0" borderId="25" xfId="0" applyNumberFormat="1" applyFont="1" applyFill="1" applyBorder="1" applyAlignment="1"/>
    <xf numFmtId="2" fontId="47" fillId="0" borderId="0" xfId="155" applyNumberFormat="1" applyFont="1" applyFill="1" applyAlignment="1">
      <alignment horizontal="center"/>
    </xf>
    <xf numFmtId="1" fontId="46" fillId="0" borderId="0" xfId="0" applyNumberFormat="1" applyFont="1" applyFill="1" applyBorder="1" applyAlignment="1">
      <alignment horizontal="right"/>
    </xf>
    <xf numFmtId="0" fontId="47" fillId="0" borderId="6" xfId="0" applyFont="1" applyFill="1" applyBorder="1" applyAlignment="1">
      <alignment horizontal="center"/>
    </xf>
    <xf numFmtId="9" fontId="35" fillId="0" borderId="0" xfId="0" applyNumberFormat="1" applyFont="1" applyFill="1" applyBorder="1" applyAlignment="1">
      <alignment horizontal="left"/>
    </xf>
    <xf numFmtId="9" fontId="46" fillId="0" borderId="0" xfId="0" applyNumberFormat="1" applyFont="1" applyFill="1" applyBorder="1" applyAlignment="1">
      <alignment horizontal="left"/>
    </xf>
    <xf numFmtId="2" fontId="16" fillId="13" borderId="0" xfId="155" applyNumberFormat="1" applyFont="1" applyFill="1" applyBorder="1" applyAlignment="1">
      <alignment horizontal="center" wrapText="1"/>
    </xf>
    <xf numFmtId="2" fontId="46" fillId="14" borderId="0" xfId="0" applyNumberFormat="1" applyFont="1" applyFill="1" applyBorder="1" applyAlignment="1">
      <alignment horizontal="right"/>
    </xf>
    <xf numFmtId="2" fontId="46" fillId="14" borderId="0" xfId="155" applyNumberFormat="1" applyFont="1" applyFill="1" applyBorder="1" applyAlignment="1">
      <alignment horizontal="center"/>
    </xf>
    <xf numFmtId="0" fontId="0" fillId="14" borderId="0" xfId="0" applyFont="1" applyFill="1" applyBorder="1" applyAlignment="1"/>
    <xf numFmtId="0" fontId="0" fillId="4" borderId="0" xfId="0" applyFill="1"/>
    <xf numFmtId="0" fontId="0" fillId="4" borderId="0" xfId="0" applyFill="1" applyAlignment="1"/>
    <xf numFmtId="2" fontId="29" fillId="4" borderId="0" xfId="155" applyNumberFormat="1" applyFont="1" applyFill="1" applyBorder="1" applyAlignment="1">
      <alignment horizontal="center"/>
    </xf>
    <xf numFmtId="0" fontId="29" fillId="4" borderId="0" xfId="0" applyFont="1" applyFill="1" applyBorder="1" applyAlignment="1">
      <alignment horizontal="left"/>
    </xf>
    <xf numFmtId="0" fontId="0" fillId="4" borderId="0" xfId="0" applyFont="1" applyFill="1" applyBorder="1" applyAlignment="1"/>
    <xf numFmtId="0" fontId="0" fillId="4" borderId="1" xfId="0" applyFill="1" applyBorder="1"/>
    <xf numFmtId="0" fontId="0" fillId="4" borderId="0" xfId="0" applyFill="1" applyBorder="1"/>
    <xf numFmtId="2" fontId="35" fillId="4" borderId="0" xfId="155" applyNumberFormat="1" applyFont="1" applyFill="1" applyBorder="1" applyAlignment="1">
      <alignment horizontal="center"/>
    </xf>
    <xf numFmtId="0" fontId="0" fillId="4" borderId="0" xfId="0" applyFont="1" applyFill="1"/>
    <xf numFmtId="0" fontId="0" fillId="4" borderId="0" xfId="0" applyFont="1" applyFill="1" applyAlignment="1"/>
    <xf numFmtId="2" fontId="29" fillId="4" borderId="0" xfId="155" applyNumberFormat="1" applyFont="1" applyFill="1" applyAlignment="1">
      <alignment horizontal="center"/>
    </xf>
    <xf numFmtId="0" fontId="29" fillId="4" borderId="0" xfId="0" applyFont="1" applyFill="1"/>
    <xf numFmtId="0" fontId="29" fillId="4" borderId="0" xfId="0" applyFont="1" applyFill="1" applyAlignment="1"/>
    <xf numFmtId="0" fontId="0" fillId="4" borderId="6" xfId="0" applyFill="1" applyBorder="1"/>
    <xf numFmtId="0" fontId="0" fillId="4" borderId="3" xfId="0" applyFill="1" applyBorder="1"/>
    <xf numFmtId="0" fontId="29" fillId="4" borderId="0" xfId="0" applyFont="1" applyFill="1" applyAlignment="1">
      <alignment horizontal="left"/>
    </xf>
    <xf numFmtId="0" fontId="29" fillId="4" borderId="0" xfId="0" applyFont="1" applyFill="1" applyBorder="1"/>
    <xf numFmtId="0" fontId="0" fillId="4" borderId="9" xfId="0" applyFont="1" applyFill="1" applyBorder="1"/>
    <xf numFmtId="0" fontId="0" fillId="4" borderId="9" xfId="0" applyFill="1" applyBorder="1"/>
    <xf numFmtId="0" fontId="0" fillId="4" borderId="9" xfId="0" applyFont="1" applyFill="1" applyBorder="1" applyAlignment="1"/>
    <xf numFmtId="0" fontId="0" fillId="4" borderId="8" xfId="0" applyFill="1" applyBorder="1"/>
    <xf numFmtId="0" fontId="0" fillId="4" borderId="13" xfId="0" applyFill="1" applyBorder="1"/>
    <xf numFmtId="0" fontId="0" fillId="4" borderId="25" xfId="0" applyFont="1" applyFill="1" applyBorder="1" applyAlignment="1"/>
    <xf numFmtId="0" fontId="20" fillId="4" borderId="0" xfId="0" applyFont="1" applyFill="1"/>
    <xf numFmtId="0" fontId="20" fillId="4" borderId="0" xfId="0" applyFont="1" applyFill="1" applyBorder="1"/>
    <xf numFmtId="0" fontId="0" fillId="4" borderId="27" xfId="0" applyFont="1" applyFill="1" applyBorder="1"/>
    <xf numFmtId="0" fontId="0" fillId="4" borderId="24" xfId="0" applyFont="1" applyFill="1" applyBorder="1"/>
    <xf numFmtId="2" fontId="29" fillId="4" borderId="25" xfId="155" applyNumberFormat="1" applyFont="1" applyFill="1" applyBorder="1" applyAlignment="1">
      <alignment horizontal="center"/>
    </xf>
    <xf numFmtId="0" fontId="0" fillId="4" borderId="18" xfId="0" applyFont="1" applyFill="1" applyBorder="1"/>
    <xf numFmtId="0" fontId="0" fillId="4" borderId="18" xfId="0" applyFont="1" applyFill="1" applyBorder="1" applyAlignment="1"/>
    <xf numFmtId="0" fontId="18" fillId="13" borderId="6" xfId="0" applyFont="1" applyFill="1" applyBorder="1" applyAlignment="1">
      <alignment horizontal="right"/>
    </xf>
    <xf numFmtId="0" fontId="18" fillId="13" borderId="3" xfId="0" applyFont="1" applyFill="1" applyBorder="1" applyAlignment="1">
      <alignment wrapText="1"/>
    </xf>
    <xf numFmtId="1" fontId="18" fillId="13" borderId="6" xfId="0" applyNumberFormat="1" applyFont="1" applyFill="1" applyBorder="1" applyAlignment="1">
      <alignment horizontal="right" wrapText="1"/>
    </xf>
    <xf numFmtId="0" fontId="18" fillId="13" borderId="6" xfId="0" applyFont="1" applyFill="1" applyBorder="1" applyAlignment="1">
      <alignment horizontal="right" wrapText="1"/>
    </xf>
    <xf numFmtId="0" fontId="16" fillId="13" borderId="6" xfId="0" applyFont="1" applyFill="1" applyBorder="1" applyAlignment="1">
      <alignment horizontal="right" wrapText="1"/>
    </xf>
    <xf numFmtId="0" fontId="18" fillId="2" borderId="6" xfId="0" applyFont="1" applyFill="1" applyBorder="1" applyAlignment="1">
      <alignment horizontal="right" wrapText="1"/>
    </xf>
    <xf numFmtId="0" fontId="18" fillId="4" borderId="6" xfId="0" applyFont="1" applyFill="1" applyBorder="1" applyAlignment="1">
      <alignment horizontal="left" wrapText="1"/>
    </xf>
    <xf numFmtId="1" fontId="0" fillId="0" borderId="38" xfId="0" applyNumberFormat="1" applyFont="1" applyFill="1" applyBorder="1" applyAlignment="1"/>
    <xf numFmtId="1" fontId="35" fillId="13" borderId="38" xfId="0" applyNumberFormat="1" applyFont="1" applyFill="1" applyBorder="1" applyAlignment="1">
      <alignment horizontal="right"/>
    </xf>
    <xf numFmtId="2" fontId="46" fillId="8" borderId="7" xfId="155" applyNumberFormat="1" applyFont="1" applyFill="1" applyBorder="1" applyAlignment="1">
      <alignment horizontal="center"/>
    </xf>
    <xf numFmtId="0" fontId="0" fillId="14" borderId="8" xfId="0" applyFont="1" applyFill="1" applyBorder="1"/>
    <xf numFmtId="0" fontId="0" fillId="14" borderId="8" xfId="0" applyFont="1" applyFill="1" applyBorder="1" applyAlignment="1">
      <alignment horizontal="right"/>
    </xf>
    <xf numFmtId="0" fontId="0" fillId="14" borderId="8" xfId="0" applyFont="1" applyFill="1" applyBorder="1" applyAlignment="1">
      <alignment horizontal="center"/>
    </xf>
    <xf numFmtId="0" fontId="29" fillId="14" borderId="8" xfId="0" applyFont="1" applyFill="1" applyBorder="1" applyAlignment="1">
      <alignment horizontal="right"/>
    </xf>
    <xf numFmtId="9" fontId="0" fillId="14" borderId="8" xfId="155" applyFont="1" applyFill="1" applyBorder="1" applyAlignment="1">
      <alignment horizontal="right"/>
    </xf>
    <xf numFmtId="1" fontId="0" fillId="14" borderId="8" xfId="0" applyNumberFormat="1" applyFont="1" applyFill="1" applyBorder="1" applyAlignment="1">
      <alignment horizontal="right"/>
    </xf>
    <xf numFmtId="1" fontId="0" fillId="14" borderId="8" xfId="155" applyNumberFormat="1" applyFont="1" applyFill="1" applyBorder="1" applyAlignment="1"/>
    <xf numFmtId="1" fontId="0" fillId="14" borderId="8" xfId="155" applyNumberFormat="1" applyFont="1" applyFill="1" applyBorder="1" applyAlignment="1">
      <alignment horizontal="right"/>
    </xf>
    <xf numFmtId="2" fontId="0" fillId="14" borderId="8" xfId="155" applyNumberFormat="1" applyFont="1" applyFill="1" applyBorder="1" applyAlignment="1">
      <alignment horizontal="right"/>
    </xf>
    <xf numFmtId="2" fontId="0" fillId="14" borderId="8" xfId="155" applyNumberFormat="1" applyFont="1" applyFill="1" applyBorder="1" applyAlignment="1">
      <alignment horizontal="center"/>
    </xf>
    <xf numFmtId="9" fontId="0" fillId="0" borderId="0" xfId="155" applyFont="1" applyFill="1"/>
    <xf numFmtId="2" fontId="46" fillId="14" borderId="8" xfId="155" applyNumberFormat="1" applyFont="1" applyFill="1" applyBorder="1" applyAlignment="1">
      <alignment horizontal="center"/>
    </xf>
    <xf numFmtId="0" fontId="24" fillId="24" borderId="8" xfId="0" applyFont="1" applyFill="1" applyBorder="1"/>
    <xf numFmtId="2" fontId="46" fillId="13" borderId="0" xfId="0" applyNumberFormat="1" applyFont="1" applyFill="1" applyBorder="1" applyAlignment="1">
      <alignment horizontal="right"/>
    </xf>
    <xf numFmtId="2" fontId="46" fillId="13" borderId="0" xfId="155" applyNumberFormat="1" applyFont="1" applyFill="1" applyBorder="1" applyAlignment="1">
      <alignment horizontal="center"/>
    </xf>
    <xf numFmtId="0" fontId="29" fillId="14" borderId="0" xfId="0" applyFont="1" applyFill="1" applyBorder="1" applyAlignment="1">
      <alignment horizontal="right"/>
    </xf>
    <xf numFmtId="9" fontId="46" fillId="14" borderId="0" xfId="155" applyFont="1" applyFill="1" applyBorder="1" applyAlignment="1">
      <alignment horizontal="right"/>
    </xf>
    <xf numFmtId="9" fontId="46" fillId="13" borderId="0" xfId="155" applyFont="1" applyFill="1" applyBorder="1" applyAlignment="1">
      <alignment horizontal="right"/>
    </xf>
    <xf numFmtId="2" fontId="29" fillId="3" borderId="0" xfId="155" applyNumberFormat="1" applyFont="1" applyFill="1" applyBorder="1" applyAlignment="1">
      <alignment horizontal="center"/>
    </xf>
    <xf numFmtId="2" fontId="0" fillId="17" borderId="0" xfId="0" applyNumberFormat="1" applyFont="1" applyFill="1" applyBorder="1"/>
    <xf numFmtId="0" fontId="0" fillId="17" borderId="0" xfId="0" applyFont="1" applyFill="1" applyBorder="1"/>
    <xf numFmtId="0" fontId="29" fillId="17" borderId="0" xfId="0" applyFont="1" applyFill="1" applyBorder="1" applyAlignment="1">
      <alignment horizontal="right"/>
    </xf>
    <xf numFmtId="0" fontId="47" fillId="8" borderId="3" xfId="0" applyFont="1" applyFill="1" applyBorder="1"/>
    <xf numFmtId="0" fontId="47" fillId="8" borderId="23" xfId="0" applyFont="1" applyFill="1" applyBorder="1"/>
    <xf numFmtId="0" fontId="47" fillId="8" borderId="23" xfId="0" applyFont="1" applyFill="1" applyBorder="1" applyAlignment="1">
      <alignment horizontal="right"/>
    </xf>
    <xf numFmtId="0" fontId="47" fillId="8" borderId="7" xfId="0" applyFont="1" applyFill="1" applyBorder="1" applyAlignment="1">
      <alignment horizontal="center"/>
    </xf>
    <xf numFmtId="1" fontId="47" fillId="8" borderId="7" xfId="0" applyNumberFormat="1" applyFont="1" applyFill="1" applyBorder="1" applyAlignment="1">
      <alignment horizontal="right"/>
    </xf>
    <xf numFmtId="9" fontId="47" fillId="8" borderId="7" xfId="155" applyFont="1" applyFill="1" applyBorder="1" applyAlignment="1">
      <alignment horizontal="right"/>
    </xf>
    <xf numFmtId="2" fontId="47" fillId="8" borderId="7" xfId="155" applyNumberFormat="1" applyFont="1" applyFill="1" applyBorder="1" applyAlignment="1">
      <alignment horizontal="center"/>
    </xf>
    <xf numFmtId="9" fontId="47" fillId="8" borderId="7" xfId="155" applyFont="1" applyFill="1" applyBorder="1" applyAlignment="1">
      <alignment horizontal="center"/>
    </xf>
    <xf numFmtId="9" fontId="46" fillId="8" borderId="7" xfId="0" applyNumberFormat="1" applyFont="1" applyFill="1" applyBorder="1" applyAlignment="1">
      <alignment horizontal="right"/>
    </xf>
    <xf numFmtId="10" fontId="47" fillId="8" borderId="23" xfId="0" applyNumberFormat="1" applyFont="1" applyFill="1" applyBorder="1"/>
    <xf numFmtId="0" fontId="47" fillId="8" borderId="0" xfId="0" applyFont="1" applyFill="1" applyBorder="1"/>
    <xf numFmtId="9" fontId="46" fillId="8" borderId="0" xfId="0" applyNumberFormat="1" applyFont="1" applyFill="1" applyBorder="1" applyAlignment="1">
      <alignment horizontal="left"/>
    </xf>
    <xf numFmtId="0" fontId="18" fillId="2" borderId="6" xfId="0" applyFont="1" applyFill="1" applyBorder="1"/>
    <xf numFmtId="0" fontId="18" fillId="2" borderId="6" xfId="0" applyFont="1" applyFill="1" applyBorder="1" applyAlignment="1">
      <alignment horizontal="right"/>
    </xf>
    <xf numFmtId="2" fontId="16" fillId="13" borderId="8" xfId="155" applyNumberFormat="1" applyFont="1" applyFill="1" applyBorder="1" applyAlignment="1">
      <alignment horizontal="center" wrapText="1"/>
    </xf>
    <xf numFmtId="0" fontId="18" fillId="2" borderId="6" xfId="0" applyFont="1" applyFill="1" applyBorder="1" applyAlignment="1">
      <alignment wrapText="1"/>
    </xf>
    <xf numFmtId="0" fontId="48" fillId="0" borderId="52" xfId="0" applyFont="1" applyBorder="1"/>
    <xf numFmtId="0" fontId="48" fillId="0" borderId="57" xfId="0" applyFont="1" applyBorder="1" applyAlignment="1">
      <alignment horizontal="center" wrapText="1"/>
    </xf>
    <xf numFmtId="0" fontId="48" fillId="0" borderId="47" xfId="0" applyFont="1" applyFill="1" applyBorder="1"/>
    <xf numFmtId="0" fontId="48" fillId="0" borderId="56" xfId="0" applyFont="1" applyBorder="1" applyAlignment="1">
      <alignment horizontal="center" wrapText="1"/>
    </xf>
    <xf numFmtId="0" fontId="48" fillId="0" borderId="57" xfId="0" applyFont="1" applyBorder="1"/>
    <xf numFmtId="0" fontId="48" fillId="0" borderId="58" xfId="0" applyFont="1" applyBorder="1" applyAlignment="1">
      <alignment horizontal="center" wrapText="1" shrinkToFit="1"/>
    </xf>
    <xf numFmtId="0" fontId="48" fillId="0" borderId="60" xfId="0" applyFont="1" applyFill="1" applyBorder="1" applyAlignment="1">
      <alignment horizontal="right" wrapText="1"/>
    </xf>
    <xf numFmtId="9" fontId="48" fillId="0" borderId="60" xfId="155" applyFont="1" applyFill="1" applyBorder="1" applyAlignment="1">
      <alignment horizontal="center" wrapText="1"/>
    </xf>
    <xf numFmtId="0" fontId="48" fillId="0" borderId="60" xfId="0" applyFont="1" applyFill="1" applyBorder="1" applyAlignment="1">
      <alignment horizontal="center" wrapText="1"/>
    </xf>
    <xf numFmtId="9" fontId="48" fillId="0" borderId="61" xfId="155" applyFont="1" applyFill="1" applyBorder="1" applyAlignment="1">
      <alignment horizontal="center" wrapText="1"/>
    </xf>
    <xf numFmtId="0" fontId="48" fillId="0" borderId="63" xfId="0" applyFont="1" applyFill="1" applyBorder="1" applyAlignment="1">
      <alignment horizontal="right" wrapText="1"/>
    </xf>
    <xf numFmtId="9" fontId="48" fillId="0" borderId="64" xfId="155" applyFont="1" applyFill="1" applyBorder="1" applyAlignment="1">
      <alignment horizontal="center" wrapText="1"/>
    </xf>
    <xf numFmtId="0" fontId="48" fillId="0" borderId="50" xfId="0" applyFont="1" applyBorder="1" applyAlignment="1">
      <alignment wrapText="1"/>
    </xf>
    <xf numFmtId="0" fontId="48" fillId="0" borderId="51" xfId="0" applyFont="1" applyBorder="1" applyAlignment="1">
      <alignment horizontal="center"/>
    </xf>
    <xf numFmtId="0" fontId="48" fillId="0" borderId="9" xfId="0" applyFont="1" applyBorder="1"/>
    <xf numFmtId="0" fontId="48" fillId="0" borderId="32" xfId="0" applyFont="1" applyBorder="1"/>
    <xf numFmtId="9" fontId="48" fillId="0" borderId="9" xfId="155" applyFont="1" applyFill="1" applyBorder="1" applyAlignment="1">
      <alignment horizontal="right"/>
    </xf>
    <xf numFmtId="0" fontId="48" fillId="0" borderId="53" xfId="0" applyFont="1" applyBorder="1" applyAlignment="1">
      <alignment horizontal="center"/>
    </xf>
    <xf numFmtId="0" fontId="48" fillId="0" borderId="0" xfId="0" applyFont="1" applyBorder="1"/>
    <xf numFmtId="0" fontId="48" fillId="0" borderId="54" xfId="0" applyFont="1" applyBorder="1" applyAlignment="1">
      <alignment horizontal="center"/>
    </xf>
    <xf numFmtId="0" fontId="48" fillId="0" borderId="25" xfId="0" applyFont="1" applyBorder="1"/>
    <xf numFmtId="0" fontId="48" fillId="0" borderId="18" xfId="0" applyFont="1" applyBorder="1"/>
    <xf numFmtId="0" fontId="48" fillId="0" borderId="36" xfId="0" applyFont="1" applyBorder="1"/>
    <xf numFmtId="0" fontId="48" fillId="0" borderId="54" xfId="0" applyFont="1" applyFill="1" applyBorder="1" applyAlignment="1">
      <alignment horizontal="center"/>
    </xf>
    <xf numFmtId="0" fontId="48" fillId="0" borderId="25" xfId="0" applyFont="1" applyFill="1" applyBorder="1"/>
    <xf numFmtId="0" fontId="48" fillId="0" borderId="35" xfId="0" applyFont="1" applyFill="1" applyBorder="1" applyAlignment="1">
      <alignment wrapText="1"/>
    </xf>
    <xf numFmtId="0" fontId="48" fillId="0" borderId="0" xfId="0" applyFont="1" applyFill="1" applyBorder="1" applyAlignment="1">
      <alignment wrapText="1"/>
    </xf>
    <xf numFmtId="0" fontId="48" fillId="0" borderId="18" xfId="0" applyFont="1" applyBorder="1" applyAlignment="1">
      <alignment wrapText="1"/>
    </xf>
    <xf numFmtId="0" fontId="48" fillId="0" borderId="66" xfId="0" applyFont="1" applyBorder="1" applyAlignment="1">
      <alignment horizontal="center"/>
    </xf>
    <xf numFmtId="9" fontId="48" fillId="0" borderId="0" xfId="155" applyFont="1" applyFill="1" applyBorder="1" applyAlignment="1">
      <alignment horizontal="right"/>
    </xf>
    <xf numFmtId="0" fontId="48" fillId="0" borderId="67" xfId="0" applyFont="1" applyFill="1" applyBorder="1" applyAlignment="1">
      <alignment horizontal="center"/>
    </xf>
    <xf numFmtId="0" fontId="48" fillId="0" borderId="68" xfId="0" applyFont="1" applyFill="1" applyBorder="1"/>
    <xf numFmtId="9" fontId="48" fillId="0" borderId="68" xfId="155" applyFont="1" applyFill="1" applyBorder="1" applyAlignment="1">
      <alignment horizontal="right"/>
    </xf>
    <xf numFmtId="0" fontId="48" fillId="0" borderId="55" xfId="0" applyFont="1" applyBorder="1"/>
    <xf numFmtId="9" fontId="48" fillId="0" borderId="48" xfId="0" applyNumberFormat="1" applyFont="1" applyBorder="1"/>
    <xf numFmtId="9" fontId="48" fillId="0" borderId="49" xfId="0" applyNumberFormat="1" applyFont="1" applyBorder="1"/>
    <xf numFmtId="9" fontId="48" fillId="0" borderId="0" xfId="155" applyFont="1" applyFill="1" applyBorder="1" applyAlignment="1">
      <alignment horizontal="center"/>
    </xf>
    <xf numFmtId="0" fontId="48" fillId="0" borderId="57" xfId="0" applyFont="1" applyFill="1" applyBorder="1" applyAlignment="1">
      <alignment wrapText="1"/>
    </xf>
    <xf numFmtId="9" fontId="48" fillId="0" borderId="63" xfId="155" applyFont="1" applyFill="1" applyBorder="1" applyAlignment="1">
      <alignment horizontal="center" wrapText="1"/>
    </xf>
    <xf numFmtId="1" fontId="48" fillId="0" borderId="69" xfId="0" applyNumberFormat="1" applyFont="1" applyFill="1" applyBorder="1" applyAlignment="1">
      <alignment horizontal="right"/>
    </xf>
    <xf numFmtId="0" fontId="48" fillId="0" borderId="8" xfId="0" applyFont="1" applyFill="1" applyBorder="1" applyAlignment="1">
      <alignment horizontal="right"/>
    </xf>
    <xf numFmtId="9" fontId="48" fillId="0" borderId="8" xfId="155" applyFont="1" applyFill="1" applyBorder="1" applyAlignment="1">
      <alignment horizontal="center"/>
    </xf>
    <xf numFmtId="9" fontId="48" fillId="0" borderId="70" xfId="155" applyFont="1" applyFill="1" applyBorder="1" applyAlignment="1">
      <alignment horizontal="center"/>
    </xf>
    <xf numFmtId="1" fontId="48" fillId="0" borderId="71" xfId="0" applyNumberFormat="1" applyFont="1" applyFill="1" applyBorder="1" applyAlignment="1">
      <alignment horizontal="right"/>
    </xf>
    <xf numFmtId="1" fontId="48" fillId="0" borderId="8" xfId="0" applyNumberFormat="1" applyFont="1" applyFill="1" applyBorder="1" applyAlignment="1">
      <alignment horizontal="right"/>
    </xf>
    <xf numFmtId="1" fontId="48" fillId="0" borderId="72" xfId="0" applyNumberFormat="1" applyFont="1" applyFill="1" applyBorder="1" applyAlignment="1">
      <alignment horizontal="right"/>
    </xf>
    <xf numFmtId="0" fontId="48" fillId="0" borderId="6" xfId="0" applyFont="1" applyFill="1" applyBorder="1" applyAlignment="1">
      <alignment horizontal="right"/>
    </xf>
    <xf numFmtId="9" fontId="48" fillId="0" borderId="6" xfId="155" applyFont="1" applyFill="1" applyBorder="1" applyAlignment="1">
      <alignment horizontal="center"/>
    </xf>
    <xf numFmtId="9" fontId="48" fillId="0" borderId="73" xfId="155" applyFont="1" applyFill="1" applyBorder="1" applyAlignment="1">
      <alignment horizontal="center"/>
    </xf>
    <xf numFmtId="1" fontId="48" fillId="0" borderId="74" xfId="0" applyNumberFormat="1" applyFont="1" applyFill="1" applyBorder="1" applyAlignment="1">
      <alignment horizontal="right"/>
    </xf>
    <xf numFmtId="1" fontId="48" fillId="0" borderId="75" xfId="0" applyNumberFormat="1" applyFont="1" applyFill="1" applyBorder="1" applyAlignment="1">
      <alignment horizontal="right"/>
    </xf>
    <xf numFmtId="9" fontId="48" fillId="0" borderId="75" xfId="155" applyFont="1" applyFill="1" applyBorder="1" applyAlignment="1">
      <alignment horizontal="center"/>
    </xf>
    <xf numFmtId="0" fontId="48" fillId="0" borderId="75" xfId="0" applyFont="1" applyFill="1" applyBorder="1" applyAlignment="1">
      <alignment horizontal="right"/>
    </xf>
    <xf numFmtId="9" fontId="48" fillId="0" borderId="76" xfId="155" applyFont="1" applyFill="1" applyBorder="1" applyAlignment="1">
      <alignment horizontal="center"/>
    </xf>
    <xf numFmtId="1" fontId="48" fillId="0" borderId="77" xfId="0" applyNumberFormat="1" applyFont="1" applyBorder="1" applyAlignment="1">
      <alignment horizontal="right"/>
    </xf>
    <xf numFmtId="0" fontId="48" fillId="0" borderId="78" xfId="0" applyFont="1" applyBorder="1" applyAlignment="1">
      <alignment horizontal="right"/>
    </xf>
    <xf numFmtId="9" fontId="48" fillId="0" borderId="78" xfId="155" applyFont="1" applyBorder="1" applyAlignment="1">
      <alignment horizontal="center"/>
    </xf>
    <xf numFmtId="0" fontId="48" fillId="0" borderId="78" xfId="0" applyFont="1" applyBorder="1" applyAlignment="1">
      <alignment horizontal="center"/>
    </xf>
    <xf numFmtId="9" fontId="48" fillId="0" borderId="79" xfId="155" applyFont="1" applyFill="1" applyBorder="1" applyAlignment="1">
      <alignment horizontal="center"/>
    </xf>
    <xf numFmtId="1" fontId="48" fillId="0" borderId="80" xfId="0" applyNumberFormat="1" applyFont="1" applyBorder="1" applyAlignment="1">
      <alignment horizontal="right"/>
    </xf>
    <xf numFmtId="0" fontId="48" fillId="0" borderId="8" xfId="0" applyFont="1" applyBorder="1" applyAlignment="1">
      <alignment horizontal="right"/>
    </xf>
    <xf numFmtId="9" fontId="48" fillId="0" borderId="8" xfId="155" applyFont="1" applyBorder="1" applyAlignment="1">
      <alignment horizontal="center"/>
    </xf>
    <xf numFmtId="0" fontId="48" fillId="0" borderId="8" xfId="0" applyFont="1" applyBorder="1" applyAlignment="1">
      <alignment horizontal="center"/>
    </xf>
    <xf numFmtId="9" fontId="48" fillId="0" borderId="81" xfId="155" applyFont="1" applyFill="1" applyBorder="1" applyAlignment="1">
      <alignment horizontal="center"/>
    </xf>
    <xf numFmtId="1" fontId="48" fillId="0" borderId="80" xfId="0" applyNumberFormat="1" applyFont="1" applyFill="1" applyBorder="1" applyAlignment="1">
      <alignment horizontal="right"/>
    </xf>
    <xf numFmtId="0" fontId="48" fillId="0" borderId="8" xfId="0" applyFont="1" applyFill="1" applyBorder="1" applyAlignment="1">
      <alignment horizontal="center"/>
    </xf>
    <xf numFmtId="1" fontId="48" fillId="0" borderId="82" xfId="0" applyNumberFormat="1" applyFont="1" applyBorder="1" applyAlignment="1">
      <alignment horizontal="right"/>
    </xf>
    <xf numFmtId="0" fontId="48" fillId="0" borderId="6" xfId="0" applyFont="1" applyBorder="1" applyAlignment="1">
      <alignment horizontal="right"/>
    </xf>
    <xf numFmtId="9" fontId="48" fillId="0" borderId="6" xfId="155" applyFont="1" applyBorder="1" applyAlignment="1">
      <alignment horizontal="center"/>
    </xf>
    <xf numFmtId="0" fontId="48" fillId="0" borderId="6" xfId="0" applyFont="1" applyBorder="1" applyAlignment="1">
      <alignment horizontal="center"/>
    </xf>
    <xf numFmtId="9" fontId="48" fillId="0" borderId="36" xfId="155" applyFont="1" applyFill="1" applyBorder="1" applyAlignment="1">
      <alignment horizontal="center"/>
    </xf>
    <xf numFmtId="1" fontId="48" fillId="0" borderId="83" xfId="0" applyNumberFormat="1" applyFont="1" applyFill="1" applyBorder="1" applyAlignment="1">
      <alignment horizontal="right"/>
    </xf>
    <xf numFmtId="0" fontId="48" fillId="0" borderId="75" xfId="0" applyFont="1" applyFill="1" applyBorder="1" applyAlignment="1">
      <alignment horizontal="center"/>
    </xf>
    <xf numFmtId="9" fontId="48" fillId="0" borderId="84" xfId="155" applyFont="1" applyFill="1" applyBorder="1" applyAlignment="1">
      <alignment horizontal="center"/>
    </xf>
    <xf numFmtId="0" fontId="48" fillId="20" borderId="0" xfId="0" applyFont="1" applyFill="1" applyBorder="1" applyAlignment="1">
      <alignment horizontal="center" wrapText="1"/>
    </xf>
    <xf numFmtId="9" fontId="48" fillId="0" borderId="0" xfId="155" applyFont="1" applyFill="1" applyBorder="1" applyAlignment="1">
      <alignment horizontal="center" wrapText="1"/>
    </xf>
    <xf numFmtId="9" fontId="0" fillId="0" borderId="0" xfId="155" applyFont="1" applyBorder="1"/>
    <xf numFmtId="9" fontId="0" fillId="0" borderId="3" xfId="155" applyFont="1" applyFill="1" applyBorder="1" applyAlignment="1">
      <alignment horizontal="center"/>
    </xf>
    <xf numFmtId="2" fontId="35" fillId="3" borderId="0" xfId="155" applyNumberFormat="1" applyFont="1" applyFill="1" applyBorder="1" applyAlignment="1">
      <alignment horizontal="center"/>
    </xf>
    <xf numFmtId="0" fontId="29" fillId="3" borderId="0" xfId="0" applyFont="1" applyFill="1" applyBorder="1" applyAlignment="1">
      <alignment horizontal="left"/>
    </xf>
    <xf numFmtId="0" fontId="0" fillId="25" borderId="0" xfId="0" applyFont="1" applyFill="1" applyBorder="1" applyAlignment="1"/>
    <xf numFmtId="1" fontId="0" fillId="0" borderId="0" xfId="0" applyNumberFormat="1" applyFont="1" applyFill="1"/>
    <xf numFmtId="1" fontId="48" fillId="0" borderId="59" xfId="0" applyNumberFormat="1" applyFont="1" applyFill="1" applyBorder="1" applyAlignment="1">
      <alignment horizontal="right" wrapText="1"/>
    </xf>
    <xf numFmtId="9" fontId="48" fillId="0" borderId="78" xfId="0" applyNumberFormat="1" applyFont="1" applyBorder="1" applyAlignment="1">
      <alignment horizontal="right"/>
    </xf>
    <xf numFmtId="9" fontId="48" fillId="0" borderId="8" xfId="0" applyNumberFormat="1" applyFont="1" applyBorder="1" applyAlignment="1">
      <alignment horizontal="right"/>
    </xf>
    <xf numFmtId="9" fontId="48" fillId="0" borderId="8" xfId="0" applyNumberFormat="1" applyFont="1" applyFill="1" applyBorder="1" applyAlignment="1">
      <alignment horizontal="right"/>
    </xf>
    <xf numFmtId="9" fontId="48" fillId="0" borderId="6" xfId="0" applyNumberFormat="1" applyFont="1" applyBorder="1" applyAlignment="1">
      <alignment horizontal="right"/>
    </xf>
    <xf numFmtId="9" fontId="48" fillId="0" borderId="75" xfId="0" applyNumberFormat="1" applyFont="1" applyFill="1" applyBorder="1" applyAlignment="1">
      <alignment horizontal="right"/>
    </xf>
    <xf numFmtId="9" fontId="48" fillId="0" borderId="8" xfId="155" applyFont="1" applyFill="1" applyBorder="1" applyAlignment="1">
      <alignment horizontal="right"/>
    </xf>
    <xf numFmtId="9" fontId="48" fillId="0" borderId="75" xfId="155" applyFont="1" applyFill="1" applyBorder="1" applyAlignment="1">
      <alignment horizontal="right"/>
    </xf>
    <xf numFmtId="9" fontId="46" fillId="8" borderId="7" xfId="155" applyFont="1" applyFill="1" applyBorder="1" applyAlignment="1"/>
    <xf numFmtId="0" fontId="30" fillId="0" borderId="0" xfId="0" applyFont="1" applyFill="1" applyAlignment="1">
      <alignment horizontal="right"/>
    </xf>
    <xf numFmtId="2" fontId="0" fillId="17" borderId="0" xfId="0" applyNumberFormat="1" applyFont="1" applyFill="1" applyBorder="1" applyAlignment="1">
      <alignment horizontal="center" vertical="center"/>
    </xf>
    <xf numFmtId="2" fontId="29" fillId="17" borderId="0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 wrapText="1"/>
    </xf>
    <xf numFmtId="0" fontId="5" fillId="0" borderId="30" xfId="0" applyFont="1" applyFill="1" applyBorder="1" applyAlignment="1">
      <alignment horizontal="center" wrapText="1"/>
    </xf>
    <xf numFmtId="0" fontId="5" fillId="0" borderId="28" xfId="0" applyFont="1" applyFill="1" applyBorder="1" applyAlignment="1">
      <alignment horizontal="center" wrapText="1"/>
    </xf>
    <xf numFmtId="0" fontId="25" fillId="0" borderId="17" xfId="0" applyFont="1" applyFill="1" applyBorder="1" applyAlignment="1">
      <alignment horizontal="center" wrapText="1"/>
    </xf>
    <xf numFmtId="0" fontId="25" fillId="0" borderId="30" xfId="0" applyFont="1" applyFill="1" applyBorder="1" applyAlignment="1">
      <alignment horizontal="center" wrapText="1"/>
    </xf>
    <xf numFmtId="0" fontId="25" fillId="0" borderId="28" xfId="0" applyFont="1" applyFill="1" applyBorder="1" applyAlignment="1">
      <alignment horizontal="center" wrapText="1"/>
    </xf>
    <xf numFmtId="0" fontId="18" fillId="13" borderId="40" xfId="0" applyFont="1" applyFill="1" applyBorder="1" applyAlignment="1">
      <alignment horizontal="center" wrapText="1"/>
    </xf>
    <xf numFmtId="0" fontId="18" fillId="13" borderId="37" xfId="0" applyFont="1" applyFill="1" applyBorder="1" applyAlignment="1">
      <alignment horizontal="center" wrapText="1"/>
    </xf>
    <xf numFmtId="0" fontId="5" fillId="4" borderId="41" xfId="0" applyFont="1" applyFill="1" applyBorder="1" applyAlignment="1">
      <alignment horizontal="center"/>
    </xf>
    <xf numFmtId="0" fontId="5" fillId="4" borderId="42" xfId="0" applyFont="1" applyFill="1" applyBorder="1" applyAlignment="1">
      <alignment horizontal="center"/>
    </xf>
    <xf numFmtId="0" fontId="5" fillId="4" borderId="43" xfId="0" applyFont="1" applyFill="1" applyBorder="1" applyAlignment="1">
      <alignment horizontal="center"/>
    </xf>
    <xf numFmtId="0" fontId="42" fillId="13" borderId="42" xfId="0" applyFont="1" applyFill="1" applyBorder="1" applyAlignment="1">
      <alignment horizontal="center"/>
    </xf>
    <xf numFmtId="0" fontId="42" fillId="13" borderId="43" xfId="0" applyFont="1" applyFill="1" applyBorder="1" applyAlignment="1">
      <alignment horizontal="center"/>
    </xf>
    <xf numFmtId="0" fontId="25" fillId="0" borderId="17" xfId="0" applyFont="1" applyBorder="1" applyAlignment="1">
      <alignment horizontal="center"/>
    </xf>
    <xf numFmtId="0" fontId="25" fillId="0" borderId="30" xfId="0" applyFont="1" applyBorder="1" applyAlignment="1">
      <alignment horizontal="center"/>
    </xf>
    <xf numFmtId="0" fontId="25" fillId="0" borderId="2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2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18" fillId="13" borderId="39" xfId="0" applyFont="1" applyFill="1" applyBorder="1" applyAlignment="1">
      <alignment horizontal="center" wrapText="1"/>
    </xf>
    <xf numFmtId="0" fontId="18" fillId="13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2" fillId="13" borderId="41" xfId="0" applyFont="1" applyFill="1" applyBorder="1" applyAlignment="1">
      <alignment horizontal="center"/>
    </xf>
    <xf numFmtId="0" fontId="48" fillId="20" borderId="56" xfId="0" applyFont="1" applyFill="1" applyBorder="1" applyAlignment="1">
      <alignment horizontal="center" wrapText="1"/>
    </xf>
    <xf numFmtId="0" fontId="48" fillId="20" borderId="57" xfId="0" applyFont="1" applyFill="1" applyBorder="1" applyAlignment="1">
      <alignment horizontal="center" wrapText="1"/>
    </xf>
    <xf numFmtId="0" fontId="48" fillId="20" borderId="62" xfId="0" applyFont="1" applyFill="1" applyBorder="1" applyAlignment="1">
      <alignment horizontal="center" wrapText="1"/>
    </xf>
    <xf numFmtId="0" fontId="48" fillId="20" borderId="65" xfId="0" applyFont="1" applyFill="1" applyBorder="1" applyAlignment="1">
      <alignment horizontal="center" wrapText="1"/>
    </xf>
    <xf numFmtId="0" fontId="35" fillId="0" borderId="0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 wrapText="1"/>
    </xf>
    <xf numFmtId="165" fontId="14" fillId="6" borderId="7" xfId="0" applyNumberFormat="1" applyFont="1" applyFill="1" applyBorder="1" applyAlignment="1">
      <alignment horizontal="center" vertical="center" wrapText="1"/>
    </xf>
    <xf numFmtId="0" fontId="35" fillId="6" borderId="7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165" fontId="14" fillId="0" borderId="7" xfId="0" applyNumberFormat="1" applyFont="1" applyBorder="1" applyAlignment="1">
      <alignment horizontal="center" vertical="center"/>
    </xf>
    <xf numFmtId="165" fontId="35" fillId="0" borderId="7" xfId="0" applyNumberFormat="1" applyFont="1" applyBorder="1" applyAlignment="1">
      <alignment horizontal="center" vertical="center"/>
    </xf>
    <xf numFmtId="165" fontId="35" fillId="0" borderId="7" xfId="0" applyNumberFormat="1" applyFont="1" applyFill="1" applyBorder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165" fontId="14" fillId="0" borderId="7" xfId="0" applyNumberFormat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165" fontId="14" fillId="6" borderId="7" xfId="0" applyNumberFormat="1" applyFont="1" applyFill="1" applyBorder="1" applyAlignment="1">
      <alignment horizontal="center" vertical="center"/>
    </xf>
    <xf numFmtId="165" fontId="35" fillId="6" borderId="7" xfId="0" applyNumberFormat="1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165" fontId="14" fillId="2" borderId="7" xfId="0" applyNumberFormat="1" applyFont="1" applyFill="1" applyBorder="1" applyAlignment="1">
      <alignment horizontal="center" vertical="center"/>
    </xf>
    <xf numFmtId="165" fontId="35" fillId="2" borderId="7" xfId="0" applyNumberFormat="1" applyFont="1" applyFill="1" applyBorder="1" applyAlignment="1">
      <alignment horizontal="center" vertical="center"/>
    </xf>
    <xf numFmtId="165" fontId="35" fillId="2" borderId="0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165" fontId="35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65" fontId="15" fillId="0" borderId="7" xfId="0" applyNumberFormat="1" applyFont="1" applyBorder="1" applyAlignment="1">
      <alignment horizontal="center" vertical="center"/>
    </xf>
    <xf numFmtId="0" fontId="46" fillId="0" borderId="7" xfId="0" applyFont="1" applyFill="1" applyBorder="1" applyAlignment="1">
      <alignment horizontal="center" vertical="center"/>
    </xf>
    <xf numFmtId="165" fontId="46" fillId="0" borderId="7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35" fillId="0" borderId="7" xfId="0" applyFont="1" applyFill="1" applyBorder="1" applyAlignment="1">
      <alignment horizontal="center" vertical="center" wrapText="1"/>
    </xf>
    <xf numFmtId="165" fontId="14" fillId="0" borderId="17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165" fontId="14" fillId="0" borderId="0" xfId="0" applyNumberFormat="1" applyFont="1" applyBorder="1" applyAlignment="1">
      <alignment horizontal="center" vertical="center"/>
    </xf>
    <xf numFmtId="165" fontId="35" fillId="6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35" fillId="6" borderId="0" xfId="0" applyFont="1" applyFill="1" applyBorder="1" applyAlignment="1">
      <alignment horizontal="center" vertical="center"/>
    </xf>
    <xf numFmtId="165" fontId="1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2" fontId="14" fillId="6" borderId="17" xfId="0" applyNumberFormat="1" applyFont="1" applyFill="1" applyBorder="1" applyAlignment="1">
      <alignment horizontal="center" vertical="center" wrapText="1"/>
    </xf>
    <xf numFmtId="2" fontId="14" fillId="0" borderId="17" xfId="0" applyNumberFormat="1" applyFont="1" applyBorder="1" applyAlignment="1">
      <alignment horizontal="center" vertical="center"/>
    </xf>
    <xf numFmtId="2" fontId="14" fillId="6" borderId="17" xfId="0" applyNumberFormat="1" applyFont="1" applyFill="1" applyBorder="1" applyAlignment="1">
      <alignment horizontal="center" vertical="center"/>
    </xf>
    <xf numFmtId="2" fontId="14" fillId="2" borderId="17" xfId="0" applyNumberFormat="1" applyFont="1" applyFill="1" applyBorder="1" applyAlignment="1">
      <alignment horizontal="center" vertical="center"/>
    </xf>
    <xf numFmtId="2" fontId="15" fillId="0" borderId="1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165" fontId="14" fillId="0" borderId="7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2" fontId="14" fillId="0" borderId="13" xfId="0" applyNumberFormat="1" applyFont="1" applyBorder="1" applyAlignment="1">
      <alignment horizontal="center" vertical="center" wrapText="1"/>
    </xf>
    <xf numFmtId="0" fontId="14" fillId="0" borderId="85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</cellXfs>
  <cellStyles count="2020">
    <cellStyle name="Followed Hyperlink" xfId="327" builtinId="9" hidden="1"/>
    <cellStyle name="Followed Hyperlink" xfId="517" builtinId="9" hidden="1"/>
    <cellStyle name="Followed Hyperlink" xfId="275" builtinId="9" hidden="1"/>
    <cellStyle name="Followed Hyperlink" xfId="629" builtinId="9" hidden="1"/>
    <cellStyle name="Followed Hyperlink" xfId="707" builtinId="9" hidden="1"/>
    <cellStyle name="Followed Hyperlink" xfId="579" builtinId="9" hidden="1"/>
    <cellStyle name="Followed Hyperlink" xfId="447" builtinId="9" hidden="1"/>
    <cellStyle name="Followed Hyperlink" xfId="197" builtinId="9" hidden="1"/>
    <cellStyle name="Followed Hyperlink" xfId="130" builtinId="9" hidden="1"/>
    <cellStyle name="Followed Hyperlink" xfId="167" builtinId="9" hidden="1"/>
    <cellStyle name="Followed Hyperlink" xfId="455" builtinId="9" hidden="1"/>
    <cellStyle name="Followed Hyperlink" xfId="795" builtinId="9" hidden="1"/>
    <cellStyle name="Followed Hyperlink" xfId="859" builtinId="9" hidden="1"/>
    <cellStyle name="Followed Hyperlink" xfId="909" builtinId="9" hidden="1"/>
    <cellStyle name="Followed Hyperlink" xfId="845" builtinId="9" hidden="1"/>
    <cellStyle name="Followed Hyperlink" xfId="781" builtinId="9" hidden="1"/>
    <cellStyle name="Followed Hyperlink" xfId="223" builtinId="9" hidden="1"/>
    <cellStyle name="Followed Hyperlink" xfId="467" builtinId="9" hidden="1"/>
    <cellStyle name="Followed Hyperlink" xfId="237" builtinId="9" hidden="1"/>
    <cellStyle name="Followed Hyperlink" xfId="84" builtinId="9" hidden="1"/>
    <cellStyle name="Followed Hyperlink" xfId="417" builtinId="9" hidden="1"/>
    <cellStyle name="Followed Hyperlink" xfId="607" builtinId="9" hidden="1"/>
    <cellStyle name="Followed Hyperlink" xfId="729" builtinId="9" hidden="1"/>
    <cellStyle name="Followed Hyperlink" xfId="601" builtinId="9" hidden="1"/>
    <cellStyle name="Followed Hyperlink" xfId="385" builtinId="9" hidden="1"/>
    <cellStyle name="Followed Hyperlink" xfId="102" builtinId="9" hidden="1"/>
    <cellStyle name="Followed Hyperlink" xfId="14" builtinId="9" hidden="1"/>
    <cellStyle name="Followed Hyperlink" xfId="46" builtinId="9" hidden="1"/>
    <cellStyle name="Followed Hyperlink" xfId="335" builtinId="9" hidden="1"/>
    <cellStyle name="Followed Hyperlink" xfId="929" builtinId="9" hidden="1"/>
    <cellStyle name="Followed Hyperlink" xfId="945" builtinId="9" hidden="1"/>
    <cellStyle name="Followed Hyperlink" xfId="961" builtinId="9" hidden="1"/>
    <cellStyle name="Followed Hyperlink" xfId="977" builtinId="9" hidden="1"/>
    <cellStyle name="Followed Hyperlink" xfId="993" builtinId="9" hidden="1"/>
    <cellStyle name="Followed Hyperlink" xfId="1009" builtinId="9" hidden="1"/>
    <cellStyle name="Followed Hyperlink" xfId="1025" builtinId="9" hidden="1"/>
    <cellStyle name="Followed Hyperlink" xfId="1041" builtinId="9" hidden="1"/>
    <cellStyle name="Followed Hyperlink" xfId="1057" builtinId="9" hidden="1"/>
    <cellStyle name="Followed Hyperlink" xfId="1073" builtinId="9" hidden="1"/>
    <cellStyle name="Followed Hyperlink" xfId="1089" builtinId="9" hidden="1"/>
    <cellStyle name="Followed Hyperlink" xfId="1105" builtinId="9" hidden="1"/>
    <cellStyle name="Followed Hyperlink" xfId="1121" builtinId="9" hidden="1"/>
    <cellStyle name="Followed Hyperlink" xfId="1135" builtinId="9" hidden="1"/>
    <cellStyle name="Followed Hyperlink" xfId="1119" builtinId="9" hidden="1"/>
    <cellStyle name="Followed Hyperlink" xfId="1103" builtinId="9" hidden="1"/>
    <cellStyle name="Followed Hyperlink" xfId="1087" builtinId="9" hidden="1"/>
    <cellStyle name="Followed Hyperlink" xfId="1071" builtinId="9" hidden="1"/>
    <cellStyle name="Followed Hyperlink" xfId="1055" builtinId="9" hidden="1"/>
    <cellStyle name="Followed Hyperlink" xfId="1039" builtinId="9" hidden="1"/>
    <cellStyle name="Followed Hyperlink" xfId="1023" builtinId="9" hidden="1"/>
    <cellStyle name="Followed Hyperlink" xfId="1007" builtinId="9" hidden="1"/>
    <cellStyle name="Followed Hyperlink" xfId="991" builtinId="9" hidden="1"/>
    <cellStyle name="Followed Hyperlink" xfId="975" builtinId="9" hidden="1"/>
    <cellStyle name="Followed Hyperlink" xfId="959" builtinId="9" hidden="1"/>
    <cellStyle name="Followed Hyperlink" xfId="943" builtinId="9" hidden="1"/>
    <cellStyle name="Followed Hyperlink" xfId="927" builtinId="9" hidden="1"/>
    <cellStyle name="Followed Hyperlink" xfId="315" builtinId="9" hidden="1"/>
    <cellStyle name="Followed Hyperlink" xfId="257" builtinId="9" hidden="1"/>
    <cellStyle name="Followed Hyperlink" xfId="291" builtinId="9" hidden="1"/>
    <cellStyle name="Followed Hyperlink" xfId="64" builtinId="9" hidden="1"/>
    <cellStyle name="Followed Hyperlink" xfId="409" builtinId="9" hidden="1"/>
    <cellStyle name="Followed Hyperlink" xfId="617" builtinId="9" hidden="1"/>
    <cellStyle name="Followed Hyperlink" xfId="719" builtinId="9" hidden="1"/>
    <cellStyle name="Followed Hyperlink" xfId="591" builtinId="9" hidden="1"/>
    <cellStyle name="Followed Hyperlink" xfId="295" builtinId="9" hidden="1"/>
    <cellStyle name="Followed Hyperlink" xfId="138" builtinId="9" hidden="1"/>
    <cellStyle name="Followed Hyperlink" xfId="359" builtinId="9" hidden="1"/>
    <cellStyle name="Followed Hyperlink" xfId="505" builtinId="9" hidden="1"/>
    <cellStyle name="Followed Hyperlink" xfId="423" builtinId="9" hidden="1"/>
    <cellStyle name="Followed Hyperlink" xfId="789" builtinId="9" hidden="1"/>
    <cellStyle name="Followed Hyperlink" xfId="853" builtinId="9" hidden="1"/>
    <cellStyle name="Followed Hyperlink" xfId="915" builtinId="9" hidden="1"/>
    <cellStyle name="Followed Hyperlink" xfId="851" builtinId="9" hidden="1"/>
    <cellStyle name="Followed Hyperlink" xfId="787" builtinId="9" hidden="1"/>
    <cellStyle name="Followed Hyperlink" xfId="281" builtinId="9" hidden="1"/>
    <cellStyle name="Followed Hyperlink" xfId="515" builtinId="9" hidden="1"/>
    <cellStyle name="Followed Hyperlink" xfId="42" builtinId="9" hidden="1"/>
    <cellStyle name="Followed Hyperlink" xfId="253" builtinId="9" hidden="1"/>
    <cellStyle name="Followed Hyperlink" xfId="271" builtinId="9" hidden="1"/>
    <cellStyle name="Followed Hyperlink" xfId="595" builtinId="9" hidden="1"/>
    <cellStyle name="Followed Hyperlink" xfId="723" builtinId="9" hidden="1"/>
    <cellStyle name="Followed Hyperlink" xfId="613" builtinId="9" hidden="1"/>
    <cellStyle name="Followed Hyperlink" xfId="449" builtinId="9" hidden="1"/>
    <cellStyle name="Followed Hyperlink" xfId="12" builtinId="9" hidden="1"/>
    <cellStyle name="Followed Hyperlink" xfId="251" builtinId="9" hidden="1"/>
    <cellStyle name="Followed Hyperlink" xfId="405" builtinId="9" hidden="1"/>
    <cellStyle name="Followed Hyperlink" xfId="475" builtinId="9" hidden="1"/>
    <cellStyle name="Followed Hyperlink" xfId="371" builtinId="9" hidden="1"/>
    <cellStyle name="Followed Hyperlink" xfId="261" builtinId="9" hidden="1"/>
    <cellStyle name="Followed Hyperlink" xfId="397" builtinId="9" hidden="1"/>
    <cellStyle name="Followed Hyperlink" xfId="349" builtinId="9" hidden="1"/>
    <cellStyle name="Followed Hyperlink" xfId="541" builtinId="9" hidden="1"/>
    <cellStyle name="Followed Hyperlink" xfId="669" builtinId="9" hidden="1"/>
    <cellStyle name="Followed Hyperlink" xfId="667" builtinId="9" hidden="1"/>
    <cellStyle name="Followed Hyperlink" xfId="539" builtinId="9" hidden="1"/>
    <cellStyle name="Followed Hyperlink" xfId="108" builtinId="9" hidden="1"/>
    <cellStyle name="Followed Hyperlink" xfId="381" builtinId="9" hidden="1"/>
    <cellStyle name="Followed Hyperlink" xfId="403" builtinId="9" hidden="1"/>
    <cellStyle name="Followed Hyperlink" xfId="285" builtinId="9" hidden="1"/>
    <cellStyle name="Followed Hyperlink" xfId="751" builtinId="9" hidden="1"/>
    <cellStyle name="Followed Hyperlink" xfId="815" builtinId="9" hidden="1"/>
    <cellStyle name="Followed Hyperlink" xfId="879" builtinId="9" hidden="1"/>
    <cellStyle name="Followed Hyperlink" xfId="889" builtinId="9" hidden="1"/>
    <cellStyle name="Followed Hyperlink" xfId="825" builtinId="9" hidden="1"/>
    <cellStyle name="Followed Hyperlink" xfId="761" builtinId="9" hidden="1"/>
    <cellStyle name="Followed Hyperlink" xfId="114" builtinId="9" hidden="1"/>
    <cellStyle name="Followed Hyperlink" xfId="259" builtinId="9" hidden="1"/>
    <cellStyle name="Followed Hyperlink" xfId="213" builtinId="9" hidden="1"/>
    <cellStyle name="Followed Hyperlink" xfId="20" builtinId="9" hidden="1"/>
    <cellStyle name="Followed Hyperlink" xfId="641" builtinId="9" hidden="1"/>
    <cellStyle name="Followed Hyperlink" xfId="721" builtinId="9" hidden="1"/>
    <cellStyle name="Followed Hyperlink" xfId="663" builtinId="9" hidden="1"/>
    <cellStyle name="Followed Hyperlink" xfId="567" builtinId="9" hidden="1"/>
    <cellStyle name="Followed Hyperlink" xfId="519" builtinId="9" hidden="1"/>
    <cellStyle name="Followed Hyperlink" xfId="689" builtinId="9" hidden="1"/>
    <cellStyle name="Followed Hyperlink" xfId="577" builtinId="9" hidden="1"/>
    <cellStyle name="Followed Hyperlink" xfId="40" builtinId="9" hidden="1"/>
    <cellStyle name="Followed Hyperlink" xfId="1137" builtinId="9" hidden="1"/>
    <cellStyle name="Followed Hyperlink" xfId="1145" builtinId="9" hidden="1"/>
    <cellStyle name="Followed Hyperlink" xfId="1153" builtinId="9" hidden="1"/>
    <cellStyle name="Followed Hyperlink" xfId="1161" builtinId="9" hidden="1"/>
    <cellStyle name="Followed Hyperlink" xfId="1169" builtinId="9" hidden="1"/>
    <cellStyle name="Followed Hyperlink" xfId="1177" builtinId="9" hidden="1"/>
    <cellStyle name="Followed Hyperlink" xfId="1185" builtinId="9" hidden="1"/>
    <cellStyle name="Followed Hyperlink" xfId="1193" builtinId="9" hidden="1"/>
    <cellStyle name="Followed Hyperlink" xfId="1201" builtinId="9" hidden="1"/>
    <cellStyle name="Followed Hyperlink" xfId="1203" builtinId="9" hidden="1"/>
    <cellStyle name="Followed Hyperlink" xfId="1195" builtinId="9" hidden="1"/>
    <cellStyle name="Followed Hyperlink" xfId="1187" builtinId="9" hidden="1"/>
    <cellStyle name="Followed Hyperlink" xfId="1179" builtinId="9" hidden="1"/>
    <cellStyle name="Followed Hyperlink" xfId="1171" builtinId="9" hidden="1"/>
    <cellStyle name="Followed Hyperlink" xfId="1163" builtinId="9" hidden="1"/>
    <cellStyle name="Followed Hyperlink" xfId="1155" builtinId="9" hidden="1"/>
    <cellStyle name="Followed Hyperlink" xfId="1147" builtinId="9" hidden="1"/>
    <cellStyle name="Followed Hyperlink" xfId="1139" builtinId="9" hidden="1"/>
    <cellStyle name="Followed Hyperlink" xfId="245" builtinId="9" hidden="1"/>
    <cellStyle name="Followed Hyperlink" xfId="593" builtinId="9" hidden="1"/>
    <cellStyle name="Followed Hyperlink" xfId="625" builtinId="9" hidden="1"/>
    <cellStyle name="Followed Hyperlink" xfId="583" builtinId="9" hidden="1"/>
    <cellStyle name="Followed Hyperlink" xfId="551" builtinId="9" hidden="1"/>
    <cellStyle name="Followed Hyperlink" xfId="631" builtinId="9" hidden="1"/>
    <cellStyle name="Followed Hyperlink" xfId="727" builtinId="9" hidden="1"/>
    <cellStyle name="Followed Hyperlink" xfId="657" builtinId="9" hidden="1"/>
    <cellStyle name="Followed Hyperlink" xfId="229" builtinId="9" hidden="1"/>
    <cellStyle name="Followed Hyperlink" xfId="443" builtinId="9" hidden="1"/>
    <cellStyle name="Followed Hyperlink" xfId="421" builtinId="9" hidden="1"/>
    <cellStyle name="Followed Hyperlink" xfId="365" builtinId="9" hidden="1"/>
    <cellStyle name="Followed Hyperlink" xfId="745" builtinId="9" hidden="1"/>
    <cellStyle name="Followed Hyperlink" xfId="809" builtinId="9" hidden="1"/>
    <cellStyle name="Followed Hyperlink" xfId="873" builtinId="9" hidden="1"/>
    <cellStyle name="Followed Hyperlink" xfId="895" builtinId="9" hidden="1"/>
    <cellStyle name="Followed Hyperlink" xfId="831" builtinId="9" hidden="1"/>
    <cellStyle name="Followed Hyperlink" xfId="767" builtinId="9" hidden="1"/>
    <cellStyle name="Followed Hyperlink" xfId="118" builtinId="9" hidden="1"/>
    <cellStyle name="Followed Hyperlink" xfId="357" builtinId="9" hidden="1"/>
    <cellStyle name="Followed Hyperlink" xfId="369" builtinId="9" hidden="1"/>
    <cellStyle name="Followed Hyperlink" xfId="493" builtinId="9" hidden="1"/>
    <cellStyle name="Followed Hyperlink" xfId="44" builtinId="9" hidden="1"/>
    <cellStyle name="Followed Hyperlink" xfId="635" builtinId="9" hidden="1"/>
    <cellStyle name="Followed Hyperlink" xfId="701" builtinId="9" hidden="1"/>
    <cellStyle name="Followed Hyperlink" xfId="573" builtinId="9" hidden="1"/>
    <cellStyle name="Followed Hyperlink" xfId="399" builtinId="9" hidden="1"/>
    <cellStyle name="Followed Hyperlink" xfId="132" builtinId="9" hidden="1"/>
    <cellStyle name="Followed Hyperlink" xfId="203" builtinId="9" hidden="1"/>
    <cellStyle name="Followed Hyperlink" xfId="243" builtinId="9" hidden="1"/>
    <cellStyle name="Followed Hyperlink" xfId="465" builtinId="9" hidden="1"/>
    <cellStyle name="Followed Hyperlink" xfId="92" builtinId="9" hidden="1"/>
    <cellStyle name="Followed Hyperlink" xfId="157" builtinId="9" hidden="1"/>
    <cellStyle name="Followed Hyperlink" xfId="193" builtinId="9" hidden="1"/>
    <cellStyle name="Followed Hyperlink" xfId="457" builtinId="9" hidden="1"/>
    <cellStyle name="Followed Hyperlink" xfId="581" builtinId="9" hidden="1"/>
    <cellStyle name="Followed Hyperlink" xfId="709" builtinId="9" hidden="1"/>
    <cellStyle name="Followed Hyperlink" xfId="627" builtinId="9" hidden="1"/>
    <cellStyle name="Followed Hyperlink" xfId="309" builtinId="9" hidden="1"/>
    <cellStyle name="Followed Hyperlink" xfId="511" builtinId="9" hidden="1"/>
    <cellStyle name="Followed Hyperlink" xfId="120" builtinId="9" hidden="1"/>
    <cellStyle name="Followed Hyperlink" xfId="317" builtinId="9" hidden="1"/>
    <cellStyle name="Followed Hyperlink" xfId="363" builtinId="9" hidden="1"/>
    <cellStyle name="Followed Hyperlink" xfId="771" builtinId="9" hidden="1"/>
    <cellStyle name="Followed Hyperlink" xfId="835" builtinId="9" hidden="1"/>
    <cellStyle name="Followed Hyperlink" xfId="899" builtinId="9" hidden="1"/>
    <cellStyle name="Followed Hyperlink" xfId="869" builtinId="9" hidden="1"/>
    <cellStyle name="Followed Hyperlink" xfId="805" builtinId="9" hidden="1"/>
    <cellStyle name="Followed Hyperlink" xfId="741" builtinId="9" hidden="1"/>
    <cellStyle name="Followed Hyperlink" xfId="8" builtinId="9" hidden="1"/>
    <cellStyle name="Followed Hyperlink" xfId="313" builtinId="9" hidden="1"/>
    <cellStyle name="Followed Hyperlink" xfId="201" builtinId="9" hidden="1"/>
    <cellStyle name="Followed Hyperlink" xfId="128" builtinId="9" hidden="1"/>
    <cellStyle name="Followed Hyperlink" xfId="559" builtinId="9" hidden="1"/>
    <cellStyle name="Followed Hyperlink" xfId="687" builtinId="9" hidden="1"/>
    <cellStyle name="Followed Hyperlink" xfId="649" builtinId="9" hidden="1"/>
    <cellStyle name="Followed Hyperlink" xfId="521" builtinId="9" hidden="1"/>
    <cellStyle name="Followed Hyperlink" xfId="323" builtinId="9" hidden="1"/>
    <cellStyle name="Followed Hyperlink" xfId="100" builtinId="9" hidden="1"/>
    <cellStyle name="Followed Hyperlink" xfId="112" builtinId="9" hidden="1"/>
    <cellStyle name="Followed Hyperlink" xfId="367" builtinId="9" hidden="1"/>
    <cellStyle name="Followed Hyperlink" xfId="923" builtinId="9" hidden="1"/>
    <cellStyle name="Followed Hyperlink" xfId="939" builtinId="9" hidden="1"/>
    <cellStyle name="Followed Hyperlink" xfId="955" builtinId="9" hidden="1"/>
    <cellStyle name="Followed Hyperlink" xfId="971" builtinId="9" hidden="1"/>
    <cellStyle name="Followed Hyperlink" xfId="987" builtinId="9" hidden="1"/>
    <cellStyle name="Followed Hyperlink" xfId="1003" builtinId="9" hidden="1"/>
    <cellStyle name="Followed Hyperlink" xfId="1019" builtinId="9" hidden="1"/>
    <cellStyle name="Followed Hyperlink" xfId="1035" builtinId="9" hidden="1"/>
    <cellStyle name="Followed Hyperlink" xfId="1051" builtinId="9" hidden="1"/>
    <cellStyle name="Followed Hyperlink" xfId="1067" builtinId="9" hidden="1"/>
    <cellStyle name="Followed Hyperlink" xfId="1083" builtinId="9" hidden="1"/>
    <cellStyle name="Followed Hyperlink" xfId="1099" builtinId="9" hidden="1"/>
    <cellStyle name="Followed Hyperlink" xfId="1115" builtinId="9" hidden="1"/>
    <cellStyle name="Followed Hyperlink" xfId="1131" builtinId="9" hidden="1"/>
    <cellStyle name="Followed Hyperlink" xfId="1125" builtinId="9" hidden="1"/>
    <cellStyle name="Followed Hyperlink" xfId="1109" builtinId="9" hidden="1"/>
    <cellStyle name="Followed Hyperlink" xfId="1093" builtinId="9" hidden="1"/>
    <cellStyle name="Followed Hyperlink" xfId="1077" builtinId="9" hidden="1"/>
    <cellStyle name="Followed Hyperlink" xfId="1061" builtinId="9" hidden="1"/>
    <cellStyle name="Followed Hyperlink" xfId="1045" builtinId="9" hidden="1"/>
    <cellStyle name="Followed Hyperlink" xfId="1029" builtinId="9" hidden="1"/>
    <cellStyle name="Followed Hyperlink" xfId="1013" builtinId="9" hidden="1"/>
    <cellStyle name="Followed Hyperlink" xfId="997" builtinId="9" hidden="1"/>
    <cellStyle name="Followed Hyperlink" xfId="981" builtinId="9" hidden="1"/>
    <cellStyle name="Followed Hyperlink" xfId="965" builtinId="9" hidden="1"/>
    <cellStyle name="Followed Hyperlink" xfId="949" builtinId="9" hidden="1"/>
    <cellStyle name="Followed Hyperlink" xfId="933" builtinId="9" hidden="1"/>
    <cellStyle name="Followed Hyperlink" xfId="917" builtinId="9" hidden="1"/>
    <cellStyle name="Followed Hyperlink" xfId="142" builtinId="9" hidden="1"/>
    <cellStyle name="Followed Hyperlink" xfId="265" builtinId="9" hidden="1"/>
    <cellStyle name="Followed Hyperlink" xfId="503" builtinId="9" hidden="1"/>
    <cellStyle name="Followed Hyperlink" xfId="429" builtinId="9" hidden="1"/>
    <cellStyle name="Followed Hyperlink" xfId="569" builtinId="9" hidden="1"/>
    <cellStyle name="Followed Hyperlink" xfId="697" builtinId="9" hidden="1"/>
    <cellStyle name="Followed Hyperlink" xfId="639" builtinId="9" hidden="1"/>
    <cellStyle name="Followed Hyperlink" xfId="152" builtinId="9" hidden="1"/>
    <cellStyle name="Followed Hyperlink" xfId="477" builtinId="9" hidden="1"/>
    <cellStyle name="Followed Hyperlink" xfId="329" builtinId="9" hidden="1"/>
    <cellStyle name="Followed Hyperlink" xfId="339" builtinId="9" hidden="1"/>
    <cellStyle name="Followed Hyperlink" xfId="22" builtinId="9" hidden="1"/>
    <cellStyle name="Followed Hyperlink" xfId="765" builtinId="9" hidden="1"/>
    <cellStyle name="Followed Hyperlink" xfId="829" builtinId="9" hidden="1"/>
    <cellStyle name="Followed Hyperlink" xfId="893" builtinId="9" hidden="1"/>
    <cellStyle name="Followed Hyperlink" xfId="875" builtinId="9" hidden="1"/>
    <cellStyle name="Followed Hyperlink" xfId="811" builtinId="9" hidden="1"/>
    <cellStyle name="Followed Hyperlink" xfId="747" builtinId="9" hidden="1"/>
    <cellStyle name="Followed Hyperlink" xfId="333" builtinId="9" hidden="1"/>
    <cellStyle name="Followed Hyperlink" xfId="453" builtinId="9" hidden="1"/>
    <cellStyle name="Followed Hyperlink" xfId="445" builtinId="9" hidden="1"/>
    <cellStyle name="Followed Hyperlink" xfId="58" builtinId="9" hidden="1"/>
    <cellStyle name="Followed Hyperlink" xfId="547" builtinId="9" hidden="1"/>
    <cellStyle name="Followed Hyperlink" xfId="675" builtinId="9" hidden="1"/>
    <cellStyle name="Followed Hyperlink" xfId="661" builtinId="9" hidden="1"/>
    <cellStyle name="Followed Hyperlink" xfId="533" builtinId="9" hidden="1"/>
    <cellStyle name="Followed Hyperlink" xfId="299" builtinId="9" hidden="1"/>
    <cellStyle name="Followed Hyperlink" xfId="279" builtinId="9" hidden="1"/>
    <cellStyle name="Followed Hyperlink" xfId="88" builtinId="9" hidden="1"/>
    <cellStyle name="Followed Hyperlink" xfId="32" builtinId="9" hidden="1"/>
    <cellStyle name="Followed Hyperlink" xfId="187" builtinId="9" hidden="1"/>
    <cellStyle name="Followed Hyperlink" xfId="437" builtinId="9" hidden="1"/>
    <cellStyle name="Followed Hyperlink" xfId="301" builtinId="9" hidden="1"/>
    <cellStyle name="Followed Hyperlink" xfId="487" builtinId="9" hidden="1"/>
    <cellStyle name="Followed Hyperlink" xfId="215" builtinId="9" hidden="1"/>
    <cellStyle name="Followed Hyperlink" xfId="621" builtinId="9" hidden="1"/>
    <cellStyle name="Followed Hyperlink" xfId="715" builtinId="9" hidden="1"/>
    <cellStyle name="Followed Hyperlink" xfId="587" builtinId="9" hidden="1"/>
    <cellStyle name="Followed Hyperlink" xfId="56" builtinId="9" hidden="1"/>
    <cellStyle name="Followed Hyperlink" xfId="373" builtinId="9" hidden="1"/>
    <cellStyle name="Followed Hyperlink" xfId="361" builtinId="9" hidden="1"/>
    <cellStyle name="Followed Hyperlink" xfId="489" builtinId="9" hidden="1"/>
    <cellStyle name="Followed Hyperlink" xfId="407" builtinId="9" hidden="1"/>
    <cellStyle name="Followed Hyperlink" xfId="791" builtinId="9" hidden="1"/>
    <cellStyle name="Followed Hyperlink" xfId="855" builtinId="9" hidden="1"/>
    <cellStyle name="Followed Hyperlink" xfId="499" builtinId="9" hidden="1"/>
    <cellStyle name="Followed Hyperlink" xfId="28" builtinId="9" hidden="1"/>
    <cellStyle name="Followed Hyperlink" xfId="737" builtinId="9" hidden="1"/>
    <cellStyle name="Followed Hyperlink" xfId="785" builtinId="9" hidden="1"/>
    <cellStyle name="Followed Hyperlink" xfId="833" builtinId="9" hidden="1"/>
    <cellStyle name="Followed Hyperlink" xfId="865" builtinId="9" hidden="1"/>
    <cellStyle name="Followed Hyperlink" xfId="913" builtinId="9" hidden="1"/>
    <cellStyle name="Followed Hyperlink" xfId="871" builtinId="9" hidden="1"/>
    <cellStyle name="Followed Hyperlink" xfId="881" builtinId="9" hidden="1"/>
    <cellStyle name="Followed Hyperlink" xfId="753" builtinId="9" hidden="1"/>
    <cellStyle name="Followed Hyperlink" xfId="249" builtinId="9" hidden="1"/>
    <cellStyle name="Followed Hyperlink" xfId="191" builtinId="9" hidden="1"/>
    <cellStyle name="Followed Hyperlink" xfId="345" builtinId="9" hidden="1"/>
    <cellStyle name="Followed Hyperlink" xfId="207" builtinId="9" hidden="1"/>
    <cellStyle name="Followed Hyperlink" xfId="509" builtinId="9" hidden="1"/>
    <cellStyle name="Followed Hyperlink" xfId="273" builtinId="9" hidden="1"/>
    <cellStyle name="Followed Hyperlink" xfId="239" builtinId="9" hidden="1"/>
    <cellStyle name="Followed Hyperlink" xfId="221" builtinId="9" hidden="1"/>
    <cellStyle name="Followed Hyperlink" xfId="68" builtinId="9" hidden="1"/>
    <cellStyle name="Followed Hyperlink" xfId="343" builtinId="9" hidden="1"/>
    <cellStyle name="Followed Hyperlink" xfId="150" builtinId="9" hidden="1"/>
    <cellStyle name="Followed Hyperlink" xfId="235" builtinId="9" hidden="1"/>
    <cellStyle name="Followed Hyperlink" xfId="817" builtinId="9" hidden="1"/>
    <cellStyle name="Followed Hyperlink" xfId="887" builtinId="9" hidden="1"/>
    <cellStyle name="Followed Hyperlink" xfId="903" builtinId="9" hidden="1"/>
    <cellStyle name="Followed Hyperlink" xfId="897" builtinId="9" hidden="1"/>
    <cellStyle name="Followed Hyperlink" xfId="849" builtinId="9" hidden="1"/>
    <cellStyle name="Followed Hyperlink" xfId="801" builtinId="9" hidden="1"/>
    <cellStyle name="Followed Hyperlink" xfId="769" builtinId="9" hidden="1"/>
    <cellStyle name="Followed Hyperlink" xfId="159" builtinId="9" hidden="1"/>
    <cellStyle name="Followed Hyperlink" xfId="227" builtinId="9" hidden="1"/>
    <cellStyle name="Followed Hyperlink" xfId="189" builtinId="9" hidden="1"/>
    <cellStyle name="Followed Hyperlink" xfId="823" builtinId="9" hidden="1"/>
    <cellStyle name="Followed Hyperlink" xfId="759" builtinId="9" hidden="1"/>
    <cellStyle name="Followed Hyperlink" xfId="38" builtinId="9" hidden="1"/>
    <cellStyle name="Followed Hyperlink" xfId="66" builtinId="9" hidden="1"/>
    <cellStyle name="Followed Hyperlink" xfId="179" builtinId="9" hidden="1"/>
    <cellStyle name="Followed Hyperlink" xfId="171" builtinId="9" hidden="1"/>
    <cellStyle name="Followed Hyperlink" xfId="523" builtinId="9" hidden="1"/>
    <cellStyle name="Followed Hyperlink" xfId="651" builtinId="9" hidden="1"/>
    <cellStyle name="Followed Hyperlink" xfId="685" builtinId="9" hidden="1"/>
    <cellStyle name="Followed Hyperlink" xfId="557" builtinId="9" hidden="1"/>
    <cellStyle name="Followed Hyperlink" xfId="78" builtinId="9" hidden="1"/>
    <cellStyle name="Followed Hyperlink" xfId="395" builtinId="9" hidden="1"/>
    <cellStyle name="Followed Hyperlink" xfId="325" builtinId="9" hidden="1"/>
    <cellStyle name="Followed Hyperlink" xfId="419" builtinId="9" hidden="1"/>
    <cellStyle name="Followed Hyperlink" xfId="513" builtinId="9" hidden="1"/>
    <cellStyle name="Followed Hyperlink" xfId="16" builtinId="9" hidden="1"/>
    <cellStyle name="Followed Hyperlink" xfId="351" builtinId="9" hidden="1"/>
    <cellStyle name="Followed Hyperlink" xfId="267" builtinId="9" hidden="1"/>
    <cellStyle name="Followed Hyperlink" xfId="233" builtinId="9" hidden="1"/>
    <cellStyle name="Followed Hyperlink" xfId="597" builtinId="9" hidden="1"/>
    <cellStyle name="Followed Hyperlink" xfId="725" builtinId="9" hidden="1"/>
    <cellStyle name="Followed Hyperlink" xfId="611" builtinId="9" hidden="1"/>
    <cellStyle name="Followed Hyperlink" xfId="433" builtinId="9" hidden="1"/>
    <cellStyle name="Followed Hyperlink" xfId="124" builtinId="9" hidden="1"/>
    <cellStyle name="Followed Hyperlink" xfId="219" builtinId="9" hidden="1"/>
    <cellStyle name="Followed Hyperlink" xfId="154" builtinId="9" hidden="1"/>
    <cellStyle name="Followed Hyperlink" xfId="225" builtinId="9" hidden="1"/>
    <cellStyle name="Followed Hyperlink" xfId="779" builtinId="9" hidden="1"/>
    <cellStyle name="Followed Hyperlink" xfId="843" builtinId="9" hidden="1"/>
    <cellStyle name="Followed Hyperlink" xfId="907" builtinId="9" hidden="1"/>
    <cellStyle name="Followed Hyperlink" xfId="861" builtinId="9" hidden="1"/>
    <cellStyle name="Followed Hyperlink" xfId="797" builtinId="9" hidden="1"/>
    <cellStyle name="Followed Hyperlink" xfId="733" builtinId="9" hidden="1"/>
    <cellStyle name="Followed Hyperlink" xfId="50" builtinId="9" hidden="1"/>
    <cellStyle name="Followed Hyperlink" xfId="277" builtinId="9" hidden="1"/>
    <cellStyle name="Followed Hyperlink" xfId="195" builtinId="9" hidden="1"/>
    <cellStyle name="Followed Hyperlink" xfId="415" builtinId="9" hidden="1"/>
    <cellStyle name="Followed Hyperlink" xfId="575" builtinId="9" hidden="1"/>
    <cellStyle name="Followed Hyperlink" xfId="703" builtinId="9" hidden="1"/>
    <cellStyle name="Followed Hyperlink" xfId="633" builtinId="9" hidden="1"/>
    <cellStyle name="Followed Hyperlink" xfId="80" builtinId="9" hidden="1"/>
    <cellStyle name="Followed Hyperlink" xfId="355" builtinId="9" hidden="1"/>
    <cellStyle name="Followed Hyperlink" xfId="347" builtinId="9" hidden="1"/>
    <cellStyle name="Followed Hyperlink" xfId="106" builtinId="9" hidden="1"/>
    <cellStyle name="Followed Hyperlink" xfId="165" builtinId="9" hidden="1"/>
    <cellStyle name="Followed Hyperlink" xfId="925" builtinId="9" hidden="1"/>
    <cellStyle name="Followed Hyperlink" xfId="941" builtinId="9" hidden="1"/>
    <cellStyle name="Followed Hyperlink" xfId="957" builtinId="9" hidden="1"/>
    <cellStyle name="Followed Hyperlink" xfId="973" builtinId="9" hidden="1"/>
    <cellStyle name="Followed Hyperlink" xfId="989" builtinId="9" hidden="1"/>
    <cellStyle name="Followed Hyperlink" xfId="1005" builtinId="9" hidden="1"/>
    <cellStyle name="Followed Hyperlink" xfId="1021" builtinId="9" hidden="1"/>
    <cellStyle name="Followed Hyperlink" xfId="1037" builtinId="9" hidden="1"/>
    <cellStyle name="Followed Hyperlink" xfId="1053" builtinId="9" hidden="1"/>
    <cellStyle name="Followed Hyperlink" xfId="1069" builtinId="9" hidden="1"/>
    <cellStyle name="Followed Hyperlink" xfId="1085" builtinId="9" hidden="1"/>
    <cellStyle name="Followed Hyperlink" xfId="1101" builtinId="9" hidden="1"/>
    <cellStyle name="Followed Hyperlink" xfId="1117" builtinId="9" hidden="1"/>
    <cellStyle name="Followed Hyperlink" xfId="1133" builtinId="9" hidden="1"/>
    <cellStyle name="Followed Hyperlink" xfId="1123" builtinId="9" hidden="1"/>
    <cellStyle name="Followed Hyperlink" xfId="1107" builtinId="9" hidden="1"/>
    <cellStyle name="Followed Hyperlink" xfId="1091" builtinId="9" hidden="1"/>
    <cellStyle name="Followed Hyperlink" xfId="1075" builtinId="9" hidden="1"/>
    <cellStyle name="Followed Hyperlink" xfId="1059" builtinId="9" hidden="1"/>
    <cellStyle name="Followed Hyperlink" xfId="1043" builtinId="9" hidden="1"/>
    <cellStyle name="Followed Hyperlink" xfId="1027" builtinId="9" hidden="1"/>
    <cellStyle name="Followed Hyperlink" xfId="1011" builtinId="9" hidden="1"/>
    <cellStyle name="Followed Hyperlink" xfId="995" builtinId="9" hidden="1"/>
    <cellStyle name="Followed Hyperlink" xfId="979" builtinId="9" hidden="1"/>
    <cellStyle name="Followed Hyperlink" xfId="963" builtinId="9" hidden="1"/>
    <cellStyle name="Followed Hyperlink" xfId="947" builtinId="9" hidden="1"/>
    <cellStyle name="Followed Hyperlink" xfId="931" builtinId="9" hidden="1"/>
    <cellStyle name="Followed Hyperlink" xfId="337" builtinId="9" hidden="1"/>
    <cellStyle name="Followed Hyperlink" xfId="377" builtinId="9" hidden="1"/>
    <cellStyle name="Followed Hyperlink" xfId="431" builtinId="9" hidden="1"/>
    <cellStyle name="Followed Hyperlink" xfId="471" builtinId="9" hidden="1"/>
    <cellStyle name="Followed Hyperlink" xfId="24" builtinId="9" hidden="1"/>
    <cellStyle name="Followed Hyperlink" xfId="585" builtinId="9" hidden="1"/>
    <cellStyle name="Followed Hyperlink" xfId="713" builtinId="9" hidden="1"/>
    <cellStyle name="Followed Hyperlink" xfId="623" builtinId="9" hidden="1"/>
    <cellStyle name="Followed Hyperlink" xfId="175" builtinId="9" hidden="1"/>
    <cellStyle name="Followed Hyperlink" xfId="495" builtinId="9" hidden="1"/>
    <cellStyle name="Followed Hyperlink" xfId="144" builtinId="9" hidden="1"/>
    <cellStyle name="Followed Hyperlink" xfId="86" builtinId="9" hidden="1"/>
    <cellStyle name="Followed Hyperlink" xfId="293" builtinId="9" hidden="1"/>
    <cellStyle name="Followed Hyperlink" xfId="773" builtinId="9" hidden="1"/>
    <cellStyle name="Followed Hyperlink" xfId="837" builtinId="9" hidden="1"/>
    <cellStyle name="Followed Hyperlink" xfId="901" builtinId="9" hidden="1"/>
    <cellStyle name="Followed Hyperlink" xfId="867" builtinId="9" hidden="1"/>
    <cellStyle name="Followed Hyperlink" xfId="803" builtinId="9" hidden="1"/>
    <cellStyle name="Followed Hyperlink" xfId="739" builtinId="9" hidden="1"/>
    <cellStyle name="Followed Hyperlink" xfId="70" builtinId="9" hidden="1"/>
    <cellStyle name="Followed Hyperlink" xfId="319" builtinId="9" hidden="1"/>
    <cellStyle name="Followed Hyperlink" xfId="199" builtinId="9" hidden="1"/>
    <cellStyle name="Followed Hyperlink" xfId="297" builtinId="9" hidden="1"/>
    <cellStyle name="Followed Hyperlink" xfId="563" builtinId="9" hidden="1"/>
    <cellStyle name="Followed Hyperlink" xfId="691" builtinId="9" hidden="1"/>
    <cellStyle name="Followed Hyperlink" xfId="645" builtinId="9" hidden="1"/>
    <cellStyle name="Followed Hyperlink" xfId="173" builtinId="9" hidden="1"/>
    <cellStyle name="Followed Hyperlink" xfId="4" builtinId="9" hidden="1"/>
    <cellStyle name="Followed Hyperlink" xfId="181" builtinId="9" hidden="1"/>
    <cellStyle name="Followed Hyperlink" xfId="303" builtinId="9" hidden="1"/>
    <cellStyle name="Followed Hyperlink" xfId="491" builtinId="9" hidden="1"/>
    <cellStyle name="Followed Hyperlink" xfId="183" builtinId="9" hidden="1"/>
    <cellStyle name="Followed Hyperlink" xfId="387" builtinId="9" hidden="1"/>
    <cellStyle name="Followed Hyperlink" xfId="353" builtinId="9" hidden="1"/>
    <cellStyle name="Followed Hyperlink" xfId="485" builtinId="9" hidden="1"/>
    <cellStyle name="Followed Hyperlink" xfId="211" builtinId="9" hidden="1"/>
    <cellStyle name="Followed Hyperlink" xfId="637" builtinId="9" hidden="1"/>
    <cellStyle name="Followed Hyperlink" xfId="699" builtinId="9" hidden="1"/>
    <cellStyle name="Followed Hyperlink" xfId="571" builtinId="9" hidden="1"/>
    <cellStyle name="Followed Hyperlink" xfId="383" builtinId="9" hidden="1"/>
    <cellStyle name="Followed Hyperlink" xfId="52" builtinId="9" hidden="1"/>
    <cellStyle name="Followed Hyperlink" xfId="30" builtinId="9" hidden="1"/>
    <cellStyle name="Followed Hyperlink" xfId="62" builtinId="9" hidden="1"/>
    <cellStyle name="Followed Hyperlink" xfId="735" builtinId="9" hidden="1"/>
    <cellStyle name="Followed Hyperlink" xfId="799" builtinId="9" hidden="1"/>
    <cellStyle name="Followed Hyperlink" xfId="863" builtinId="9" hidden="1"/>
    <cellStyle name="Followed Hyperlink" xfId="905" builtinId="9" hidden="1"/>
    <cellStyle name="Followed Hyperlink" xfId="841" builtinId="9" hidden="1"/>
    <cellStyle name="Followed Hyperlink" xfId="777" builtinId="9" hidden="1"/>
    <cellStyle name="Followed Hyperlink" xfId="391" builtinId="9" hidden="1"/>
    <cellStyle name="Followed Hyperlink" xfId="98" builtinId="9" hidden="1"/>
    <cellStyle name="Followed Hyperlink" xfId="283" builtinId="9" hidden="1"/>
    <cellStyle name="Followed Hyperlink" xfId="463" builtinId="9" hidden="1"/>
    <cellStyle name="Followed Hyperlink" xfId="441" builtinId="9" hidden="1"/>
    <cellStyle name="Followed Hyperlink" xfId="705" builtinId="9" hidden="1"/>
    <cellStyle name="Followed Hyperlink" xfId="679" builtinId="9" hidden="1"/>
    <cellStyle name="Followed Hyperlink" xfId="599" builtinId="9" hidden="1"/>
    <cellStyle name="Followed Hyperlink" xfId="146" builtinId="9" hidden="1"/>
    <cellStyle name="Followed Hyperlink" xfId="711" builtinId="9" hidden="1"/>
    <cellStyle name="Followed Hyperlink" xfId="545" builtinId="9" hidden="1"/>
    <cellStyle name="Followed Hyperlink" xfId="561" builtinId="9" hidden="1"/>
    <cellStyle name="Followed Hyperlink" xfId="255" builtinId="9" hidden="1"/>
    <cellStyle name="Followed Hyperlink" xfId="1143" builtinId="9" hidden="1"/>
    <cellStyle name="Followed Hyperlink" xfId="1151" builtinId="9" hidden="1"/>
    <cellStyle name="Followed Hyperlink" xfId="1159" builtinId="9" hidden="1"/>
    <cellStyle name="Followed Hyperlink" xfId="1167" builtinId="9" hidden="1"/>
    <cellStyle name="Followed Hyperlink" xfId="1175" builtinId="9" hidden="1"/>
    <cellStyle name="Followed Hyperlink" xfId="1183" builtinId="9" hidden="1"/>
    <cellStyle name="Followed Hyperlink" xfId="1191" builtinId="9" hidden="1"/>
    <cellStyle name="Followed Hyperlink" xfId="1199" builtinId="9" hidden="1"/>
    <cellStyle name="Followed Hyperlink" xfId="1205" builtinId="9" hidden="1"/>
    <cellStyle name="Followed Hyperlink" xfId="1197" builtinId="9" hidden="1"/>
    <cellStyle name="Followed Hyperlink" xfId="1189" builtinId="9" hidden="1"/>
    <cellStyle name="Followed Hyperlink" xfId="1181" builtinId="9" hidden="1"/>
    <cellStyle name="Followed Hyperlink" xfId="1173" builtinId="9" hidden="1"/>
    <cellStyle name="Followed Hyperlink" xfId="1165" builtinId="9" hidden="1"/>
    <cellStyle name="Followed Hyperlink" xfId="1157" builtinId="9" hidden="1"/>
    <cellStyle name="Followed Hyperlink" xfId="1149" builtinId="9" hidden="1"/>
    <cellStyle name="Followed Hyperlink" xfId="1141" builtinId="9" hidden="1"/>
    <cellStyle name="Followed Hyperlink" xfId="425" builtinId="9" hidden="1"/>
    <cellStyle name="Followed Hyperlink" xfId="609" builtinId="9" hidden="1"/>
    <cellStyle name="Followed Hyperlink" xfId="529" builtinId="9" hidden="1"/>
    <cellStyle name="Followed Hyperlink" xfId="647" builtinId="9" hidden="1"/>
    <cellStyle name="Followed Hyperlink" xfId="535" builtinId="9" hidden="1"/>
    <cellStyle name="Followed Hyperlink" xfId="615" builtinId="9" hidden="1"/>
    <cellStyle name="Followed Hyperlink" xfId="695" builtinId="9" hidden="1"/>
    <cellStyle name="Followed Hyperlink" xfId="673" builtinId="9" hidden="1"/>
    <cellStyle name="Followed Hyperlink" xfId="34" builtinId="9" hidden="1"/>
    <cellStyle name="Followed Hyperlink" xfId="96" builtinId="9" hidden="1"/>
    <cellStyle name="Followed Hyperlink" xfId="72" builtinId="9" hidden="1"/>
    <cellStyle name="Followed Hyperlink" xfId="473" builtinId="9" hidden="1"/>
    <cellStyle name="Followed Hyperlink" xfId="439" builtinId="9" hidden="1"/>
    <cellStyle name="Followed Hyperlink" xfId="793" builtinId="9" hidden="1"/>
    <cellStyle name="Followed Hyperlink" xfId="857" builtinId="9" hidden="1"/>
    <cellStyle name="Followed Hyperlink" xfId="911" builtinId="9" hidden="1"/>
    <cellStyle name="Followed Hyperlink" xfId="847" builtinId="9" hidden="1"/>
    <cellStyle name="Followed Hyperlink" xfId="783" builtinId="9" hidden="1"/>
    <cellStyle name="Followed Hyperlink" xfId="311" builtinId="9" hidden="1"/>
    <cellStyle name="Followed Hyperlink" xfId="483" builtinId="9" hidden="1"/>
    <cellStyle name="Followed Hyperlink" xfId="269" builtinId="9" hidden="1"/>
    <cellStyle name="Followed Hyperlink" xfId="10" builtinId="9" hidden="1"/>
    <cellStyle name="Followed Hyperlink" xfId="393" builtinId="9" hidden="1"/>
    <cellStyle name="Followed Hyperlink" xfId="603" builtinId="9" hidden="1"/>
    <cellStyle name="Followed Hyperlink" xfId="731" builtinId="9" hidden="1"/>
    <cellStyle name="Followed Hyperlink" xfId="605" builtinId="9" hidden="1"/>
    <cellStyle name="Followed Hyperlink" xfId="401" builtinId="9" hidden="1"/>
    <cellStyle name="Followed Hyperlink" xfId="148" builtinId="9" hidden="1"/>
    <cellStyle name="Followed Hyperlink" xfId="90" builtinId="9" hidden="1"/>
    <cellStyle name="Followed Hyperlink" xfId="231" builtinId="9" hidden="1"/>
    <cellStyle name="Followed Hyperlink" xfId="497" builtinId="9" hidden="1"/>
    <cellStyle name="Followed Hyperlink" xfId="116" builtinId="9" hidden="1"/>
    <cellStyle name="Followed Hyperlink" xfId="18" builtinId="9" hidden="1"/>
    <cellStyle name="Followed Hyperlink" xfId="459" builtinId="9" hidden="1"/>
    <cellStyle name="Followed Hyperlink" xfId="169" builtinId="9" hidden="1"/>
    <cellStyle name="Followed Hyperlink" xfId="549" builtinId="9" hidden="1"/>
    <cellStyle name="Followed Hyperlink" xfId="677" builtinId="9" hidden="1"/>
    <cellStyle name="Followed Hyperlink" xfId="659" builtinId="9" hidden="1"/>
    <cellStyle name="Followed Hyperlink" xfId="531" builtinId="9" hidden="1"/>
    <cellStyle name="Followed Hyperlink" xfId="82" builtinId="9" hidden="1"/>
    <cellStyle name="Followed Hyperlink" xfId="289" builtinId="9" hidden="1"/>
    <cellStyle name="Followed Hyperlink" xfId="247" builtinId="9" hidden="1"/>
    <cellStyle name="Followed Hyperlink" xfId="54" builtinId="9" hidden="1"/>
    <cellStyle name="Followed Hyperlink" xfId="755" builtinId="9" hidden="1"/>
    <cellStyle name="Followed Hyperlink" xfId="819" builtinId="9" hidden="1"/>
    <cellStyle name="Followed Hyperlink" xfId="883" builtinId="9" hidden="1"/>
    <cellStyle name="Followed Hyperlink" xfId="885" builtinId="9" hidden="1"/>
    <cellStyle name="Followed Hyperlink" xfId="821" builtinId="9" hidden="1"/>
    <cellStyle name="Followed Hyperlink" xfId="757" builtinId="9" hidden="1"/>
    <cellStyle name="Followed Hyperlink" xfId="48" builtinId="9" hidden="1"/>
    <cellStyle name="Followed Hyperlink" xfId="60" builtinId="9" hidden="1"/>
    <cellStyle name="Followed Hyperlink" xfId="134" builtinId="9" hidden="1"/>
    <cellStyle name="Followed Hyperlink" xfId="76" builtinId="9" hidden="1"/>
    <cellStyle name="Followed Hyperlink" xfId="527" builtinId="9" hidden="1"/>
    <cellStyle name="Followed Hyperlink" xfId="655" builtinId="9" hidden="1"/>
    <cellStyle name="Followed Hyperlink" xfId="681" builtinId="9" hidden="1"/>
    <cellStyle name="Followed Hyperlink" xfId="553" builtinId="9" hidden="1"/>
    <cellStyle name="Followed Hyperlink" xfId="427" builtinId="9" hidden="1"/>
    <cellStyle name="Followed Hyperlink" xfId="469" builtinId="9" hidden="1"/>
    <cellStyle name="Followed Hyperlink" xfId="177" builtinId="9" hidden="1"/>
    <cellStyle name="Followed Hyperlink" xfId="307" builtinId="9" hidden="1"/>
    <cellStyle name="Followed Hyperlink" xfId="919" builtinId="9" hidden="1"/>
    <cellStyle name="Followed Hyperlink" xfId="935" builtinId="9" hidden="1"/>
    <cellStyle name="Followed Hyperlink" xfId="951" builtinId="9" hidden="1"/>
    <cellStyle name="Followed Hyperlink" xfId="967" builtinId="9" hidden="1"/>
    <cellStyle name="Followed Hyperlink" xfId="983" builtinId="9" hidden="1"/>
    <cellStyle name="Followed Hyperlink" xfId="999" builtinId="9" hidden="1"/>
    <cellStyle name="Followed Hyperlink" xfId="1015" builtinId="9" hidden="1"/>
    <cellStyle name="Followed Hyperlink" xfId="1031" builtinId="9" hidden="1"/>
    <cellStyle name="Followed Hyperlink" xfId="1047" builtinId="9" hidden="1"/>
    <cellStyle name="Followed Hyperlink" xfId="1063" builtinId="9" hidden="1"/>
    <cellStyle name="Followed Hyperlink" xfId="1079" builtinId="9" hidden="1"/>
    <cellStyle name="Followed Hyperlink" xfId="1095" builtinId="9" hidden="1"/>
    <cellStyle name="Followed Hyperlink" xfId="1111" builtinId="9" hidden="1"/>
    <cellStyle name="Followed Hyperlink" xfId="1127" builtinId="9" hidden="1"/>
    <cellStyle name="Followed Hyperlink" xfId="1129" builtinId="9" hidden="1"/>
    <cellStyle name="Followed Hyperlink" xfId="1113" builtinId="9" hidden="1"/>
    <cellStyle name="Followed Hyperlink" xfId="1097" builtinId="9" hidden="1"/>
    <cellStyle name="Followed Hyperlink" xfId="1081" builtinId="9" hidden="1"/>
    <cellStyle name="Followed Hyperlink" xfId="1065" builtinId="9" hidden="1"/>
    <cellStyle name="Followed Hyperlink" xfId="1049" builtinId="9" hidden="1"/>
    <cellStyle name="Followed Hyperlink" xfId="1033" builtinId="9" hidden="1"/>
    <cellStyle name="Followed Hyperlink" xfId="1017" builtinId="9" hidden="1"/>
    <cellStyle name="Followed Hyperlink" xfId="1001" builtinId="9" hidden="1"/>
    <cellStyle name="Followed Hyperlink" xfId="985" builtinId="9" hidden="1"/>
    <cellStyle name="Followed Hyperlink" xfId="969" builtinId="9" hidden="1"/>
    <cellStyle name="Followed Hyperlink" xfId="953" builtinId="9" hidden="1"/>
    <cellStyle name="Followed Hyperlink" xfId="937" builtinId="9" hidden="1"/>
    <cellStyle name="Followed Hyperlink" xfId="921" builtinId="9" hidden="1"/>
    <cellStyle name="Followed Hyperlink" xfId="126" builtinId="9" hidden="1"/>
    <cellStyle name="Followed Hyperlink" xfId="501" builtinId="9" hidden="1"/>
    <cellStyle name="Followed Hyperlink" xfId="122" builtinId="9" hidden="1"/>
    <cellStyle name="Followed Hyperlink" xfId="241" builtinId="9" hidden="1"/>
    <cellStyle name="Followed Hyperlink" xfId="537" builtinId="9" hidden="1"/>
    <cellStyle name="Followed Hyperlink" xfId="665" builtinId="9" hidden="1"/>
    <cellStyle name="Followed Hyperlink" xfId="671" builtinId="9" hidden="1"/>
    <cellStyle name="Followed Hyperlink" xfId="543" builtinId="9" hidden="1"/>
    <cellStyle name="Followed Hyperlink" xfId="379" builtinId="9" hidden="1"/>
    <cellStyle name="Followed Hyperlink" xfId="413" builtinId="9" hidden="1"/>
    <cellStyle name="Followed Hyperlink" xfId="435" builtinId="9" hidden="1"/>
    <cellStyle name="Followed Hyperlink" xfId="94" builtinId="9" hidden="1"/>
    <cellStyle name="Followed Hyperlink" xfId="749" builtinId="9" hidden="1"/>
    <cellStyle name="Followed Hyperlink" xfId="813" builtinId="9" hidden="1"/>
    <cellStyle name="Followed Hyperlink" xfId="877" builtinId="9" hidden="1"/>
    <cellStyle name="Followed Hyperlink" xfId="891" builtinId="9" hidden="1"/>
    <cellStyle name="Followed Hyperlink" xfId="827" builtinId="9" hidden="1"/>
    <cellStyle name="Followed Hyperlink" xfId="763" builtinId="9" hidden="1"/>
    <cellStyle name="Followed Hyperlink" xfId="104" builtinId="9" hidden="1"/>
    <cellStyle name="Followed Hyperlink" xfId="6" builtinId="9" hidden="1"/>
    <cellStyle name="Followed Hyperlink" xfId="185" builtinId="9" hidden="1"/>
    <cellStyle name="Followed Hyperlink" xfId="461" builtinId="9" hidden="1"/>
    <cellStyle name="Followed Hyperlink" xfId="161" builtinId="9" hidden="1"/>
    <cellStyle name="Followed Hyperlink" xfId="643" builtinId="9" hidden="1"/>
    <cellStyle name="Followed Hyperlink" xfId="693" builtinId="9" hidden="1"/>
    <cellStyle name="Followed Hyperlink" xfId="565" builtinId="9" hidden="1"/>
    <cellStyle name="Followed Hyperlink" xfId="263" builtinId="9" hidden="1"/>
    <cellStyle name="Followed Hyperlink" xfId="287" builtinId="9" hidden="1"/>
    <cellStyle name="Followed Hyperlink" xfId="36" builtinId="9" hidden="1"/>
    <cellStyle name="Followed Hyperlink" xfId="163" builtinId="9" hidden="1"/>
    <cellStyle name="Followed Hyperlink" xfId="209" builtinId="9" hidden="1"/>
    <cellStyle name="Followed Hyperlink" xfId="555" builtinId="9" hidden="1"/>
    <cellStyle name="Followed Hyperlink" xfId="683" builtinId="9" hidden="1"/>
    <cellStyle name="Followed Hyperlink" xfId="717" builtinId="9" hidden="1"/>
    <cellStyle name="Followed Hyperlink" xfId="653" builtinId="9" hidden="1"/>
    <cellStyle name="Followed Hyperlink" xfId="525" builtinId="9" hidden="1"/>
    <cellStyle name="Followed Hyperlink" xfId="305" builtinId="9" hidden="1"/>
    <cellStyle name="Followed Hyperlink" xfId="140" builtinId="9" hidden="1"/>
    <cellStyle name="Followed Hyperlink" xfId="2" builtinId="9" hidden="1"/>
    <cellStyle name="Followed Hyperlink" xfId="375" builtinId="9" hidden="1"/>
    <cellStyle name="Followed Hyperlink" xfId="321" builtinId="9" hidden="1"/>
    <cellStyle name="Followed Hyperlink" xfId="507" builtinId="9" hidden="1"/>
    <cellStyle name="Followed Hyperlink" xfId="481" builtinId="9" hidden="1"/>
    <cellStyle name="Followed Hyperlink" xfId="26" builtinId="9" hidden="1"/>
    <cellStyle name="Followed Hyperlink" xfId="451" builtinId="9" hidden="1"/>
    <cellStyle name="Followed Hyperlink" xfId="217" builtinId="9" hidden="1"/>
    <cellStyle name="Followed Hyperlink" xfId="110" builtinId="9" hidden="1"/>
    <cellStyle name="Followed Hyperlink" xfId="341" builtinId="9" hidden="1"/>
    <cellStyle name="Followed Hyperlink" xfId="589" builtinId="9" hidden="1"/>
    <cellStyle name="Followed Hyperlink" xfId="619" builtinId="9" hidden="1"/>
    <cellStyle name="Followed Hyperlink" xfId="479" builtinId="9" hidden="1"/>
    <cellStyle name="Followed Hyperlink" xfId="136" builtinId="9" hidden="1"/>
    <cellStyle name="Followed Hyperlink" xfId="331" builtinId="9" hidden="1"/>
    <cellStyle name="Followed Hyperlink" xfId="389" builtinId="9" hidden="1"/>
    <cellStyle name="Followed Hyperlink" xfId="205" builtinId="9" hidden="1"/>
    <cellStyle name="Followed Hyperlink" xfId="411" builtinId="9" hidden="1"/>
    <cellStyle name="Followed Hyperlink" xfId="74" builtinId="9" hidden="1"/>
    <cellStyle name="Followed Hyperlink" xfId="775" builtinId="9" hidden="1"/>
    <cellStyle name="Followed Hyperlink" xfId="743" builtinId="9" hidden="1"/>
    <cellStyle name="Followed Hyperlink" xfId="807" builtinId="9" hidden="1"/>
    <cellStyle name="Followed Hyperlink" xfId="839" builtinId="9" hidden="1"/>
    <cellStyle name="Followed Hyperlink" xfId="1207" builtinId="9" hidden="1"/>
    <cellStyle name="Followed Hyperlink" xfId="1209" builtinId="9" hidden="1"/>
    <cellStyle name="Followed Hyperlink" xfId="1211" builtinId="9" hidden="1"/>
    <cellStyle name="Followed Hyperlink" xfId="1213" builtinId="9" hidden="1"/>
    <cellStyle name="Followed Hyperlink" xfId="1215" builtinId="9" hidden="1"/>
    <cellStyle name="Followed Hyperlink" xfId="1217" builtinId="9" hidden="1"/>
    <cellStyle name="Followed Hyperlink" xfId="1219" builtinId="9" hidden="1"/>
    <cellStyle name="Followed Hyperlink" xfId="1221" builtinId="9" hidden="1"/>
    <cellStyle name="Followed Hyperlink" xfId="1223" builtinId="9" hidden="1"/>
    <cellStyle name="Followed Hyperlink" xfId="1225" builtinId="9" hidden="1"/>
    <cellStyle name="Followed Hyperlink" xfId="1227" builtinId="9" hidden="1"/>
    <cellStyle name="Followed Hyperlink" xfId="1229" builtinId="9" hidden="1"/>
    <cellStyle name="Followed Hyperlink" xfId="1231" builtinId="9" hidden="1"/>
    <cellStyle name="Followed Hyperlink" xfId="1233" builtinId="9" hidden="1"/>
    <cellStyle name="Followed Hyperlink" xfId="1235" builtinId="9" hidden="1"/>
    <cellStyle name="Followed Hyperlink" xfId="1237" builtinId="9" hidden="1"/>
    <cellStyle name="Followed Hyperlink" xfId="1239" builtinId="9" hidden="1"/>
    <cellStyle name="Followed Hyperlink" xfId="1241" builtinId="9" hidden="1"/>
    <cellStyle name="Followed Hyperlink" xfId="1243" builtinId="9" hidden="1"/>
    <cellStyle name="Followed Hyperlink" xfId="1245" builtinId="9" hidden="1"/>
    <cellStyle name="Followed Hyperlink" xfId="1247" builtinId="9" hidden="1"/>
    <cellStyle name="Followed Hyperlink" xfId="1249" builtinId="9" hidden="1"/>
    <cellStyle name="Followed Hyperlink" xfId="1251" builtinId="9" hidden="1"/>
    <cellStyle name="Followed Hyperlink" xfId="1253" builtinId="9" hidden="1"/>
    <cellStyle name="Followed Hyperlink" xfId="1255" builtinId="9" hidden="1"/>
    <cellStyle name="Followed Hyperlink" xfId="1257" builtinId="9" hidden="1"/>
    <cellStyle name="Followed Hyperlink" xfId="1259" builtinId="9" hidden="1"/>
    <cellStyle name="Followed Hyperlink" xfId="1261" builtinId="9" hidden="1"/>
    <cellStyle name="Followed Hyperlink" xfId="1263" builtinId="9" hidden="1"/>
    <cellStyle name="Followed Hyperlink" xfId="1265" builtinId="9" hidden="1"/>
    <cellStyle name="Followed Hyperlink" xfId="1267" builtinId="9" hidden="1"/>
    <cellStyle name="Followed Hyperlink" xfId="1269" builtinId="9" hidden="1"/>
    <cellStyle name="Followed Hyperlink" xfId="1271" builtinId="9" hidden="1"/>
    <cellStyle name="Followed Hyperlink" xfId="1273" builtinId="9" hidden="1"/>
    <cellStyle name="Followed Hyperlink" xfId="1275" builtinId="9" hidden="1"/>
    <cellStyle name="Followed Hyperlink" xfId="1277" builtinId="9" hidden="1"/>
    <cellStyle name="Followed Hyperlink" xfId="1279" builtinId="9" hidden="1"/>
    <cellStyle name="Followed Hyperlink" xfId="1281" builtinId="9" hidden="1"/>
    <cellStyle name="Followed Hyperlink" xfId="1283" builtinId="9" hidden="1"/>
    <cellStyle name="Followed Hyperlink" xfId="1285" builtinId="9" hidden="1"/>
    <cellStyle name="Followed Hyperlink" xfId="1287" builtinId="9" hidden="1"/>
    <cellStyle name="Followed Hyperlink" xfId="1289" builtinId="9" hidden="1"/>
    <cellStyle name="Followed Hyperlink" xfId="1291" builtinId="9" hidden="1"/>
    <cellStyle name="Followed Hyperlink" xfId="1293" builtinId="9" hidden="1"/>
    <cellStyle name="Followed Hyperlink" xfId="1295" builtinId="9" hidden="1"/>
    <cellStyle name="Followed Hyperlink" xfId="1297" builtinId="9" hidden="1"/>
    <cellStyle name="Followed Hyperlink" xfId="1299" builtinId="9" hidden="1"/>
    <cellStyle name="Followed Hyperlink" xfId="1301" builtinId="9" hidden="1"/>
    <cellStyle name="Followed Hyperlink" xfId="1303" builtinId="9" hidden="1"/>
    <cellStyle name="Followed Hyperlink" xfId="1305" builtinId="9" hidden="1"/>
    <cellStyle name="Followed Hyperlink" xfId="1307" builtinId="9" hidden="1"/>
    <cellStyle name="Followed Hyperlink" xfId="1309" builtinId="9" hidden="1"/>
    <cellStyle name="Followed Hyperlink" xfId="1311" builtinId="9" hidden="1"/>
    <cellStyle name="Followed Hyperlink" xfId="1313" builtinId="9" hidden="1"/>
    <cellStyle name="Followed Hyperlink" xfId="1315" builtinId="9" hidden="1"/>
    <cellStyle name="Followed Hyperlink" xfId="1317" builtinId="9" hidden="1"/>
    <cellStyle name="Followed Hyperlink" xfId="1319" builtinId="9" hidden="1"/>
    <cellStyle name="Followed Hyperlink" xfId="1321" builtinId="9" hidden="1"/>
    <cellStyle name="Followed Hyperlink" xfId="1323" builtinId="9" hidden="1"/>
    <cellStyle name="Followed Hyperlink" xfId="1325" builtinId="9" hidden="1"/>
    <cellStyle name="Followed Hyperlink" xfId="1327" builtinId="9" hidden="1"/>
    <cellStyle name="Followed Hyperlink" xfId="1329" builtinId="9" hidden="1"/>
    <cellStyle name="Followed Hyperlink" xfId="1331" builtinId="9" hidden="1"/>
    <cellStyle name="Followed Hyperlink" xfId="1333" builtinId="9" hidden="1"/>
    <cellStyle name="Followed Hyperlink" xfId="1335" builtinId="9" hidden="1"/>
    <cellStyle name="Followed Hyperlink" xfId="1337" builtinId="9" hidden="1"/>
    <cellStyle name="Followed Hyperlink" xfId="1339" builtinId="9" hidden="1"/>
    <cellStyle name="Followed Hyperlink" xfId="1341" builtinId="9" hidden="1"/>
    <cellStyle name="Followed Hyperlink" xfId="1343" builtinId="9" hidden="1"/>
    <cellStyle name="Followed Hyperlink" xfId="1345" builtinId="9" hidden="1"/>
    <cellStyle name="Followed Hyperlink" xfId="1347" builtinId="9" hidden="1"/>
    <cellStyle name="Followed Hyperlink" xfId="1349" builtinId="9" hidden="1"/>
    <cellStyle name="Followed Hyperlink" xfId="1351" builtinId="9" hidden="1"/>
    <cellStyle name="Followed Hyperlink" xfId="1353" builtinId="9" hidden="1"/>
    <cellStyle name="Followed Hyperlink" xfId="1355" builtinId="9" hidden="1"/>
    <cellStyle name="Followed Hyperlink" xfId="1357" builtinId="9" hidden="1"/>
    <cellStyle name="Followed Hyperlink" xfId="1359" builtinId="9" hidden="1"/>
    <cellStyle name="Followed Hyperlink" xfId="1361" builtinId="9" hidden="1"/>
    <cellStyle name="Followed Hyperlink" xfId="1363" builtinId="9" hidden="1"/>
    <cellStyle name="Followed Hyperlink" xfId="1365" builtinId="9" hidden="1"/>
    <cellStyle name="Followed Hyperlink" xfId="1367" builtinId="9" hidden="1"/>
    <cellStyle name="Followed Hyperlink" xfId="1369" builtinId="9" hidden="1"/>
    <cellStyle name="Followed Hyperlink" xfId="1371" builtinId="9" hidden="1"/>
    <cellStyle name="Followed Hyperlink" xfId="1373" builtinId="9" hidden="1"/>
    <cellStyle name="Followed Hyperlink" xfId="1375" builtinId="9" hidden="1"/>
    <cellStyle name="Followed Hyperlink" xfId="1377" builtinId="9" hidden="1"/>
    <cellStyle name="Followed Hyperlink" xfId="1379" builtinId="9" hidden="1"/>
    <cellStyle name="Followed Hyperlink" xfId="1381" builtinId="9" hidden="1"/>
    <cellStyle name="Followed Hyperlink" xfId="1383" builtinId="9" hidden="1"/>
    <cellStyle name="Followed Hyperlink" xfId="1385" builtinId="9" hidden="1"/>
    <cellStyle name="Followed Hyperlink" xfId="1387" builtinId="9" hidden="1"/>
    <cellStyle name="Followed Hyperlink" xfId="1389" builtinId="9" hidden="1"/>
    <cellStyle name="Followed Hyperlink" xfId="1391" builtinId="9" hidden="1"/>
    <cellStyle name="Followed Hyperlink" xfId="1393" builtinId="9" hidden="1"/>
    <cellStyle name="Followed Hyperlink" xfId="1395" builtinId="9" hidden="1"/>
    <cellStyle name="Followed Hyperlink" xfId="1397" builtinId="9" hidden="1"/>
    <cellStyle name="Followed Hyperlink" xfId="1399" builtinId="9" hidden="1"/>
    <cellStyle name="Followed Hyperlink" xfId="1401" builtinId="9" hidden="1"/>
    <cellStyle name="Followed Hyperlink" xfId="1403" builtinId="9" hidden="1"/>
    <cellStyle name="Followed Hyperlink" xfId="1405" builtinId="9" hidden="1"/>
    <cellStyle name="Followed Hyperlink" xfId="1407" builtinId="9" hidden="1"/>
    <cellStyle name="Followed Hyperlink" xfId="1409" builtinId="9" hidden="1"/>
    <cellStyle name="Followed Hyperlink" xfId="1411" builtinId="9" hidden="1"/>
    <cellStyle name="Followed Hyperlink" xfId="1413" builtinId="9" hidden="1"/>
    <cellStyle name="Followed Hyperlink" xfId="1415" builtinId="9" hidden="1"/>
    <cellStyle name="Followed Hyperlink" xfId="1417" builtinId="9" hidden="1"/>
    <cellStyle name="Followed Hyperlink" xfId="1419" builtinId="9" hidden="1"/>
    <cellStyle name="Followed Hyperlink" xfId="1421" builtinId="9" hidden="1"/>
    <cellStyle name="Followed Hyperlink" xfId="1423" builtinId="9" hidden="1"/>
    <cellStyle name="Followed Hyperlink" xfId="1425" builtinId="9" hidden="1"/>
    <cellStyle name="Followed Hyperlink" xfId="1427" builtinId="9" hidden="1"/>
    <cellStyle name="Followed Hyperlink" xfId="1429" builtinId="9" hidden="1"/>
    <cellStyle name="Followed Hyperlink" xfId="1431" builtinId="9" hidden="1"/>
    <cellStyle name="Followed Hyperlink" xfId="1433" builtinId="9" hidden="1"/>
    <cellStyle name="Followed Hyperlink" xfId="1435" builtinId="9" hidden="1"/>
    <cellStyle name="Followed Hyperlink" xfId="1437" builtinId="9" hidden="1"/>
    <cellStyle name="Followed Hyperlink" xfId="1439" builtinId="9" hidden="1"/>
    <cellStyle name="Followed Hyperlink" xfId="1441" builtinId="9" hidden="1"/>
    <cellStyle name="Followed Hyperlink" xfId="1443" builtinId="9" hidden="1"/>
    <cellStyle name="Followed Hyperlink" xfId="1445" builtinId="9" hidden="1"/>
    <cellStyle name="Followed Hyperlink" xfId="1447" builtinId="9" hidden="1"/>
    <cellStyle name="Followed Hyperlink" xfId="1449" builtinId="9" hidden="1"/>
    <cellStyle name="Followed Hyperlink" xfId="1451" builtinId="9" hidden="1"/>
    <cellStyle name="Followed Hyperlink" xfId="1453" builtinId="9" hidden="1"/>
    <cellStyle name="Followed Hyperlink" xfId="1455" builtinId="9" hidden="1"/>
    <cellStyle name="Followed Hyperlink" xfId="1457" builtinId="9" hidden="1"/>
    <cellStyle name="Followed Hyperlink" xfId="1459" builtinId="9" hidden="1"/>
    <cellStyle name="Followed Hyperlink" xfId="1461" builtinId="9" hidden="1"/>
    <cellStyle name="Followed Hyperlink" xfId="1463" builtinId="9" hidden="1"/>
    <cellStyle name="Followed Hyperlink" xfId="1465" builtinId="9" hidden="1"/>
    <cellStyle name="Followed Hyperlink" xfId="1467" builtinId="9" hidden="1"/>
    <cellStyle name="Followed Hyperlink" xfId="1469" builtinId="9" hidden="1"/>
    <cellStyle name="Followed Hyperlink" xfId="1471" builtinId="9" hidden="1"/>
    <cellStyle name="Followed Hyperlink" xfId="1473" builtinId="9" hidden="1"/>
    <cellStyle name="Followed Hyperlink" xfId="1475" builtinId="9" hidden="1"/>
    <cellStyle name="Followed Hyperlink" xfId="1477" builtinId="9" hidden="1"/>
    <cellStyle name="Followed Hyperlink" xfId="1479" builtinId="9" hidden="1"/>
    <cellStyle name="Followed Hyperlink" xfId="1481" builtinId="9" hidden="1"/>
    <cellStyle name="Followed Hyperlink" xfId="1483" builtinId="9" hidden="1"/>
    <cellStyle name="Followed Hyperlink" xfId="1485" builtinId="9" hidden="1"/>
    <cellStyle name="Followed Hyperlink" xfId="1487" builtinId="9" hidden="1"/>
    <cellStyle name="Followed Hyperlink" xfId="1489" builtinId="9" hidden="1"/>
    <cellStyle name="Followed Hyperlink" xfId="1491" builtinId="9" hidden="1"/>
    <cellStyle name="Followed Hyperlink" xfId="1493" builtinId="9" hidden="1"/>
    <cellStyle name="Followed Hyperlink" xfId="1495" builtinId="9" hidden="1"/>
    <cellStyle name="Followed Hyperlink" xfId="1497" builtinId="9" hidden="1"/>
    <cellStyle name="Followed Hyperlink" xfId="1499" builtinId="9" hidden="1"/>
    <cellStyle name="Followed Hyperlink" xfId="1501" builtinId="9" hidden="1"/>
    <cellStyle name="Followed Hyperlink" xfId="1503" builtinId="9" hidden="1"/>
    <cellStyle name="Followed Hyperlink" xfId="1505" builtinId="9" hidden="1"/>
    <cellStyle name="Followed Hyperlink" xfId="1507" builtinId="9" hidden="1"/>
    <cellStyle name="Followed Hyperlink" xfId="1509" builtinId="9" hidden="1"/>
    <cellStyle name="Followed Hyperlink" xfId="1511" builtinId="9" hidden="1"/>
    <cellStyle name="Followed Hyperlink" xfId="1513" builtinId="9" hidden="1"/>
    <cellStyle name="Followed Hyperlink" xfId="1515" builtinId="9" hidden="1"/>
    <cellStyle name="Followed Hyperlink" xfId="1517" builtinId="9" hidden="1"/>
    <cellStyle name="Followed Hyperlink" xfId="1519" builtinId="9" hidden="1"/>
    <cellStyle name="Followed Hyperlink" xfId="1521" builtinId="9" hidden="1"/>
    <cellStyle name="Followed Hyperlink" xfId="1523" builtinId="9" hidden="1"/>
    <cellStyle name="Followed Hyperlink" xfId="1525" builtinId="9" hidden="1"/>
    <cellStyle name="Followed Hyperlink" xfId="1527" builtinId="9" hidden="1"/>
    <cellStyle name="Followed Hyperlink" xfId="1529" builtinId="9" hidden="1"/>
    <cellStyle name="Followed Hyperlink" xfId="1531" builtinId="9" hidden="1"/>
    <cellStyle name="Followed Hyperlink" xfId="1533" builtinId="9" hidden="1"/>
    <cellStyle name="Followed Hyperlink" xfId="1535" builtinId="9" hidden="1"/>
    <cellStyle name="Followed Hyperlink" xfId="1537" builtinId="9" hidden="1"/>
    <cellStyle name="Followed Hyperlink" xfId="1539" builtinId="9" hidden="1"/>
    <cellStyle name="Followed Hyperlink" xfId="1541" builtinId="9" hidden="1"/>
    <cellStyle name="Followed Hyperlink" xfId="1543" builtinId="9" hidden="1"/>
    <cellStyle name="Followed Hyperlink" xfId="1545" builtinId="9" hidden="1"/>
    <cellStyle name="Followed Hyperlink" xfId="1547" builtinId="9" hidden="1"/>
    <cellStyle name="Followed Hyperlink" xfId="1549" builtinId="9" hidden="1"/>
    <cellStyle name="Followed Hyperlink" xfId="1551" builtinId="9" hidden="1"/>
    <cellStyle name="Followed Hyperlink" xfId="1553" builtinId="9" hidden="1"/>
    <cellStyle name="Followed Hyperlink" xfId="1555" builtinId="9" hidden="1"/>
    <cellStyle name="Followed Hyperlink" xfId="1557" builtinId="9" hidden="1"/>
    <cellStyle name="Followed Hyperlink" xfId="1559" builtinId="9" hidden="1"/>
    <cellStyle name="Followed Hyperlink" xfId="1561" builtinId="9" hidden="1"/>
    <cellStyle name="Followed Hyperlink" xfId="1563" builtinId="9" hidden="1"/>
    <cellStyle name="Followed Hyperlink" xfId="1565" builtinId="9" hidden="1"/>
    <cellStyle name="Followed Hyperlink" xfId="1567" builtinId="9" hidden="1"/>
    <cellStyle name="Followed Hyperlink" xfId="1569" builtinId="9" hidden="1"/>
    <cellStyle name="Followed Hyperlink" xfId="1571" builtinId="9" hidden="1"/>
    <cellStyle name="Followed Hyperlink" xfId="1573" builtinId="9" hidden="1"/>
    <cellStyle name="Followed Hyperlink" xfId="1575" builtinId="9" hidden="1"/>
    <cellStyle name="Followed Hyperlink" xfId="1577" builtinId="9" hidden="1"/>
    <cellStyle name="Followed Hyperlink" xfId="1579" builtinId="9" hidden="1"/>
    <cellStyle name="Followed Hyperlink" xfId="1581" builtinId="9" hidden="1"/>
    <cellStyle name="Followed Hyperlink" xfId="1583" builtinId="9" hidden="1"/>
    <cellStyle name="Followed Hyperlink" xfId="1585" builtinId="9" hidden="1"/>
    <cellStyle name="Followed Hyperlink" xfId="1587" builtinId="9" hidden="1"/>
    <cellStyle name="Followed Hyperlink" xfId="1589" builtinId="9" hidden="1"/>
    <cellStyle name="Followed Hyperlink" xfId="1591" builtinId="9" hidden="1"/>
    <cellStyle name="Followed Hyperlink" xfId="1593" builtinId="9" hidden="1"/>
    <cellStyle name="Followed Hyperlink" xfId="1595" builtinId="9" hidden="1"/>
    <cellStyle name="Followed Hyperlink" xfId="1597" builtinId="9" hidden="1"/>
    <cellStyle name="Followed Hyperlink" xfId="1599" builtinId="9" hidden="1"/>
    <cellStyle name="Followed Hyperlink" xfId="1601" builtinId="9" hidden="1"/>
    <cellStyle name="Followed Hyperlink" xfId="1603" builtinId="9" hidden="1"/>
    <cellStyle name="Followed Hyperlink" xfId="1605" builtinId="9" hidden="1"/>
    <cellStyle name="Followed Hyperlink" xfId="1607" builtinId="9" hidden="1"/>
    <cellStyle name="Followed Hyperlink" xfId="1609" builtinId="9" hidden="1"/>
    <cellStyle name="Followed Hyperlink" xfId="1611" builtinId="9" hidden="1"/>
    <cellStyle name="Followed Hyperlink" xfId="1613" builtinId="9" hidden="1"/>
    <cellStyle name="Followed Hyperlink" xfId="1615" builtinId="9" hidden="1"/>
    <cellStyle name="Followed Hyperlink" xfId="1617" builtinId="9" hidden="1"/>
    <cellStyle name="Followed Hyperlink" xfId="1619" builtinId="9" hidden="1"/>
    <cellStyle name="Followed Hyperlink" xfId="1621" builtinId="9" hidden="1"/>
    <cellStyle name="Followed Hyperlink" xfId="1623" builtinId="9" hidden="1"/>
    <cellStyle name="Followed Hyperlink" xfId="1625" builtinId="9" hidden="1"/>
    <cellStyle name="Followed Hyperlink" xfId="1627" builtinId="9" hidden="1"/>
    <cellStyle name="Followed Hyperlink" xfId="1629" builtinId="9" hidden="1"/>
    <cellStyle name="Followed Hyperlink" xfId="1631" builtinId="9" hidden="1"/>
    <cellStyle name="Followed Hyperlink" xfId="1633" builtinId="9" hidden="1"/>
    <cellStyle name="Followed Hyperlink" xfId="1635" builtinId="9" hidden="1"/>
    <cellStyle name="Followed Hyperlink" xfId="1637" builtinId="9" hidden="1"/>
    <cellStyle name="Followed Hyperlink" xfId="1639" builtinId="9" hidden="1"/>
    <cellStyle name="Followed Hyperlink" xfId="1641" builtinId="9" hidden="1"/>
    <cellStyle name="Followed Hyperlink" xfId="1643" builtinId="9" hidden="1"/>
    <cellStyle name="Followed Hyperlink" xfId="1645" builtinId="9" hidden="1"/>
    <cellStyle name="Followed Hyperlink" xfId="1647" builtinId="9" hidden="1"/>
    <cellStyle name="Followed Hyperlink" xfId="1649" builtinId="9" hidden="1"/>
    <cellStyle name="Followed Hyperlink" xfId="1651" builtinId="9" hidden="1"/>
    <cellStyle name="Followed Hyperlink" xfId="1653" builtinId="9" hidden="1"/>
    <cellStyle name="Followed Hyperlink" xfId="1655" builtinId="9" hidden="1"/>
    <cellStyle name="Followed Hyperlink" xfId="1657" builtinId="9" hidden="1"/>
    <cellStyle name="Followed Hyperlink" xfId="1659" builtinId="9" hidden="1"/>
    <cellStyle name="Followed Hyperlink" xfId="1661" builtinId="9" hidden="1"/>
    <cellStyle name="Followed Hyperlink" xfId="1663" builtinId="9" hidden="1"/>
    <cellStyle name="Followed Hyperlink" xfId="1665" builtinId="9" hidden="1"/>
    <cellStyle name="Followed Hyperlink" xfId="1667" builtinId="9" hidden="1"/>
    <cellStyle name="Followed Hyperlink" xfId="1669" builtinId="9" hidden="1"/>
    <cellStyle name="Followed Hyperlink" xfId="1671" builtinId="9" hidden="1"/>
    <cellStyle name="Followed Hyperlink" xfId="1673" builtinId="9" hidden="1"/>
    <cellStyle name="Followed Hyperlink" xfId="1675" builtinId="9" hidden="1"/>
    <cellStyle name="Followed Hyperlink" xfId="1677" builtinId="9" hidden="1"/>
    <cellStyle name="Followed Hyperlink" xfId="1679" builtinId="9" hidden="1"/>
    <cellStyle name="Followed Hyperlink" xfId="1681" builtinId="9" hidden="1"/>
    <cellStyle name="Followed Hyperlink" xfId="1683" builtinId="9" hidden="1"/>
    <cellStyle name="Followed Hyperlink" xfId="1685" builtinId="9" hidden="1"/>
    <cellStyle name="Followed Hyperlink" xfId="1687" builtinId="9" hidden="1"/>
    <cellStyle name="Followed Hyperlink" xfId="1689" builtinId="9" hidden="1"/>
    <cellStyle name="Followed Hyperlink" xfId="1691" builtinId="9" hidden="1"/>
    <cellStyle name="Followed Hyperlink" xfId="1693" builtinId="9" hidden="1"/>
    <cellStyle name="Followed Hyperlink" xfId="1695" builtinId="9" hidden="1"/>
    <cellStyle name="Followed Hyperlink" xfId="1697" builtinId="9" hidden="1"/>
    <cellStyle name="Followed Hyperlink" xfId="1699" builtinId="9" hidden="1"/>
    <cellStyle name="Followed Hyperlink" xfId="1701" builtinId="9" hidden="1"/>
    <cellStyle name="Followed Hyperlink" xfId="1703" builtinId="9" hidden="1"/>
    <cellStyle name="Followed Hyperlink" xfId="1705" builtinId="9" hidden="1"/>
    <cellStyle name="Followed Hyperlink" xfId="1707" builtinId="9" hidden="1"/>
    <cellStyle name="Followed Hyperlink" xfId="1709" builtinId="9" hidden="1"/>
    <cellStyle name="Followed Hyperlink" xfId="1711" builtinId="9" hidden="1"/>
    <cellStyle name="Followed Hyperlink" xfId="1713" builtinId="9" hidden="1"/>
    <cellStyle name="Followed Hyperlink" xfId="1715" builtinId="9" hidden="1"/>
    <cellStyle name="Followed Hyperlink" xfId="1717" builtinId="9" hidden="1"/>
    <cellStyle name="Followed Hyperlink" xfId="1719" builtinId="9" hidden="1"/>
    <cellStyle name="Followed Hyperlink" xfId="1721" builtinId="9" hidden="1"/>
    <cellStyle name="Followed Hyperlink" xfId="1723" builtinId="9" hidden="1"/>
    <cellStyle name="Followed Hyperlink" xfId="1725" builtinId="9" hidden="1"/>
    <cellStyle name="Followed Hyperlink" xfId="1727" builtinId="9" hidden="1"/>
    <cellStyle name="Followed Hyperlink" xfId="1729" builtinId="9" hidden="1"/>
    <cellStyle name="Followed Hyperlink" xfId="1731" builtinId="9" hidden="1"/>
    <cellStyle name="Followed Hyperlink" xfId="1733" builtinId="9" hidden="1"/>
    <cellStyle name="Followed Hyperlink" xfId="1735" builtinId="9" hidden="1"/>
    <cellStyle name="Followed Hyperlink" xfId="1737" builtinId="9" hidden="1"/>
    <cellStyle name="Followed Hyperlink" xfId="1739" builtinId="9" hidden="1"/>
    <cellStyle name="Followed Hyperlink" xfId="1741" builtinId="9" hidden="1"/>
    <cellStyle name="Followed Hyperlink" xfId="1743" builtinId="9" hidden="1"/>
    <cellStyle name="Followed Hyperlink" xfId="1745" builtinId="9" hidden="1"/>
    <cellStyle name="Followed Hyperlink" xfId="1747" builtinId="9" hidden="1"/>
    <cellStyle name="Followed Hyperlink" xfId="1749" builtinId="9" hidden="1"/>
    <cellStyle name="Followed Hyperlink" xfId="1751" builtinId="9" hidden="1"/>
    <cellStyle name="Followed Hyperlink" xfId="1753" builtinId="9" hidden="1"/>
    <cellStyle name="Followed Hyperlink" xfId="1755" builtinId="9" hidden="1"/>
    <cellStyle name="Followed Hyperlink" xfId="1757" builtinId="9" hidden="1"/>
    <cellStyle name="Followed Hyperlink" xfId="1759" builtinId="9" hidden="1"/>
    <cellStyle name="Followed Hyperlink" xfId="1761" builtinId="9" hidden="1"/>
    <cellStyle name="Followed Hyperlink" xfId="1763" builtinId="9" hidden="1"/>
    <cellStyle name="Followed Hyperlink" xfId="1765" builtinId="9" hidden="1"/>
    <cellStyle name="Followed Hyperlink" xfId="1767" builtinId="9" hidden="1"/>
    <cellStyle name="Followed Hyperlink" xfId="1769" builtinId="9" hidden="1"/>
    <cellStyle name="Followed Hyperlink" xfId="1771" builtinId="9" hidden="1"/>
    <cellStyle name="Followed Hyperlink" xfId="1773" builtinId="9" hidden="1"/>
    <cellStyle name="Followed Hyperlink" xfId="1775" builtinId="9" hidden="1"/>
    <cellStyle name="Followed Hyperlink" xfId="1777" builtinId="9" hidden="1"/>
    <cellStyle name="Followed Hyperlink" xfId="1779" builtinId="9" hidden="1"/>
    <cellStyle name="Followed Hyperlink" xfId="1781" builtinId="9" hidden="1"/>
    <cellStyle name="Followed Hyperlink" xfId="1783" builtinId="9" hidden="1"/>
    <cellStyle name="Followed Hyperlink" xfId="1785" builtinId="9" hidden="1"/>
    <cellStyle name="Followed Hyperlink" xfId="1787" builtinId="9" hidden="1"/>
    <cellStyle name="Followed Hyperlink" xfId="1789" builtinId="9" hidden="1"/>
    <cellStyle name="Followed Hyperlink" xfId="1791" builtinId="9" hidden="1"/>
    <cellStyle name="Followed Hyperlink" xfId="1793" builtinId="9" hidden="1"/>
    <cellStyle name="Followed Hyperlink" xfId="1795" builtinId="9" hidden="1"/>
    <cellStyle name="Followed Hyperlink" xfId="1797" builtinId="9" hidden="1"/>
    <cellStyle name="Followed Hyperlink" xfId="1799" builtinId="9" hidden="1"/>
    <cellStyle name="Followed Hyperlink" xfId="1801" builtinId="9" hidden="1"/>
    <cellStyle name="Followed Hyperlink" xfId="1803" builtinId="9" hidden="1"/>
    <cellStyle name="Followed Hyperlink" xfId="1805" builtinId="9" hidden="1"/>
    <cellStyle name="Followed Hyperlink" xfId="1807" builtinId="9" hidden="1"/>
    <cellStyle name="Followed Hyperlink" xfId="1809" builtinId="9" hidden="1"/>
    <cellStyle name="Followed Hyperlink" xfId="1811" builtinId="9" hidden="1"/>
    <cellStyle name="Followed Hyperlink" xfId="1813" builtinId="9" hidden="1"/>
    <cellStyle name="Followed Hyperlink" xfId="1815" builtinId="9" hidden="1"/>
    <cellStyle name="Followed Hyperlink" xfId="1817" builtinId="9" hidden="1"/>
    <cellStyle name="Followed Hyperlink" xfId="1819" builtinId="9" hidden="1"/>
    <cellStyle name="Followed Hyperlink" xfId="1821" builtinId="9" hidden="1"/>
    <cellStyle name="Followed Hyperlink" xfId="1823" builtinId="9" hidden="1"/>
    <cellStyle name="Followed Hyperlink" xfId="1825" builtinId="9" hidden="1"/>
    <cellStyle name="Followed Hyperlink" xfId="1827" builtinId="9" hidden="1"/>
    <cellStyle name="Followed Hyperlink" xfId="1829" builtinId="9" hidden="1"/>
    <cellStyle name="Followed Hyperlink" xfId="1831" builtinId="9" hidden="1"/>
    <cellStyle name="Followed Hyperlink" xfId="1833" builtinId="9" hidden="1"/>
    <cellStyle name="Followed Hyperlink" xfId="1835" builtinId="9" hidden="1"/>
    <cellStyle name="Followed Hyperlink" xfId="1837" builtinId="9" hidden="1"/>
    <cellStyle name="Followed Hyperlink" xfId="1839" builtinId="9" hidden="1"/>
    <cellStyle name="Followed Hyperlink" xfId="1841" builtinId="9" hidden="1"/>
    <cellStyle name="Followed Hyperlink" xfId="1843" builtinId="9" hidden="1"/>
    <cellStyle name="Followed Hyperlink" xfId="1845" builtinId="9" hidden="1"/>
    <cellStyle name="Followed Hyperlink" xfId="1847" builtinId="9" hidden="1"/>
    <cellStyle name="Followed Hyperlink" xfId="1849" builtinId="9" hidden="1"/>
    <cellStyle name="Followed Hyperlink" xfId="1851" builtinId="9" hidden="1"/>
    <cellStyle name="Followed Hyperlink" xfId="1853" builtinId="9" hidden="1"/>
    <cellStyle name="Followed Hyperlink" xfId="1855" builtinId="9" hidden="1"/>
    <cellStyle name="Followed Hyperlink" xfId="1857" builtinId="9" hidden="1"/>
    <cellStyle name="Followed Hyperlink" xfId="1859" builtinId="9" hidden="1"/>
    <cellStyle name="Followed Hyperlink" xfId="1861" builtinId="9" hidden="1"/>
    <cellStyle name="Followed Hyperlink" xfId="1863" builtinId="9" hidden="1"/>
    <cellStyle name="Followed Hyperlink" xfId="1865" builtinId="9" hidden="1"/>
    <cellStyle name="Followed Hyperlink" xfId="1867" builtinId="9" hidden="1"/>
    <cellStyle name="Followed Hyperlink" xfId="1869" builtinId="9" hidden="1"/>
    <cellStyle name="Followed Hyperlink" xfId="1871" builtinId="9" hidden="1"/>
    <cellStyle name="Followed Hyperlink" xfId="1873" builtinId="9" hidden="1"/>
    <cellStyle name="Followed Hyperlink" xfId="1875" builtinId="9" hidden="1"/>
    <cellStyle name="Followed Hyperlink" xfId="1877" builtinId="9" hidden="1"/>
    <cellStyle name="Followed Hyperlink" xfId="1879" builtinId="9" hidden="1"/>
    <cellStyle name="Followed Hyperlink" xfId="1881" builtinId="9" hidden="1"/>
    <cellStyle name="Followed Hyperlink" xfId="1883" builtinId="9" hidden="1"/>
    <cellStyle name="Followed Hyperlink" xfId="1885" builtinId="9" hidden="1"/>
    <cellStyle name="Followed Hyperlink" xfId="1887" builtinId="9" hidden="1"/>
    <cellStyle name="Followed Hyperlink" xfId="1889" builtinId="9" hidden="1"/>
    <cellStyle name="Followed Hyperlink" xfId="1891" builtinId="9" hidden="1"/>
    <cellStyle name="Followed Hyperlink" xfId="1893" builtinId="9" hidden="1"/>
    <cellStyle name="Followed Hyperlink" xfId="1895" builtinId="9" hidden="1"/>
    <cellStyle name="Followed Hyperlink" xfId="1897" builtinId="9" hidden="1"/>
    <cellStyle name="Followed Hyperlink" xfId="1899" builtinId="9" hidden="1"/>
    <cellStyle name="Followed Hyperlink" xfId="1901" builtinId="9" hidden="1"/>
    <cellStyle name="Followed Hyperlink" xfId="1903" builtinId="9" hidden="1"/>
    <cellStyle name="Followed Hyperlink" xfId="1905" builtinId="9" hidden="1"/>
    <cellStyle name="Followed Hyperlink" xfId="1907" builtinId="9" hidden="1"/>
    <cellStyle name="Followed Hyperlink" xfId="1909" builtinId="9" hidden="1"/>
    <cellStyle name="Followed Hyperlink" xfId="1911" builtinId="9" hidden="1"/>
    <cellStyle name="Followed Hyperlink" xfId="1913" builtinId="9" hidden="1"/>
    <cellStyle name="Followed Hyperlink" xfId="1915" builtinId="9" hidden="1"/>
    <cellStyle name="Followed Hyperlink" xfId="1917" builtinId="9" hidden="1"/>
    <cellStyle name="Followed Hyperlink" xfId="1919" builtinId="9" hidden="1"/>
    <cellStyle name="Followed Hyperlink" xfId="1921" builtinId="9" hidden="1"/>
    <cellStyle name="Followed Hyperlink" xfId="1923" builtinId="9" hidden="1"/>
    <cellStyle name="Followed Hyperlink" xfId="1925" builtinId="9" hidden="1"/>
    <cellStyle name="Followed Hyperlink" xfId="1927" builtinId="9" hidden="1"/>
    <cellStyle name="Followed Hyperlink" xfId="1929" builtinId="9" hidden="1"/>
    <cellStyle name="Followed Hyperlink" xfId="1931" builtinId="9" hidden="1"/>
    <cellStyle name="Followed Hyperlink" xfId="1933" builtinId="9" hidden="1"/>
    <cellStyle name="Followed Hyperlink" xfId="1935" builtinId="9" hidden="1"/>
    <cellStyle name="Followed Hyperlink" xfId="1937" builtinId="9" hidden="1"/>
    <cellStyle name="Followed Hyperlink" xfId="1939" builtinId="9" hidden="1"/>
    <cellStyle name="Followed Hyperlink" xfId="1941" builtinId="9" hidden="1"/>
    <cellStyle name="Followed Hyperlink" xfId="1943" builtinId="9" hidden="1"/>
    <cellStyle name="Followed Hyperlink" xfId="1945" builtinId="9" hidden="1"/>
    <cellStyle name="Followed Hyperlink" xfId="1947" builtinId="9" hidden="1"/>
    <cellStyle name="Followed Hyperlink" xfId="1949" builtinId="9" hidden="1"/>
    <cellStyle name="Followed Hyperlink" xfId="1951" builtinId="9" hidden="1"/>
    <cellStyle name="Followed Hyperlink" xfId="1953" builtinId="9" hidden="1"/>
    <cellStyle name="Followed Hyperlink" xfId="1955" builtinId="9" hidden="1"/>
    <cellStyle name="Followed Hyperlink" xfId="1957" builtinId="9" hidden="1"/>
    <cellStyle name="Followed Hyperlink" xfId="1959" builtinId="9" hidden="1"/>
    <cellStyle name="Followed Hyperlink" xfId="1961" builtinId="9" hidden="1"/>
    <cellStyle name="Followed Hyperlink" xfId="1963" builtinId="9" hidden="1"/>
    <cellStyle name="Followed Hyperlink" xfId="1965" builtinId="9" hidden="1"/>
    <cellStyle name="Followed Hyperlink" xfId="1967" builtinId="9" hidden="1"/>
    <cellStyle name="Followed Hyperlink" xfId="1969" builtinId="9" hidden="1"/>
    <cellStyle name="Followed Hyperlink" xfId="1971" builtinId="9" hidden="1"/>
    <cellStyle name="Followed Hyperlink" xfId="1973" builtinId="9" hidden="1"/>
    <cellStyle name="Followed Hyperlink" xfId="1975" builtinId="9" hidden="1"/>
    <cellStyle name="Followed Hyperlink" xfId="1977" builtinId="9" hidden="1"/>
    <cellStyle name="Followed Hyperlink" xfId="1979" builtinId="9" hidden="1"/>
    <cellStyle name="Followed Hyperlink" xfId="1981" builtinId="9" hidden="1"/>
    <cellStyle name="Followed Hyperlink" xfId="1983" builtinId="9" hidden="1"/>
    <cellStyle name="Followed Hyperlink" xfId="1985" builtinId="9" hidden="1"/>
    <cellStyle name="Followed Hyperlink" xfId="1987" builtinId="9" hidden="1"/>
    <cellStyle name="Followed Hyperlink" xfId="1989" builtinId="9" hidden="1"/>
    <cellStyle name="Followed Hyperlink" xfId="1991" builtinId="9" hidden="1"/>
    <cellStyle name="Followed Hyperlink" xfId="1993" builtinId="9" hidden="1"/>
    <cellStyle name="Followed Hyperlink" xfId="1995" builtinId="9" hidden="1"/>
    <cellStyle name="Followed Hyperlink" xfId="1997" builtinId="9" hidden="1"/>
    <cellStyle name="Followed Hyperlink" xfId="1999" builtinId="9" hidden="1"/>
    <cellStyle name="Followed Hyperlink" xfId="2001" builtinId="9" hidden="1"/>
    <cellStyle name="Followed Hyperlink" xfId="2003" builtinId="9" hidden="1"/>
    <cellStyle name="Followed Hyperlink" xfId="2005" builtinId="9" hidden="1"/>
    <cellStyle name="Followed Hyperlink" xfId="2007" builtinId="9" hidden="1"/>
    <cellStyle name="Followed Hyperlink" xfId="2009" builtinId="9" hidden="1"/>
    <cellStyle name="Followed Hyperlink" xfId="2011" builtinId="9" hidden="1"/>
    <cellStyle name="Followed Hyperlink" xfId="2013" builtinId="9" hidden="1"/>
    <cellStyle name="Followed Hyperlink" xfId="2015" builtinId="9" hidden="1"/>
    <cellStyle name="Followed Hyperlink" xfId="2017" builtinId="9" hidden="1"/>
    <cellStyle name="Followed Hyperlink" xfId="2019" builtinId="9" hidden="1"/>
    <cellStyle name="Hyperlink" xfId="736" builtinId="8" hidden="1"/>
    <cellStyle name="Hyperlink" xfId="286" builtinId="8" hidden="1"/>
    <cellStyle name="Hyperlink" xfId="135" builtinId="8" hidden="1"/>
    <cellStyle name="Hyperlink" xfId="55" builtinId="8" hidden="1"/>
    <cellStyle name="Hyperlink" xfId="196" builtinId="8" hidden="1"/>
    <cellStyle name="Hyperlink" xfId="147" builtinId="8" hidden="1"/>
    <cellStyle name="Hyperlink" xfId="85" builtinId="8" hidden="1"/>
    <cellStyle name="Hyperlink" xfId="198" builtinId="8" hidden="1"/>
    <cellStyle name="Hyperlink" xfId="121" builtinId="8" hidden="1"/>
    <cellStyle name="Hyperlink" xfId="234" builtinId="8" hidden="1"/>
    <cellStyle name="Hyperlink" xfId="141" builtinId="8" hidden="1"/>
    <cellStyle name="Hyperlink" xfId="322" builtinId="8" hidden="1"/>
    <cellStyle name="Hyperlink" xfId="394" builtinId="8" hidden="1"/>
    <cellStyle name="Hyperlink" xfId="190" builtinId="8" hidden="1"/>
    <cellStyle name="Hyperlink" xfId="352" builtinId="8" hidden="1"/>
    <cellStyle name="Hyperlink" xfId="316" builtinId="8" hidden="1"/>
    <cellStyle name="Hyperlink" xfId="838" builtinId="8" hidden="1"/>
    <cellStyle name="Hyperlink" xfId="844" builtinId="8" hidden="1"/>
    <cellStyle name="Hyperlink" xfId="846" builtinId="8" hidden="1"/>
    <cellStyle name="Hyperlink" xfId="858" builtinId="8" hidden="1"/>
    <cellStyle name="Hyperlink" xfId="860" builtinId="8" hidden="1"/>
    <cellStyle name="Hyperlink" xfId="868" builtinId="8" hidden="1"/>
    <cellStyle name="Hyperlink" xfId="876" builtinId="8" hidden="1"/>
    <cellStyle name="Hyperlink" xfId="882" builtinId="8" hidden="1"/>
    <cellStyle name="Hyperlink" xfId="886" builtinId="8" hidden="1"/>
    <cellStyle name="Hyperlink" xfId="900" builtinId="8" hidden="1"/>
    <cellStyle name="Hyperlink" xfId="902" builtinId="8" hidden="1"/>
    <cellStyle name="Hyperlink" xfId="908" builtinId="8" hidden="1"/>
    <cellStyle name="Hyperlink" xfId="804" builtinId="8" hidden="1"/>
    <cellStyle name="Hyperlink" xfId="806" builtinId="8" hidden="1"/>
    <cellStyle name="Hyperlink" xfId="814" builtinId="8" hidden="1"/>
    <cellStyle name="Hyperlink" xfId="822" builtinId="8" hidden="1"/>
    <cellStyle name="Hyperlink" xfId="828" builtinId="8" hidden="1"/>
    <cellStyle name="Hyperlink" xfId="834" builtinId="8" hidden="1"/>
    <cellStyle name="Hyperlink" xfId="790" builtinId="8" hidden="1"/>
    <cellStyle name="Hyperlink" xfId="794" builtinId="8" hidden="1"/>
    <cellStyle name="Hyperlink" xfId="796" builtinId="8" hidden="1"/>
    <cellStyle name="Hyperlink" xfId="782" builtinId="8" hidden="1"/>
    <cellStyle name="Hyperlink" xfId="774" builtinId="8" hidden="1"/>
    <cellStyle name="Hyperlink" xfId="1136" builtinId="8" hidden="1"/>
    <cellStyle name="Hyperlink" xfId="1140" builtinId="8" hidden="1"/>
    <cellStyle name="Hyperlink" xfId="1144" builtinId="8" hidden="1"/>
    <cellStyle name="Hyperlink" xfId="1146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62" builtinId="8" hidden="1"/>
    <cellStyle name="Hyperlink" xfId="1164" builtinId="8" hidden="1"/>
    <cellStyle name="Hyperlink" xfId="1168" builtinId="8" hidden="1"/>
    <cellStyle name="Hyperlink" xfId="1172" builtinId="8" hidden="1"/>
    <cellStyle name="Hyperlink" xfId="1176" builtinId="8" hidden="1"/>
    <cellStyle name="Hyperlink" xfId="1178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4" builtinId="8" hidden="1"/>
    <cellStyle name="Hyperlink" xfId="1196" builtinId="8" hidden="1"/>
    <cellStyle name="Hyperlink" xfId="1200" builtinId="8" hidden="1"/>
    <cellStyle name="Hyperlink" xfId="1204" builtinId="8" hidden="1"/>
    <cellStyle name="Hyperlink" xfId="1198" builtinId="8" hidden="1"/>
    <cellStyle name="Hyperlink" xfId="1190" builtinId="8" hidden="1"/>
    <cellStyle name="Hyperlink" xfId="1174" builtinId="8" hidden="1"/>
    <cellStyle name="Hyperlink" xfId="1166" builtinId="8" hidden="1"/>
    <cellStyle name="Hyperlink" xfId="1158" builtinId="8" hidden="1"/>
    <cellStyle name="Hyperlink" xfId="1142" builtinId="8" hidden="1"/>
    <cellStyle name="Hyperlink" xfId="772" builtinId="8" hidden="1"/>
    <cellStyle name="Hyperlink" xfId="802" builtinId="8" hidden="1"/>
    <cellStyle name="Hyperlink" xfId="826" builtinId="8" hidden="1"/>
    <cellStyle name="Hyperlink" xfId="812" builtinId="8" hidden="1"/>
    <cellStyle name="Hyperlink" xfId="910" builtinId="8" hidden="1"/>
    <cellStyle name="Hyperlink" xfId="878" builtinId="8" hidden="1"/>
    <cellStyle name="Hyperlink" xfId="866" builtinId="8" hidden="1"/>
    <cellStyle name="Hyperlink" xfId="850" builtinId="8" hidden="1"/>
    <cellStyle name="Hyperlink" xfId="111" builtinId="8" hidden="1"/>
    <cellStyle name="Hyperlink" xfId="428" builtinId="8" hidden="1"/>
    <cellStyle name="Hyperlink" xfId="17" builtinId="8" hidden="1"/>
    <cellStyle name="Hyperlink" xfId="164" builtinId="8" hidden="1"/>
    <cellStyle name="Hyperlink" xfId="508" builtinId="8" hidden="1"/>
    <cellStyle name="Hyperlink" xfId="468" builtinId="8" hidden="1"/>
    <cellStyle name="Hyperlink" xfId="808" builtinId="8" hidden="1"/>
    <cellStyle name="Hyperlink" xfId="864" builtinId="8" hidden="1"/>
    <cellStyle name="Hyperlink" xfId="904" builtinId="8" hidden="1"/>
    <cellStyle name="Hyperlink" xfId="628" builtinId="8" hidden="1"/>
    <cellStyle name="Hyperlink" xfId="166" builtinId="8" hidden="1"/>
    <cellStyle name="Hyperlink" xfId="326" builtinId="8" hidden="1"/>
    <cellStyle name="Hyperlink" xfId="238" builtinId="8" hidden="1"/>
    <cellStyle name="Hyperlink" xfId="109" builtinId="8" hidden="1"/>
    <cellStyle name="Hyperlink" xfId="23" builtinId="8" hidden="1"/>
    <cellStyle name="Hyperlink" xfId="262" builtinId="8" hidden="1"/>
    <cellStyle name="Hyperlink" xfId="332" builtinId="8" hidden="1"/>
    <cellStyle name="Hyperlink" xfId="456" builtinId="8" hidden="1"/>
    <cellStyle name="Hyperlink" xfId="702" builtinId="8" hidden="1"/>
    <cellStyle name="Hyperlink" xfId="682" builtinId="8" hidden="1"/>
    <cellStyle name="Hyperlink" xfId="666" builtinId="8" hidden="1"/>
    <cellStyle name="Hyperlink" xfId="622" builtinId="8" hidden="1"/>
    <cellStyle name="Hyperlink" xfId="606" builtinId="8" hidden="1"/>
    <cellStyle name="Hyperlink" xfId="586" builtinId="8" hidden="1"/>
    <cellStyle name="Hyperlink" xfId="550" builtinId="8" hidden="1"/>
    <cellStyle name="Hyperlink" xfId="534" builtinId="8" hidden="1"/>
    <cellStyle name="Hyperlink" xfId="446" builtinId="8" hidden="1"/>
    <cellStyle name="Hyperlink" xfId="188" builtinId="8" hidden="1"/>
    <cellStyle name="Hyperlink" xfId="302" builtinId="8" hidden="1"/>
    <cellStyle name="Hyperlink" xfId="616" builtinId="8" hidden="1"/>
    <cellStyle name="Hyperlink" xfId="494" builtinId="8" hidden="1"/>
    <cellStyle name="Hyperlink" xfId="35" builtinId="8" hidden="1"/>
    <cellStyle name="Hyperlink" xfId="638" builtinId="8" hidden="1"/>
    <cellStyle name="Hyperlink" xfId="880" builtinId="8" hidden="1"/>
    <cellStyle name="Hyperlink" xfId="79" builtinId="8" hidden="1"/>
    <cellStyle name="Hyperlink" xfId="344" builtinId="8" hidden="1"/>
    <cellStyle name="Hyperlink" xfId="184" builtinId="8" hidden="1"/>
    <cellStyle name="Hyperlink" xfId="506" builtinId="8" hidden="1"/>
    <cellStyle name="Hyperlink" xfId="766" builtinId="8" hidden="1"/>
    <cellStyle name="Hyperlink" xfId="264" builtinId="8" hidden="1"/>
    <cellStyle name="Hyperlink" xfId="37" builtinId="8" hidden="1"/>
    <cellStyle name="Hyperlink" xfId="408" builtinId="8" hidden="1"/>
    <cellStyle name="Hyperlink" xfId="940" builtinId="8" hidden="1"/>
    <cellStyle name="Hyperlink" xfId="972" builtinId="8" hidden="1"/>
    <cellStyle name="Hyperlink" xfId="1004" builtinId="8" hidden="1"/>
    <cellStyle name="Hyperlink" xfId="1068" builtinId="8" hidden="1"/>
    <cellStyle name="Hyperlink" xfId="1100" builtinId="8" hidden="1"/>
    <cellStyle name="Hyperlink" xfId="1132" builtinId="8" hidden="1"/>
    <cellStyle name="Hyperlink" xfId="1114" builtinId="8" hidden="1"/>
    <cellStyle name="Hyperlink" xfId="1104" builtinId="8" hidden="1"/>
    <cellStyle name="Hyperlink" xfId="1094" builtinId="8" hidden="1"/>
    <cellStyle name="Hyperlink" xfId="1072" builtinId="8" hidden="1"/>
    <cellStyle name="Hyperlink" xfId="1062" builtinId="8" hidden="1"/>
    <cellStyle name="Hyperlink" xfId="1050" builtinId="8" hidden="1"/>
    <cellStyle name="Hyperlink" xfId="1030" builtinId="8" hidden="1"/>
    <cellStyle name="Hyperlink" xfId="1018" builtinId="8" hidden="1"/>
    <cellStyle name="Hyperlink" xfId="1008" builtinId="8" hidden="1"/>
    <cellStyle name="Hyperlink" xfId="986" builtinId="8" hidden="1"/>
    <cellStyle name="Hyperlink" xfId="976" builtinId="8" hidden="1"/>
    <cellStyle name="Hyperlink" xfId="310" builtinId="8" hidden="1"/>
    <cellStyle name="Hyperlink" xfId="354" builtinId="8" hidden="1"/>
    <cellStyle name="Hyperlink" xfId="145" builtinId="8" hidden="1"/>
    <cellStyle name="Hyperlink" xfId="178" builtinId="8" hidden="1"/>
    <cellStyle name="Hyperlink" xfId="89" builtinId="8" hidden="1"/>
    <cellStyle name="Hyperlink" xfId="176" builtinId="8" hidden="1"/>
    <cellStyle name="Hyperlink" xfId="442" builtinId="8" hidden="1"/>
    <cellStyle name="Hyperlink" xfId="47" builtinId="8" hidden="1"/>
    <cellStyle name="Hyperlink" xfId="200" builtinId="8" hidden="1"/>
    <cellStyle name="Hyperlink" xfId="95" builtinId="8" hidden="1"/>
    <cellStyle name="Hyperlink" xfId="236" builtinId="8" hidden="1"/>
    <cellStyle name="Hyperlink" xfId="516" builtinId="8" hidden="1"/>
    <cellStyle name="Hyperlink" xfId="510" builtinId="8" hidden="1"/>
    <cellStyle name="Hyperlink" xfId="314" builtinId="8" hidden="1"/>
    <cellStyle name="Hyperlink" xfId="292" builtinId="8" hidden="1"/>
    <cellStyle name="Hyperlink" xfId="488" builtinId="8" hidden="1"/>
    <cellStyle name="Hyperlink" xfId="500" builtinId="8" hidden="1"/>
    <cellStyle name="Hyperlink" xfId="476" builtinId="8" hidden="1"/>
    <cellStyle name="Hyperlink" xfId="466" builtinId="8" hidden="1"/>
    <cellStyle name="Hyperlink" xfId="738" builtinId="8" hidden="1"/>
    <cellStyle name="Hyperlink" xfId="740" builtinId="8" hidden="1"/>
    <cellStyle name="Hyperlink" xfId="746" builtinId="8" hidden="1"/>
    <cellStyle name="Hyperlink" xfId="750" builtinId="8" hidden="1"/>
    <cellStyle name="Hyperlink" xfId="762" builtinId="8" hidden="1"/>
    <cellStyle name="Hyperlink" xfId="764" builtinId="8" hidden="1"/>
    <cellStyle name="Hyperlink" xfId="756" builtinId="8" hidden="1"/>
    <cellStyle name="Hyperlink" xfId="734" builtinId="8" hidden="1"/>
    <cellStyle name="Hyperlink" xfId="478" builtinId="8" hidden="1"/>
    <cellStyle name="Hyperlink" xfId="63" builtinId="8" hidden="1"/>
    <cellStyle name="Hyperlink" xfId="105" builtinId="8" hidden="1"/>
    <cellStyle name="Hyperlink" xfId="186" builtinId="8" hidden="1"/>
    <cellStyle name="Hyperlink" xfId="1" builtinId="8" hidden="1"/>
    <cellStyle name="Hyperlink" xfId="21" builtinId="8" hidden="1"/>
    <cellStyle name="Hyperlink" xfId="214" builtinId="8" hidden="1"/>
    <cellStyle name="Hyperlink" xfId="202" builtinId="8" hidden="1"/>
    <cellStyle name="Hyperlink" xfId="366" builtinId="8" hidden="1"/>
    <cellStyle name="Hyperlink" xfId="350" builtinId="8" hidden="1"/>
    <cellStyle name="Hyperlink" xfId="504" builtinId="8" hidden="1"/>
    <cellStyle name="Hyperlink" xfId="192" builtinId="8" hidden="1"/>
    <cellStyle name="Hyperlink" xfId="19" builtinId="8" hidden="1"/>
    <cellStyle name="Hyperlink" xfId="216" builtinId="8" hidden="1"/>
    <cellStyle name="Hyperlink" xfId="208" builtinId="8" hidden="1"/>
    <cellStyle name="Hyperlink" xfId="304" builtinId="8" hidden="1"/>
    <cellStyle name="Hyperlink" xfId="390" builtinId="8" hidden="1"/>
    <cellStyle name="Hyperlink" xfId="404" builtinId="8" hidden="1"/>
    <cellStyle name="Hyperlink" xfId="418" builtinId="8" hidden="1"/>
    <cellStyle name="Hyperlink" xfId="438" builtinId="8" hidden="1"/>
    <cellStyle name="Hyperlink" xfId="388" builtinId="8" hidden="1"/>
    <cellStyle name="Hyperlink" xfId="77" builtinId="8" hidden="1"/>
    <cellStyle name="Hyperlink" xfId="624" builtinId="8" hidden="1"/>
    <cellStyle name="Hyperlink" xfId="600" builtinId="8" hidden="1"/>
    <cellStyle name="Hyperlink" xfId="592" builtinId="8" hidden="1"/>
    <cellStyle name="Hyperlink" xfId="560" builtinId="8" hidden="1"/>
    <cellStyle name="Hyperlink" xfId="544" builtinId="8" hidden="1"/>
    <cellStyle name="Hyperlink" xfId="536" builtinId="8" hidden="1"/>
    <cellStyle name="Hyperlink" xfId="133" builtinId="8" hidden="1"/>
    <cellStyle name="Hyperlink" xfId="204" builtinId="8" hidden="1"/>
    <cellStyle name="Hyperlink" xfId="172" builtinId="8" hidden="1"/>
    <cellStyle name="Hyperlink" xfId="720" builtinId="8" hidden="1"/>
    <cellStyle name="Hyperlink" xfId="704" builtinId="8" hidden="1"/>
    <cellStyle name="Hyperlink" xfId="672" builtinId="8" hidden="1"/>
    <cellStyle name="Hyperlink" xfId="656" builtinId="8" hidden="1"/>
    <cellStyle name="Hyperlink" xfId="722" builtinId="8" hidden="1"/>
    <cellStyle name="Hyperlink" xfId="724" builtinId="8" hidden="1"/>
    <cellStyle name="Hyperlink" xfId="714" builtinId="8" hidden="1"/>
    <cellStyle name="Hyperlink" xfId="710" builtinId="8" hidden="1"/>
    <cellStyle name="Hyperlink" xfId="918" builtinId="8" hidden="1"/>
    <cellStyle name="Hyperlink" xfId="922" builtinId="8" hidden="1"/>
    <cellStyle name="Hyperlink" xfId="926" builtinId="8" hidden="1"/>
    <cellStyle name="Hyperlink" xfId="928" builtinId="8" hidden="1"/>
    <cellStyle name="Hyperlink" xfId="936" builtinId="8" hidden="1"/>
    <cellStyle name="Hyperlink" xfId="938" builtinId="8" hidden="1"/>
    <cellStyle name="Hyperlink" xfId="942" builtinId="8" hidden="1"/>
    <cellStyle name="Hyperlink" xfId="946" builtinId="8" hidden="1"/>
    <cellStyle name="Hyperlink" xfId="950" builtinId="8" hidden="1"/>
    <cellStyle name="Hyperlink" xfId="952" builtinId="8" hidden="1"/>
    <cellStyle name="Hyperlink" xfId="960" builtinId="8" hidden="1"/>
    <cellStyle name="Hyperlink" xfId="962" builtinId="8" hidden="1"/>
    <cellStyle name="Hyperlink" xfId="966" builtinId="8" hidden="1"/>
    <cellStyle name="Hyperlink" xfId="970" builtinId="8" hidden="1"/>
    <cellStyle name="Hyperlink" xfId="954" builtinId="8" hidden="1"/>
    <cellStyle name="Hyperlink" xfId="934" builtinId="8" hidden="1"/>
    <cellStyle name="Hyperlink" xfId="696" builtinId="8" hidden="1"/>
    <cellStyle name="Hyperlink" xfId="454" builtinId="8" hidden="1"/>
    <cellStyle name="Hyperlink" xfId="43" builtinId="8" hidden="1"/>
    <cellStyle name="Hyperlink" xfId="396" builtinId="8" hidden="1"/>
    <cellStyle name="Hyperlink" xfId="224" builtinId="8" hidden="1"/>
    <cellStyle name="Hyperlink" xfId="448" builtinId="8" hidden="1"/>
    <cellStyle name="Hyperlink" xfId="480" builtinId="8" hidden="1"/>
    <cellStyle name="Hyperlink" xfId="486" builtinId="8" hidden="1"/>
    <cellStyle name="Hyperlink" xfId="5" builtinId="8" hidden="1"/>
    <cellStyle name="Hyperlink" xfId="57" builtinId="8" hidden="1"/>
    <cellStyle name="Hyperlink" xfId="182" builtinId="8" hidden="1"/>
    <cellStyle name="Hyperlink" xfId="716" builtinId="8" hidden="1"/>
    <cellStyle name="Hyperlink" xfId="129" builtinId="8" hidden="1"/>
    <cellStyle name="Hyperlink" xfId="9" builtinId="8" hidden="1"/>
    <cellStyle name="Hyperlink" xfId="45" builtinId="8" hidden="1"/>
    <cellStyle name="Hyperlink" xfId="15" builtinId="8" hidden="1"/>
    <cellStyle name="Hyperlink" xfId="502" builtinId="8" hidden="1"/>
    <cellStyle name="Hyperlink" xfId="474" builtinId="8" hidden="1"/>
    <cellStyle name="Hyperlink" xfId="816" builtinId="8" hidden="1"/>
    <cellStyle name="Hyperlink" xfId="848" builtinId="8" hidden="1"/>
    <cellStyle name="Hyperlink" xfId="912" builtinId="8" hidden="1"/>
    <cellStyle name="Hyperlink" xfId="894" builtinId="8" hidden="1"/>
    <cellStyle name="Hyperlink" xfId="874" builtinId="8" hidden="1"/>
    <cellStyle name="Hyperlink" xfId="862" builtinId="8" hidden="1"/>
    <cellStyle name="Hyperlink" xfId="820" builtinId="8" hidden="1"/>
    <cellStyle name="Hyperlink" xfId="810" builtinId="8" hidden="1"/>
    <cellStyle name="Hyperlink" xfId="788" builtinId="8" hidden="1"/>
    <cellStyle name="Hyperlink" xfId="3" builtinId="8" hidden="1"/>
    <cellStyle name="Hyperlink" xfId="7" builtinId="8" hidden="1"/>
    <cellStyle name="Hyperlink" xfId="139" builtinId="8" hidden="1"/>
    <cellStyle name="Hyperlink" xfId="51" builtinId="8" hidden="1"/>
    <cellStyle name="Hyperlink" xfId="115" builtinId="8" hidden="1"/>
    <cellStyle name="Hyperlink" xfId="119" builtinId="8" hidden="1"/>
    <cellStyle name="Hyperlink" xfId="210" builtinId="8" hidden="1"/>
    <cellStyle name="Hyperlink" xfId="256" builtinId="8" hidden="1"/>
    <cellStyle name="Hyperlink" xfId="308" builtinId="8" hidden="1"/>
    <cellStyle name="Hyperlink" xfId="93" builtinId="8" hidden="1"/>
    <cellStyle name="Hyperlink" xfId="87" builtinId="8" hidden="1"/>
    <cellStyle name="Hyperlink" xfId="69" builtinId="8" hidden="1"/>
    <cellStyle name="Hyperlink" xfId="13" builtinId="8" hidden="1"/>
    <cellStyle name="Hyperlink" xfId="434" builtinId="8" hidden="1"/>
    <cellStyle name="Hyperlink" xfId="410" builtinId="8" hidden="1"/>
    <cellStyle name="Hyperlink" xfId="258" builtinId="8" hidden="1"/>
    <cellStyle name="Hyperlink" xfId="412" builtinId="8" hidden="1"/>
    <cellStyle name="Hyperlink" xfId="158" builtinId="8" hidden="1"/>
    <cellStyle name="Hyperlink" xfId="298" builtinId="8" hidden="1"/>
    <cellStyle name="Hyperlink" xfId="270" builtinId="8" hidden="1"/>
    <cellStyle name="Hyperlink" xfId="226" builtinId="8" hidden="1"/>
    <cellStyle name="Hyperlink" xfId="320" builtinId="8" hidden="1"/>
    <cellStyle name="Hyperlink" xfId="254" builtinId="8" hidden="1"/>
    <cellStyle name="Hyperlink" xfId="220" builtinId="8" hidden="1"/>
    <cellStyle name="Hyperlink" xfId="610" builtinId="8" hidden="1"/>
    <cellStyle name="Hyperlink" xfId="694" builtinId="8" hidden="1"/>
    <cellStyle name="Hyperlink" xfId="700" builtinId="8" hidden="1"/>
    <cellStyle name="Hyperlink" xfId="650" builtinId="8" hidden="1"/>
    <cellStyle name="Hyperlink" xfId="626" builtinId="8" hidden="1"/>
    <cellStyle name="Hyperlink" xfId="614" builtinId="8" hidden="1"/>
    <cellStyle name="Hyperlink" xfId="578" builtinId="8" hidden="1"/>
    <cellStyle name="Hyperlink" xfId="564" builtinId="8" hidden="1"/>
    <cellStyle name="Hyperlink" xfId="554" builtinId="8" hidden="1"/>
    <cellStyle name="Hyperlink" xfId="444" builtinId="8" hidden="1"/>
    <cellStyle name="Hyperlink" xfId="432" builtinId="8" hidden="1"/>
    <cellStyle name="Hyperlink" xfId="676" builtinId="8" hidden="1"/>
    <cellStyle name="Hyperlink" xfId="65" builtinId="8" hidden="1"/>
    <cellStyle name="Hyperlink" xfId="406" builtinId="8" hidden="1"/>
    <cellStyle name="Hyperlink" xfId="296" builtinId="8" hidden="1"/>
    <cellStyle name="Hyperlink" xfId="272" builtinId="8" hidden="1"/>
    <cellStyle name="Hyperlink" xfId="372" builtinId="8" hidden="1"/>
    <cellStyle name="Hyperlink" xfId="342" builtinId="8" hidden="1"/>
    <cellStyle name="Hyperlink" xfId="228" builtinId="8" hidden="1"/>
    <cellStyle name="Hyperlink" xfId="452" builtinId="8" hidden="1"/>
    <cellStyle name="Hyperlink" xfId="334" builtinId="8" hidden="1"/>
    <cellStyle name="Hyperlink" xfId="462" builtinId="8" hidden="1"/>
    <cellStyle name="Hyperlink" xfId="240" builtinId="8" hidden="1"/>
    <cellStyle name="Hyperlink" xfId="362" builtinId="8" hidden="1"/>
    <cellStyle name="Hyperlink" xfId="514" builtinId="8" hidden="1"/>
    <cellStyle name="Hyperlink" xfId="356" builtinId="8" hidden="1"/>
    <cellStyle name="Hyperlink" xfId="340" builtinId="8" hidden="1"/>
    <cellStyle name="Hyperlink" xfId="378" builtinId="8" hidden="1"/>
    <cellStyle name="Hyperlink" xfId="368" builtinId="8" hidden="1"/>
    <cellStyle name="Hyperlink" xfId="11" builtinId="8" hidden="1"/>
    <cellStyle name="Hyperlink" xfId="61" builtinId="8" hidden="1"/>
    <cellStyle name="Hyperlink" xfId="168" builtinId="8" hidden="1"/>
    <cellStyle name="Hyperlink" xfId="530" builtinId="8" hidden="1"/>
    <cellStyle name="Hyperlink" xfId="602" builtinId="8" hidden="1"/>
    <cellStyle name="Hyperlink" xfId="662" builtinId="8" hidden="1"/>
    <cellStyle name="Hyperlink" xfId="360" builtinId="8" hidden="1"/>
    <cellStyle name="Hyperlink" xfId="91" builtinId="8" hidden="1"/>
    <cellStyle name="Hyperlink" xfId="852" builtinId="8" hidden="1"/>
    <cellStyle name="Hyperlink" xfId="174" builtinId="8" hidden="1"/>
    <cellStyle name="Hyperlink" xfId="33" builtinId="8" hidden="1"/>
    <cellStyle name="Hyperlink" xfId="336" builtinId="8" hidden="1"/>
    <cellStyle name="Hyperlink" xfId="284" builtinId="8" hidden="1"/>
    <cellStyle name="Hyperlink" xfId="27" builtinId="8" hidden="1"/>
    <cellStyle name="Hyperlink" xfId="778" builtinId="8" hidden="1"/>
    <cellStyle name="Hyperlink" xfId="830" builtinId="8" hidden="1"/>
    <cellStyle name="Hyperlink" xfId="906" builtinId="8" hidden="1"/>
    <cellStyle name="Hyperlink" xfId="784" builtinId="8" hidden="1"/>
    <cellStyle name="Hyperlink" xfId="81" builtinId="8" hidden="1"/>
    <cellStyle name="Hyperlink" xfId="520" builtinId="8" hidden="1"/>
    <cellStyle name="Hyperlink" xfId="358" builtinId="8" hidden="1"/>
    <cellStyle name="Hyperlink" xfId="758" builtinId="8" hidden="1"/>
    <cellStyle name="Hyperlink" xfId="398" builtinId="8" hidden="1"/>
    <cellStyle name="Hyperlink" xfId="718" builtinId="8" hidden="1"/>
    <cellStyle name="Hyperlink" xfId="968" builtinId="8" hidden="1"/>
    <cellStyle name="Hyperlink" xfId="958" builtinId="8" hidden="1"/>
    <cellStyle name="Hyperlink" xfId="944" builtinId="8" hidden="1"/>
    <cellStyle name="Hyperlink" xfId="930" builtinId="8" hidden="1"/>
    <cellStyle name="Hyperlink" xfId="920" builtinId="8" hidden="1"/>
    <cellStyle name="Hyperlink" xfId="730" builtinId="8" hidden="1"/>
    <cellStyle name="Hyperlink" xfId="664" builtinId="8" hidden="1"/>
    <cellStyle name="Hyperlink" xfId="222" builtinId="8" hidden="1"/>
    <cellStyle name="Hyperlink" xfId="440" builtinId="8" hidden="1"/>
    <cellStyle name="Hyperlink" xfId="576" builtinId="8" hidden="1"/>
    <cellStyle name="Hyperlink" xfId="422" builtinId="8" hidden="1"/>
    <cellStyle name="Hyperlink" xfId="426" builtinId="8" hidden="1"/>
    <cellStyle name="Hyperlink" xfId="386" builtinId="8" hidden="1"/>
    <cellStyle name="Hyperlink" xfId="280" builtinId="8" hidden="1"/>
    <cellStyle name="Hyperlink" xfId="460" builtinId="8" hidden="1"/>
    <cellStyle name="Hyperlink" xfId="266" builtinId="8" hidden="1"/>
    <cellStyle name="Hyperlink" xfId="97" builtinId="8" hidden="1"/>
    <cellStyle name="Hyperlink" xfId="49" builtinId="8" hidden="1"/>
    <cellStyle name="Hyperlink" xfId="770" builtinId="8" hidden="1"/>
    <cellStyle name="Hyperlink" xfId="748" builtinId="8" hidden="1"/>
    <cellStyle name="Hyperlink" xfId="732" builtinId="8" hidden="1"/>
    <cellStyle name="Hyperlink" xfId="490" builtinId="8" hidden="1"/>
    <cellStyle name="Hyperlink" xfId="137" builtinId="8" hidden="1"/>
    <cellStyle name="Hyperlink" xfId="416" builtinId="8" hidden="1"/>
    <cellStyle name="Hyperlink" xfId="39" builtinId="8" hidden="1"/>
    <cellStyle name="Hyperlink" xfId="282" builtinId="8" hidden="1"/>
    <cellStyle name="Hyperlink" xfId="268" builtinId="8" hidden="1"/>
    <cellStyle name="Hyperlink" xfId="998" builtinId="8" hidden="1"/>
    <cellStyle name="Hyperlink" xfId="1040" builtinId="8" hidden="1"/>
    <cellStyle name="Hyperlink" xfId="1082" builtinId="8" hidden="1"/>
    <cellStyle name="Hyperlink" xfId="1126" builtinId="8" hidden="1"/>
    <cellStyle name="Hyperlink" xfId="1036" builtinId="8" hidden="1"/>
    <cellStyle name="Hyperlink" xfId="728" builtinId="8" hidden="1"/>
    <cellStyle name="Hyperlink" xfId="31" builtinId="8" hidden="1"/>
    <cellStyle name="Hyperlink" xfId="170" builtinId="8" hidden="1"/>
    <cellStyle name="Hyperlink" xfId="648" builtinId="8" hidden="1"/>
    <cellStyle name="Hyperlink" xfId="274" builtinId="8" hidden="1"/>
    <cellStyle name="Hyperlink" xfId="59" builtinId="8" hidden="1"/>
    <cellStyle name="Hyperlink" xfId="572" builtinId="8" hidden="1"/>
    <cellStyle name="Hyperlink" xfId="644" builtinId="8" hidden="1"/>
    <cellStyle name="Hyperlink" xfId="652" builtinId="8" hidden="1"/>
    <cellStyle name="Hyperlink" xfId="288" builtinId="8" hidden="1"/>
    <cellStyle name="Hyperlink" xfId="472" builtinId="8" hidden="1"/>
    <cellStyle name="Hyperlink" xfId="101" builtinId="8" hidden="1"/>
    <cellStyle name="Hyperlink" xfId="768" builtinId="8" hidden="1"/>
    <cellStyle name="Hyperlink" xfId="113" builtinId="8" hidden="1"/>
    <cellStyle name="Hyperlink" xfId="824" builtinId="8" hidden="1"/>
    <cellStyle name="Hyperlink" xfId="898" builtinId="8" hidden="1"/>
    <cellStyle name="Hyperlink" xfId="786" builtinId="8" hidden="1"/>
    <cellStyle name="Hyperlink" xfId="1150" builtinId="8" hidden="1"/>
    <cellStyle name="Hyperlink" xfId="1182" builtinId="8" hidden="1"/>
    <cellStyle name="Hyperlink" xfId="1202" builtinId="8" hidden="1"/>
    <cellStyle name="Hyperlink" xfId="1192" builtinId="8" hidden="1"/>
    <cellStyle name="Hyperlink" xfId="1180" builtinId="8" hidden="1"/>
    <cellStyle name="Hyperlink" xfId="1170" builtinId="8" hidden="1"/>
    <cellStyle name="Hyperlink" xfId="1160" builtinId="8" hidden="1"/>
    <cellStyle name="Hyperlink" xfId="1148" builtinId="8" hidden="1"/>
    <cellStyle name="Hyperlink" xfId="1138" builtinId="8" hidden="1"/>
    <cellStyle name="Hyperlink" xfId="780" builtinId="8" hidden="1"/>
    <cellStyle name="Hyperlink" xfId="836" builtinId="8" hidden="1"/>
    <cellStyle name="Hyperlink" xfId="818" builtinId="8" hidden="1"/>
    <cellStyle name="Hyperlink" xfId="890" builtinId="8" hidden="1"/>
    <cellStyle name="Hyperlink" xfId="892" builtinId="8" hidden="1"/>
    <cellStyle name="Hyperlink" xfId="870" builtinId="8" hidden="1"/>
    <cellStyle name="Hyperlink" xfId="854" builtinId="8" hidden="1"/>
    <cellStyle name="Hyperlink" xfId="384" builtinId="8" hidden="1"/>
    <cellStyle name="Hyperlink" xfId="248" builtinId="8" hidden="1"/>
    <cellStyle name="Hyperlink" xfId="29" builtinId="8" hidden="1"/>
    <cellStyle name="Hyperlink" xfId="246" builtinId="8" hidden="1"/>
    <cellStyle name="Hyperlink" xfId="125" builtinId="8" hidden="1"/>
    <cellStyle name="Hyperlink" xfId="496" builtinId="8" hidden="1"/>
    <cellStyle name="Hyperlink" xfId="430" builtinId="8" hidden="1"/>
    <cellStyle name="Hyperlink" xfId="420" builtinId="8" hidden="1"/>
    <cellStyle name="Hyperlink" xfId="107" builtinId="8" hidden="1"/>
    <cellStyle name="Hyperlink" xfId="294" builtinId="8" hidden="1"/>
    <cellStyle name="Hyperlink" xfId="127" builtinId="8" hidden="1"/>
    <cellStyle name="Hyperlink" xfId="798" builtinId="8" hidden="1"/>
    <cellStyle name="Hyperlink" xfId="842" builtinId="8" hidden="1"/>
    <cellStyle name="Hyperlink" xfId="884" builtinId="8" hidden="1"/>
    <cellStyle name="Hyperlink" xfId="752" builtinId="8" hidden="1"/>
    <cellStyle name="Hyperlink" xfId="370" builtinId="8" hidden="1"/>
    <cellStyle name="Hyperlink" xfId="153" builtinId="8" hidden="1"/>
    <cellStyle name="Hyperlink" xfId="540" builtinId="8" hidden="1"/>
    <cellStyle name="Hyperlink" xfId="590" builtinId="8" hidden="1"/>
    <cellStyle name="Hyperlink" xfId="686" builtinId="8" hidden="1"/>
    <cellStyle name="Hyperlink" xfId="524" builtinId="8" hidden="1"/>
    <cellStyle name="Hyperlink" xfId="290" builtinId="8" hidden="1"/>
    <cellStyle name="Hyperlink" xfId="324" builtinId="8" hidden="1"/>
    <cellStyle name="Hyperlink" xfId="382" builtinId="8" hidden="1"/>
    <cellStyle name="Hyperlink" xfId="83" builtinId="8" hidden="1"/>
    <cellStyle name="Hyperlink" xfId="364" builtinId="8" hidden="1"/>
    <cellStyle name="Hyperlink" xfId="338" builtinId="8" hidden="1"/>
    <cellStyle name="Hyperlink" xfId="306" builtinId="8" hidden="1"/>
    <cellStyle name="Hyperlink" xfId="312" builtinId="8" hidden="1"/>
    <cellStyle name="Hyperlink" xfId="584" builtinId="8" hidden="1"/>
    <cellStyle name="Hyperlink" xfId="712" builtinId="8" hidden="1"/>
    <cellStyle name="Hyperlink" xfId="726" builtinId="8" hidden="1"/>
    <cellStyle name="Hyperlink" xfId="218" builtinId="8" hidden="1"/>
    <cellStyle name="Hyperlink" xfId="194" builtinId="8" hidden="1"/>
    <cellStyle name="Hyperlink" xfId="206" builtinId="8" hidden="1"/>
    <cellStyle name="Hyperlink" xfId="392" builtinId="8" hidden="1"/>
    <cellStyle name="Hyperlink" xfId="318" builtinId="8" hidden="1"/>
    <cellStyle name="Hyperlink" xfId="458" builtinId="8" hidden="1"/>
    <cellStyle name="Hyperlink" xfId="424" builtinId="8" hidden="1"/>
    <cellStyle name="Hyperlink" xfId="450" builtinId="8" hidden="1"/>
    <cellStyle name="Hyperlink" xfId="518" builtinId="8" hidden="1"/>
    <cellStyle name="Hyperlink" xfId="522" builtinId="8" hidden="1"/>
    <cellStyle name="Hyperlink" xfId="526" builtinId="8" hidden="1"/>
    <cellStyle name="Hyperlink" xfId="538" builtinId="8" hidden="1"/>
    <cellStyle name="Hyperlink" xfId="548" builtinId="8" hidden="1"/>
    <cellStyle name="Hyperlink" xfId="556" builtinId="8" hidden="1"/>
    <cellStyle name="Hyperlink" xfId="558" builtinId="8" hidden="1"/>
    <cellStyle name="Hyperlink" xfId="570" builtinId="8" hidden="1"/>
    <cellStyle name="Hyperlink" xfId="574" builtinId="8" hidden="1"/>
    <cellStyle name="Hyperlink" xfId="580" builtinId="8" hidden="1"/>
    <cellStyle name="Hyperlink" xfId="582" builtinId="8" hidden="1"/>
    <cellStyle name="Hyperlink" xfId="598" builtinId="8" hidden="1"/>
    <cellStyle name="Hyperlink" xfId="604" builtinId="8" hidden="1"/>
    <cellStyle name="Hyperlink" xfId="612" builtinId="8" hidden="1"/>
    <cellStyle name="Hyperlink" xfId="618" builtinId="8" hidden="1"/>
    <cellStyle name="Hyperlink" xfId="620" builtinId="8" hidden="1"/>
    <cellStyle name="Hyperlink" xfId="634" builtinId="8" hidden="1"/>
    <cellStyle name="Hyperlink" xfId="636" builtinId="8" hidden="1"/>
    <cellStyle name="Hyperlink" xfId="646" builtinId="8" hidden="1"/>
    <cellStyle name="Hyperlink" xfId="654" builtinId="8" hidden="1"/>
    <cellStyle name="Hyperlink" xfId="658" builtinId="8" hidden="1"/>
    <cellStyle name="Hyperlink" xfId="668" builtinId="8" hidden="1"/>
    <cellStyle name="Hyperlink" xfId="670" builtinId="8" hidden="1"/>
    <cellStyle name="Hyperlink" xfId="678" builtinId="8" hidden="1"/>
    <cellStyle name="Hyperlink" xfId="684" builtinId="8" hidden="1"/>
    <cellStyle name="Hyperlink" xfId="698" builtinId="8" hidden="1"/>
    <cellStyle name="Hyperlink" xfId="706" builtinId="8" hidden="1"/>
    <cellStyle name="Hyperlink" xfId="708" builtinId="8" hidden="1"/>
    <cellStyle name="Hyperlink" xfId="674" builtinId="8" hidden="1"/>
    <cellStyle name="Hyperlink" xfId="630" builtinId="8" hidden="1"/>
    <cellStyle name="Hyperlink" xfId="566" builtinId="8" hidden="1"/>
    <cellStyle name="Hyperlink" xfId="546" builtinId="8" hidden="1"/>
    <cellStyle name="Hyperlink" xfId="260" builtinId="8" hidden="1"/>
    <cellStyle name="Hyperlink" xfId="374" builtinId="8" hidden="1"/>
    <cellStyle name="Hyperlink" xfId="230" builtinId="8" hidden="1"/>
    <cellStyle name="Hyperlink" xfId="242" builtinId="8" hidden="1"/>
    <cellStyle name="Hyperlink" xfId="250" builtinId="8" hidden="1"/>
    <cellStyle name="Hyperlink" xfId="276" builtinId="8" hidden="1"/>
    <cellStyle name="Hyperlink" xfId="278" builtinId="8" hidden="1"/>
    <cellStyle name="Hyperlink" xfId="212" builtinId="8" hidden="1"/>
    <cellStyle name="Hyperlink" xfId="75" builtinId="8" hidden="1"/>
    <cellStyle name="Hyperlink" xfId="67" builtinId="8" hidden="1"/>
    <cellStyle name="Hyperlink" xfId="25" builtinId="8" hidden="1"/>
    <cellStyle name="Hyperlink" xfId="160" builtinId="8" hidden="1"/>
    <cellStyle name="Hyperlink" xfId="348" builtinId="8" hidden="1"/>
    <cellStyle name="Hyperlink" xfId="117" builtinId="8" hidden="1"/>
    <cellStyle name="Hyperlink" xfId="73" builtinId="8" hidden="1"/>
    <cellStyle name="Hyperlink" xfId="328" builtinId="8" hidden="1"/>
    <cellStyle name="Hyperlink" xfId="492" builtinId="8" hidden="1"/>
    <cellStyle name="Hyperlink" xfId="482" builtinId="8" hidden="1"/>
    <cellStyle name="Hyperlink" xfId="156" builtinId="8" hidden="1"/>
    <cellStyle name="Hyperlink" xfId="162" builtinId="8" hidden="1"/>
    <cellStyle name="Hyperlink" xfId="143" builtinId="8" hidden="1"/>
    <cellStyle name="Hyperlink" xfId="376" builtinId="8" hidden="1"/>
    <cellStyle name="Hyperlink" xfId="41" builtinId="8" hidden="1"/>
    <cellStyle name="Hyperlink" xfId="588" builtinId="8" hidden="1"/>
    <cellStyle name="Hyperlink" xfId="692" builtinId="8" hidden="1"/>
    <cellStyle name="Hyperlink" xfId="660" builtinId="8" hidden="1"/>
    <cellStyle name="Hyperlink" xfId="596" builtinId="8" hidden="1"/>
    <cellStyle name="Hyperlink" xfId="562" builtinId="8" hidden="1"/>
    <cellStyle name="Hyperlink" xfId="180" builtinId="8" hidden="1"/>
    <cellStyle name="Hyperlink" xfId="552" builtinId="8" hidden="1"/>
    <cellStyle name="Hyperlink" xfId="914" builtinId="8" hidden="1"/>
    <cellStyle name="Hyperlink" xfId="896" builtinId="8" hidden="1"/>
    <cellStyle name="Hyperlink" xfId="888" builtinId="8" hidden="1"/>
    <cellStyle name="Hyperlink" xfId="872" builtinId="8" hidden="1"/>
    <cellStyle name="Hyperlink" xfId="856" builtinId="8" hidden="1"/>
    <cellStyle name="Hyperlink" xfId="832" builtinId="8" hidden="1"/>
    <cellStyle name="Hyperlink" xfId="800" builtinId="8" hidden="1"/>
    <cellStyle name="Hyperlink" xfId="792" builtinId="8" hidden="1"/>
    <cellStyle name="Hyperlink" xfId="776" builtinId="8" hidden="1"/>
    <cellStyle name="Hyperlink" xfId="760" builtinId="8" hidden="1"/>
    <cellStyle name="Hyperlink" xfId="744" builtinId="8" hidden="1"/>
    <cellStyle name="Hyperlink" xfId="840" builtinId="8" hidden="1"/>
    <cellStyle name="Hyperlink" xfId="532" builtinId="8" hidden="1"/>
    <cellStyle name="Hyperlink" xfId="123" builtinId="8" hidden="1"/>
    <cellStyle name="Hyperlink" xfId="151" builtinId="8" hidden="1"/>
    <cellStyle name="Hyperlink" xfId="300" builtinId="8" hidden="1"/>
    <cellStyle name="Hyperlink" xfId="400" builtinId="8" hidden="1"/>
    <cellStyle name="Hyperlink" xfId="690" builtinId="8" hidden="1"/>
    <cellStyle name="Hyperlink" xfId="642" builtinId="8" hidden="1"/>
    <cellStyle name="Hyperlink" xfId="594" builtinId="8" hidden="1"/>
    <cellStyle name="Hyperlink" xfId="542" builtinId="8" hidden="1"/>
    <cellStyle name="Hyperlink" xfId="232" builtinId="8" hidden="1"/>
    <cellStyle name="Hyperlink" xfId="680" builtinId="8" hidden="1"/>
    <cellStyle name="Hyperlink" xfId="252" builtinId="8" hidden="1"/>
    <cellStyle name="Hyperlink" xfId="414" builtinId="8" hidden="1"/>
    <cellStyle name="Hyperlink" xfId="149" builtinId="8" hidden="1"/>
    <cellStyle name="Hyperlink" xfId="1122" builtinId="8" hidden="1"/>
    <cellStyle name="Hyperlink" xfId="1128" builtinId="8" hidden="1"/>
    <cellStyle name="Hyperlink" xfId="1130" builtinId="8" hidden="1"/>
    <cellStyle name="Hyperlink" xfId="1134" builtinId="8" hidden="1"/>
    <cellStyle name="Hyperlink" xfId="1116" builtinId="8" hidden="1"/>
    <cellStyle name="Hyperlink" xfId="1108" builtinId="8" hidden="1"/>
    <cellStyle name="Hyperlink" xfId="1092" builtinId="8" hidden="1"/>
    <cellStyle name="Hyperlink" xfId="1084" builtinId="8" hidden="1"/>
    <cellStyle name="Hyperlink" xfId="1076" builtinId="8" hidden="1"/>
    <cellStyle name="Hyperlink" xfId="1060" builtinId="8" hidden="1"/>
    <cellStyle name="Hyperlink" xfId="1052" builtinId="8" hidden="1"/>
    <cellStyle name="Hyperlink" xfId="1044" builtinId="8" hidden="1"/>
    <cellStyle name="Hyperlink" xfId="1028" builtinId="8" hidden="1"/>
    <cellStyle name="Hyperlink" xfId="1020" builtinId="8" hidden="1"/>
    <cellStyle name="Hyperlink" xfId="1012" builtinId="8" hidden="1"/>
    <cellStyle name="Hyperlink" xfId="996" builtinId="8" hidden="1"/>
    <cellStyle name="Hyperlink" xfId="988" builtinId="8" hidden="1"/>
    <cellStyle name="Hyperlink" xfId="980" builtinId="8" hidden="1"/>
    <cellStyle name="Hyperlink" xfId="964" builtinId="8" hidden="1"/>
    <cellStyle name="Hyperlink" xfId="948" builtinId="8" hidden="1"/>
    <cellStyle name="Hyperlink" xfId="932" builtinId="8" hidden="1"/>
    <cellStyle name="Hyperlink" xfId="924" builtinId="8" hidden="1"/>
    <cellStyle name="Hyperlink" xfId="916" builtinId="8" hidden="1"/>
    <cellStyle name="Hyperlink" xfId="640" builtinId="8" hidden="1"/>
    <cellStyle name="Hyperlink" xfId="688" builtinId="8" hidden="1"/>
    <cellStyle name="Hyperlink" xfId="632" builtinId="8" hidden="1"/>
    <cellStyle name="Hyperlink" xfId="528" builtinId="8" hidden="1"/>
    <cellStyle name="Hyperlink" xfId="568" builtinId="8" hidden="1"/>
    <cellStyle name="Hyperlink" xfId="608" builtinId="8" hidden="1"/>
    <cellStyle name="Hyperlink" xfId="436" builtinId="8" hidden="1"/>
    <cellStyle name="Hyperlink" xfId="402" builtinId="8" hidden="1"/>
    <cellStyle name="Hyperlink" xfId="380" builtinId="8" hidden="1"/>
    <cellStyle name="Hyperlink" xfId="131" builtinId="8" hidden="1"/>
    <cellStyle name="Hyperlink" xfId="330" builtinId="8" hidden="1"/>
    <cellStyle name="Hyperlink" xfId="71" builtinId="8" hidden="1"/>
    <cellStyle name="Hyperlink" xfId="346" builtinId="8" hidden="1"/>
    <cellStyle name="Hyperlink" xfId="498" builtinId="8" hidden="1"/>
    <cellStyle name="Hyperlink" xfId="754" builtinId="8" hidden="1"/>
    <cellStyle name="Hyperlink" xfId="742" builtinId="8" hidden="1"/>
    <cellStyle name="Hyperlink" xfId="464" builtinId="8" hidden="1"/>
    <cellStyle name="Hyperlink" xfId="484" builtinId="8" hidden="1"/>
    <cellStyle name="Hyperlink" xfId="470" builtinId="8" hidden="1"/>
    <cellStyle name="Hyperlink" xfId="512" builtinId="8" hidden="1"/>
    <cellStyle name="Hyperlink" xfId="99" builtinId="8" hidden="1"/>
    <cellStyle name="Hyperlink" xfId="103" builtinId="8" hidden="1"/>
    <cellStyle name="Hyperlink" xfId="53" builtinId="8" hidden="1"/>
    <cellStyle name="Hyperlink" xfId="244" builtinId="8" hidden="1"/>
    <cellStyle name="Hyperlink" xfId="956" builtinId="8" hidden="1"/>
    <cellStyle name="Hyperlink" xfId="1124" builtinId="8" hidden="1"/>
    <cellStyle name="Hyperlink" xfId="1046" builtinId="8" hidden="1"/>
    <cellStyle name="Hyperlink" xfId="1048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4" builtinId="8" hidden="1"/>
    <cellStyle name="Hyperlink" xfId="1066" builtinId="8" hidden="1"/>
    <cellStyle name="Hyperlink" xfId="1070" builtinId="8" hidden="1"/>
    <cellStyle name="Hyperlink" xfId="1074" builtinId="8" hidden="1"/>
    <cellStyle name="Hyperlink" xfId="1078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6" builtinId="8" hidden="1"/>
    <cellStyle name="Hyperlink" xfId="1098" builtinId="8" hidden="1"/>
    <cellStyle name="Hyperlink" xfId="1102" builtinId="8" hidden="1"/>
    <cellStyle name="Hyperlink" xfId="1106" builtinId="8" hidden="1"/>
    <cellStyle name="Hyperlink" xfId="1110" builtinId="8" hidden="1"/>
    <cellStyle name="Hyperlink" xfId="1112" builtinId="8" hidden="1"/>
    <cellStyle name="Hyperlink" xfId="1118" builtinId="8" hidden="1"/>
    <cellStyle name="Hyperlink" xfId="1120" builtinId="8" hidden="1"/>
    <cellStyle name="Hyperlink" xfId="1080" builtinId="8" hidden="1"/>
    <cellStyle name="Hyperlink" xfId="1010" builtinId="8" hidden="1"/>
    <cellStyle name="Hyperlink" xfId="1014" builtinId="8" hidden="1"/>
    <cellStyle name="Hyperlink" xfId="1016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32" builtinId="8" hidden="1"/>
    <cellStyle name="Hyperlink" xfId="1034" builtinId="8" hidden="1"/>
    <cellStyle name="Hyperlink" xfId="1038" builtinId="8" hidden="1"/>
    <cellStyle name="Hyperlink" xfId="1042" builtinId="8" hidden="1"/>
    <cellStyle name="Hyperlink" xfId="992" builtinId="8" hidden="1"/>
    <cellStyle name="Hyperlink" xfId="994" builtinId="8" hidden="1"/>
    <cellStyle name="Hyperlink" xfId="1000" builtinId="8" hidden="1"/>
    <cellStyle name="Hyperlink" xfId="1002" builtinId="8" hidden="1"/>
    <cellStyle name="Hyperlink" xfId="1006" builtinId="8" hidden="1"/>
    <cellStyle name="Hyperlink" xfId="982" builtinId="8" hidden="1"/>
    <cellStyle name="Hyperlink" xfId="984" builtinId="8" hidden="1"/>
    <cellStyle name="Hyperlink" xfId="990" builtinId="8" hidden="1"/>
    <cellStyle name="Hyperlink" xfId="978" builtinId="8" hidden="1"/>
    <cellStyle name="Hyperlink" xfId="974" builtinId="8" hidden="1"/>
    <cellStyle name="Hyperlink" xfId="1206" builtinId="8" hidden="1"/>
    <cellStyle name="Hyperlink" xfId="1208" builtinId="8" hidden="1"/>
    <cellStyle name="Hyperlink" xfId="1210" builtinId="8" hidden="1"/>
    <cellStyle name="Hyperlink" xfId="1212" builtinId="8" hidden="1"/>
    <cellStyle name="Hyperlink" xfId="1214" builtinId="8" hidden="1"/>
    <cellStyle name="Hyperlink" xfId="1216" builtinId="8" hidden="1"/>
    <cellStyle name="Hyperlink" xfId="1218" builtinId="8" hidden="1"/>
    <cellStyle name="Hyperlink" xfId="1220" builtinId="8" hidden="1"/>
    <cellStyle name="Hyperlink" xfId="1222" builtinId="8" hidden="1"/>
    <cellStyle name="Hyperlink" xfId="1224" builtinId="8" hidden="1"/>
    <cellStyle name="Hyperlink" xfId="1226" builtinId="8" hidden="1"/>
    <cellStyle name="Hyperlink" xfId="1228" builtinId="8" hidden="1"/>
    <cellStyle name="Hyperlink" xfId="1230" builtinId="8" hidden="1"/>
    <cellStyle name="Hyperlink" xfId="1232" builtinId="8" hidden="1"/>
    <cellStyle name="Hyperlink" xfId="1234" builtinId="8" hidden="1"/>
    <cellStyle name="Hyperlink" xfId="1236" builtinId="8" hidden="1"/>
    <cellStyle name="Hyperlink" xfId="1238" builtinId="8" hidden="1"/>
    <cellStyle name="Hyperlink" xfId="1240" builtinId="8" hidden="1"/>
    <cellStyle name="Hyperlink" xfId="1242" builtinId="8" hidden="1"/>
    <cellStyle name="Hyperlink" xfId="1244" builtinId="8" hidden="1"/>
    <cellStyle name="Hyperlink" xfId="1246" builtinId="8" hidden="1"/>
    <cellStyle name="Hyperlink" xfId="1248" builtinId="8" hidden="1"/>
    <cellStyle name="Hyperlink" xfId="1250" builtinId="8" hidden="1"/>
    <cellStyle name="Hyperlink" xfId="1252" builtinId="8" hidden="1"/>
    <cellStyle name="Hyperlink" xfId="1254" builtinId="8" hidden="1"/>
    <cellStyle name="Hyperlink" xfId="1256" builtinId="8" hidden="1"/>
    <cellStyle name="Hyperlink" xfId="1258" builtinId="8" hidden="1"/>
    <cellStyle name="Hyperlink" xfId="1260" builtinId="8" hidden="1"/>
    <cellStyle name="Hyperlink" xfId="1262" builtinId="8" hidden="1"/>
    <cellStyle name="Hyperlink" xfId="1264" builtinId="8" hidden="1"/>
    <cellStyle name="Hyperlink" xfId="1266" builtinId="8" hidden="1"/>
    <cellStyle name="Hyperlink" xfId="1268" builtinId="8" hidden="1"/>
    <cellStyle name="Hyperlink" xfId="1270" builtinId="8" hidden="1"/>
    <cellStyle name="Hyperlink" xfId="1272" builtinId="8" hidden="1"/>
    <cellStyle name="Hyperlink" xfId="1274" builtinId="8" hidden="1"/>
    <cellStyle name="Hyperlink" xfId="1276" builtinId="8" hidden="1"/>
    <cellStyle name="Hyperlink" xfId="1278" builtinId="8" hidden="1"/>
    <cellStyle name="Hyperlink" xfId="1280" builtinId="8" hidden="1"/>
    <cellStyle name="Hyperlink" xfId="1282" builtinId="8" hidden="1"/>
    <cellStyle name="Hyperlink" xfId="1284" builtinId="8" hidden="1"/>
    <cellStyle name="Hyperlink" xfId="1286" builtinId="8" hidden="1"/>
    <cellStyle name="Hyperlink" xfId="1288" builtinId="8" hidden="1"/>
    <cellStyle name="Hyperlink" xfId="1290" builtinId="8" hidden="1"/>
    <cellStyle name="Hyperlink" xfId="1292" builtinId="8" hidden="1"/>
    <cellStyle name="Hyperlink" xfId="1294" builtinId="8" hidden="1"/>
    <cellStyle name="Hyperlink" xfId="1296" builtinId="8" hidden="1"/>
    <cellStyle name="Hyperlink" xfId="1298" builtinId="8" hidden="1"/>
    <cellStyle name="Hyperlink" xfId="1300" builtinId="8" hidden="1"/>
    <cellStyle name="Hyperlink" xfId="1302" builtinId="8" hidden="1"/>
    <cellStyle name="Hyperlink" xfId="1304" builtinId="8" hidden="1"/>
    <cellStyle name="Hyperlink" xfId="1306" builtinId="8" hidden="1"/>
    <cellStyle name="Hyperlink" xfId="1308" builtinId="8" hidden="1"/>
    <cellStyle name="Hyperlink" xfId="1310" builtinId="8" hidden="1"/>
    <cellStyle name="Hyperlink" xfId="1312" builtinId="8" hidden="1"/>
    <cellStyle name="Hyperlink" xfId="1314" builtinId="8" hidden="1"/>
    <cellStyle name="Hyperlink" xfId="1316" builtinId="8" hidden="1"/>
    <cellStyle name="Hyperlink" xfId="1318" builtinId="8" hidden="1"/>
    <cellStyle name="Hyperlink" xfId="1320" builtinId="8" hidden="1"/>
    <cellStyle name="Hyperlink" xfId="1322" builtinId="8" hidden="1"/>
    <cellStyle name="Hyperlink" xfId="1324" builtinId="8" hidden="1"/>
    <cellStyle name="Hyperlink" xfId="1326" builtinId="8" hidden="1"/>
    <cellStyle name="Hyperlink" xfId="1328" builtinId="8" hidden="1"/>
    <cellStyle name="Hyperlink" xfId="1330" builtinId="8" hidden="1"/>
    <cellStyle name="Hyperlink" xfId="1332" builtinId="8" hidden="1"/>
    <cellStyle name="Hyperlink" xfId="1334" builtinId="8" hidden="1"/>
    <cellStyle name="Hyperlink" xfId="1336" builtinId="8" hidden="1"/>
    <cellStyle name="Hyperlink" xfId="1338" builtinId="8" hidden="1"/>
    <cellStyle name="Hyperlink" xfId="1340" builtinId="8" hidden="1"/>
    <cellStyle name="Hyperlink" xfId="1342" builtinId="8" hidden="1"/>
    <cellStyle name="Hyperlink" xfId="1344" builtinId="8" hidden="1"/>
    <cellStyle name="Hyperlink" xfId="1346" builtinId="8" hidden="1"/>
    <cellStyle name="Hyperlink" xfId="1348" builtinId="8" hidden="1"/>
    <cellStyle name="Hyperlink" xfId="1350" builtinId="8" hidden="1"/>
    <cellStyle name="Hyperlink" xfId="1352" builtinId="8" hidden="1"/>
    <cellStyle name="Hyperlink" xfId="1354" builtinId="8" hidden="1"/>
    <cellStyle name="Hyperlink" xfId="1356" builtinId="8" hidden="1"/>
    <cellStyle name="Hyperlink" xfId="1358" builtinId="8" hidden="1"/>
    <cellStyle name="Hyperlink" xfId="1360" builtinId="8" hidden="1"/>
    <cellStyle name="Hyperlink" xfId="1362" builtinId="8" hidden="1"/>
    <cellStyle name="Hyperlink" xfId="1364" builtinId="8" hidden="1"/>
    <cellStyle name="Hyperlink" xfId="1366" builtinId="8" hidden="1"/>
    <cellStyle name="Hyperlink" xfId="1368" builtinId="8" hidden="1"/>
    <cellStyle name="Hyperlink" xfId="1370" builtinId="8" hidden="1"/>
    <cellStyle name="Hyperlink" xfId="1372" builtinId="8" hidden="1"/>
    <cellStyle name="Hyperlink" xfId="1374" builtinId="8" hidden="1"/>
    <cellStyle name="Hyperlink" xfId="1376" builtinId="8" hidden="1"/>
    <cellStyle name="Hyperlink" xfId="1378" builtinId="8" hidden="1"/>
    <cellStyle name="Hyperlink" xfId="1380" builtinId="8" hidden="1"/>
    <cellStyle name="Hyperlink" xfId="1382" builtinId="8" hidden="1"/>
    <cellStyle name="Hyperlink" xfId="1384" builtinId="8" hidden="1"/>
    <cellStyle name="Hyperlink" xfId="1386" builtinId="8" hidden="1"/>
    <cellStyle name="Hyperlink" xfId="1388" builtinId="8" hidden="1"/>
    <cellStyle name="Hyperlink" xfId="1390" builtinId="8" hidden="1"/>
    <cellStyle name="Hyperlink" xfId="1392" builtinId="8" hidden="1"/>
    <cellStyle name="Hyperlink" xfId="1394" builtinId="8" hidden="1"/>
    <cellStyle name="Hyperlink" xfId="1396" builtinId="8" hidden="1"/>
    <cellStyle name="Hyperlink" xfId="1398" builtinId="8" hidden="1"/>
    <cellStyle name="Hyperlink" xfId="1400" builtinId="8" hidden="1"/>
    <cellStyle name="Hyperlink" xfId="1402" builtinId="8" hidden="1"/>
    <cellStyle name="Hyperlink" xfId="1404" builtinId="8" hidden="1"/>
    <cellStyle name="Hyperlink" xfId="1406" builtinId="8" hidden="1"/>
    <cellStyle name="Hyperlink" xfId="1408" builtinId="8" hidden="1"/>
    <cellStyle name="Hyperlink" xfId="1410" builtinId="8" hidden="1"/>
    <cellStyle name="Hyperlink" xfId="1412" builtinId="8" hidden="1"/>
    <cellStyle name="Hyperlink" xfId="1414" builtinId="8" hidden="1"/>
    <cellStyle name="Hyperlink" xfId="1416" builtinId="8" hidden="1"/>
    <cellStyle name="Hyperlink" xfId="1418" builtinId="8" hidden="1"/>
    <cellStyle name="Hyperlink" xfId="1420" builtinId="8" hidden="1"/>
    <cellStyle name="Hyperlink" xfId="1422" builtinId="8" hidden="1"/>
    <cellStyle name="Hyperlink" xfId="1424" builtinId="8" hidden="1"/>
    <cellStyle name="Hyperlink" xfId="1426" builtinId="8" hidden="1"/>
    <cellStyle name="Hyperlink" xfId="1428" builtinId="8" hidden="1"/>
    <cellStyle name="Hyperlink" xfId="1430" builtinId="8" hidden="1"/>
    <cellStyle name="Hyperlink" xfId="1432" builtinId="8" hidden="1"/>
    <cellStyle name="Hyperlink" xfId="1434" builtinId="8" hidden="1"/>
    <cellStyle name="Hyperlink" xfId="1436" builtinId="8" hidden="1"/>
    <cellStyle name="Hyperlink" xfId="1438" builtinId="8" hidden="1"/>
    <cellStyle name="Hyperlink" xfId="1440" builtinId="8" hidden="1"/>
    <cellStyle name="Hyperlink" xfId="1442" builtinId="8" hidden="1"/>
    <cellStyle name="Hyperlink" xfId="1444" builtinId="8" hidden="1"/>
    <cellStyle name="Hyperlink" xfId="1446" builtinId="8" hidden="1"/>
    <cellStyle name="Hyperlink" xfId="1448" builtinId="8" hidden="1"/>
    <cellStyle name="Hyperlink" xfId="1450" builtinId="8" hidden="1"/>
    <cellStyle name="Hyperlink" xfId="1452" builtinId="8" hidden="1"/>
    <cellStyle name="Hyperlink" xfId="1454" builtinId="8" hidden="1"/>
    <cellStyle name="Hyperlink" xfId="1456" builtinId="8" hidden="1"/>
    <cellStyle name="Hyperlink" xfId="1458" builtinId="8" hidden="1"/>
    <cellStyle name="Hyperlink" xfId="1460" builtinId="8" hidden="1"/>
    <cellStyle name="Hyperlink" xfId="1462" builtinId="8" hidden="1"/>
    <cellStyle name="Hyperlink" xfId="1464" builtinId="8" hidden="1"/>
    <cellStyle name="Hyperlink" xfId="1466" builtinId="8" hidden="1"/>
    <cellStyle name="Hyperlink" xfId="1468" builtinId="8" hidden="1"/>
    <cellStyle name="Hyperlink" xfId="1470" builtinId="8" hidden="1"/>
    <cellStyle name="Hyperlink" xfId="1472" builtinId="8" hidden="1"/>
    <cellStyle name="Hyperlink" xfId="1474" builtinId="8" hidden="1"/>
    <cellStyle name="Hyperlink" xfId="1476" builtinId="8" hidden="1"/>
    <cellStyle name="Hyperlink" xfId="1478" builtinId="8" hidden="1"/>
    <cellStyle name="Hyperlink" xfId="1480" builtinId="8" hidden="1"/>
    <cellStyle name="Hyperlink" xfId="1482" builtinId="8" hidden="1"/>
    <cellStyle name="Hyperlink" xfId="1484" builtinId="8" hidden="1"/>
    <cellStyle name="Hyperlink" xfId="1486" builtinId="8" hidden="1"/>
    <cellStyle name="Hyperlink" xfId="1488" builtinId="8" hidden="1"/>
    <cellStyle name="Hyperlink" xfId="1490" builtinId="8" hidden="1"/>
    <cellStyle name="Hyperlink" xfId="1492" builtinId="8" hidden="1"/>
    <cellStyle name="Hyperlink" xfId="1494" builtinId="8" hidden="1"/>
    <cellStyle name="Hyperlink" xfId="1496" builtinId="8" hidden="1"/>
    <cellStyle name="Hyperlink" xfId="1498" builtinId="8" hidden="1"/>
    <cellStyle name="Hyperlink" xfId="1500" builtinId="8" hidden="1"/>
    <cellStyle name="Hyperlink" xfId="1502" builtinId="8" hidden="1"/>
    <cellStyle name="Hyperlink" xfId="1504" builtinId="8" hidden="1"/>
    <cellStyle name="Hyperlink" xfId="1506" builtinId="8" hidden="1"/>
    <cellStyle name="Hyperlink" xfId="1508" builtinId="8" hidden="1"/>
    <cellStyle name="Hyperlink" xfId="1510" builtinId="8" hidden="1"/>
    <cellStyle name="Hyperlink" xfId="1512" builtinId="8" hidden="1"/>
    <cellStyle name="Hyperlink" xfId="1514" builtinId="8" hidden="1"/>
    <cellStyle name="Hyperlink" xfId="1516" builtinId="8" hidden="1"/>
    <cellStyle name="Hyperlink" xfId="1518" builtinId="8" hidden="1"/>
    <cellStyle name="Hyperlink" xfId="1520" builtinId="8" hidden="1"/>
    <cellStyle name="Hyperlink" xfId="1522" builtinId="8" hidden="1"/>
    <cellStyle name="Hyperlink" xfId="1524" builtinId="8" hidden="1"/>
    <cellStyle name="Hyperlink" xfId="1526" builtinId="8" hidden="1"/>
    <cellStyle name="Hyperlink" xfId="1528" builtinId="8" hidden="1"/>
    <cellStyle name="Hyperlink" xfId="1530" builtinId="8" hidden="1"/>
    <cellStyle name="Hyperlink" xfId="1532" builtinId="8" hidden="1"/>
    <cellStyle name="Hyperlink" xfId="1534" builtinId="8" hidden="1"/>
    <cellStyle name="Hyperlink" xfId="1536" builtinId="8" hidden="1"/>
    <cellStyle name="Hyperlink" xfId="1538" builtinId="8" hidden="1"/>
    <cellStyle name="Hyperlink" xfId="1540" builtinId="8" hidden="1"/>
    <cellStyle name="Hyperlink" xfId="1542" builtinId="8" hidden="1"/>
    <cellStyle name="Hyperlink" xfId="1544" builtinId="8" hidden="1"/>
    <cellStyle name="Hyperlink" xfId="1546" builtinId="8" hidden="1"/>
    <cellStyle name="Hyperlink" xfId="1548" builtinId="8" hidden="1"/>
    <cellStyle name="Hyperlink" xfId="1550" builtinId="8" hidden="1"/>
    <cellStyle name="Hyperlink" xfId="1552" builtinId="8" hidden="1"/>
    <cellStyle name="Hyperlink" xfId="1554" builtinId="8" hidden="1"/>
    <cellStyle name="Hyperlink" xfId="1556" builtinId="8" hidden="1"/>
    <cellStyle name="Hyperlink" xfId="1558" builtinId="8" hidden="1"/>
    <cellStyle name="Hyperlink" xfId="1560" builtinId="8" hidden="1"/>
    <cellStyle name="Hyperlink" xfId="1562" builtinId="8" hidden="1"/>
    <cellStyle name="Hyperlink" xfId="1564" builtinId="8" hidden="1"/>
    <cellStyle name="Hyperlink" xfId="1566" builtinId="8" hidden="1"/>
    <cellStyle name="Hyperlink" xfId="1568" builtinId="8" hidden="1"/>
    <cellStyle name="Hyperlink" xfId="1570" builtinId="8" hidden="1"/>
    <cellStyle name="Hyperlink" xfId="1572" builtinId="8" hidden="1"/>
    <cellStyle name="Hyperlink" xfId="1574" builtinId="8" hidden="1"/>
    <cellStyle name="Hyperlink" xfId="1576" builtinId="8" hidden="1"/>
    <cellStyle name="Hyperlink" xfId="1578" builtinId="8" hidden="1"/>
    <cellStyle name="Hyperlink" xfId="1580" builtinId="8" hidden="1"/>
    <cellStyle name="Hyperlink" xfId="1582" builtinId="8" hidden="1"/>
    <cellStyle name="Hyperlink" xfId="1584" builtinId="8" hidden="1"/>
    <cellStyle name="Hyperlink" xfId="1586" builtinId="8" hidden="1"/>
    <cellStyle name="Hyperlink" xfId="1588" builtinId="8" hidden="1"/>
    <cellStyle name="Hyperlink" xfId="1590" builtinId="8" hidden="1"/>
    <cellStyle name="Hyperlink" xfId="1592" builtinId="8" hidden="1"/>
    <cellStyle name="Hyperlink" xfId="1594" builtinId="8" hidden="1"/>
    <cellStyle name="Hyperlink" xfId="1596" builtinId="8" hidden="1"/>
    <cellStyle name="Hyperlink" xfId="1598" builtinId="8" hidden="1"/>
    <cellStyle name="Hyperlink" xfId="1600" builtinId="8" hidden="1"/>
    <cellStyle name="Hyperlink" xfId="1602" builtinId="8" hidden="1"/>
    <cellStyle name="Hyperlink" xfId="1604" builtinId="8" hidden="1"/>
    <cellStyle name="Hyperlink" xfId="1606" builtinId="8" hidden="1"/>
    <cellStyle name="Hyperlink" xfId="1608" builtinId="8" hidden="1"/>
    <cellStyle name="Hyperlink" xfId="1610" builtinId="8" hidden="1"/>
    <cellStyle name="Hyperlink" xfId="1612" builtinId="8" hidden="1"/>
    <cellStyle name="Hyperlink" xfId="1614" builtinId="8" hidden="1"/>
    <cellStyle name="Hyperlink" xfId="1616" builtinId="8" hidden="1"/>
    <cellStyle name="Hyperlink" xfId="1618" builtinId="8" hidden="1"/>
    <cellStyle name="Hyperlink" xfId="1620" builtinId="8" hidden="1"/>
    <cellStyle name="Hyperlink" xfId="1622" builtinId="8" hidden="1"/>
    <cellStyle name="Hyperlink" xfId="1624" builtinId="8" hidden="1"/>
    <cellStyle name="Hyperlink" xfId="1626" builtinId="8" hidden="1"/>
    <cellStyle name="Hyperlink" xfId="1628" builtinId="8" hidden="1"/>
    <cellStyle name="Hyperlink" xfId="1630" builtinId="8" hidden="1"/>
    <cellStyle name="Hyperlink" xfId="1632" builtinId="8" hidden="1"/>
    <cellStyle name="Hyperlink" xfId="1634" builtinId="8" hidden="1"/>
    <cellStyle name="Hyperlink" xfId="1636" builtinId="8" hidden="1"/>
    <cellStyle name="Hyperlink" xfId="1638" builtinId="8" hidden="1"/>
    <cellStyle name="Hyperlink" xfId="1640" builtinId="8" hidden="1"/>
    <cellStyle name="Hyperlink" xfId="1642" builtinId="8" hidden="1"/>
    <cellStyle name="Hyperlink" xfId="1644" builtinId="8" hidden="1"/>
    <cellStyle name="Hyperlink" xfId="1646" builtinId="8" hidden="1"/>
    <cellStyle name="Hyperlink" xfId="1648" builtinId="8" hidden="1"/>
    <cellStyle name="Hyperlink" xfId="1650" builtinId="8" hidden="1"/>
    <cellStyle name="Hyperlink" xfId="1652" builtinId="8" hidden="1"/>
    <cellStyle name="Hyperlink" xfId="1654" builtinId="8" hidden="1"/>
    <cellStyle name="Hyperlink" xfId="1656" builtinId="8" hidden="1"/>
    <cellStyle name="Hyperlink" xfId="1658" builtinId="8" hidden="1"/>
    <cellStyle name="Hyperlink" xfId="1660" builtinId="8" hidden="1"/>
    <cellStyle name="Hyperlink" xfId="1662" builtinId="8" hidden="1"/>
    <cellStyle name="Hyperlink" xfId="1664" builtinId="8" hidden="1"/>
    <cellStyle name="Hyperlink" xfId="1666" builtinId="8" hidden="1"/>
    <cellStyle name="Hyperlink" xfId="1668" builtinId="8" hidden="1"/>
    <cellStyle name="Hyperlink" xfId="1670" builtinId="8" hidden="1"/>
    <cellStyle name="Hyperlink" xfId="1672" builtinId="8" hidden="1"/>
    <cellStyle name="Hyperlink" xfId="1674" builtinId="8" hidden="1"/>
    <cellStyle name="Hyperlink" xfId="1676" builtinId="8" hidden="1"/>
    <cellStyle name="Hyperlink" xfId="1678" builtinId="8" hidden="1"/>
    <cellStyle name="Hyperlink" xfId="1680" builtinId="8" hidden="1"/>
    <cellStyle name="Hyperlink" xfId="1682" builtinId="8" hidden="1"/>
    <cellStyle name="Hyperlink" xfId="1684" builtinId="8" hidden="1"/>
    <cellStyle name="Hyperlink" xfId="1686" builtinId="8" hidden="1"/>
    <cellStyle name="Hyperlink" xfId="1688" builtinId="8" hidden="1"/>
    <cellStyle name="Hyperlink" xfId="1690" builtinId="8" hidden="1"/>
    <cellStyle name="Hyperlink" xfId="1692" builtinId="8" hidden="1"/>
    <cellStyle name="Hyperlink" xfId="1694" builtinId="8" hidden="1"/>
    <cellStyle name="Hyperlink" xfId="1696" builtinId="8" hidden="1"/>
    <cellStyle name="Hyperlink" xfId="1698" builtinId="8" hidden="1"/>
    <cellStyle name="Hyperlink" xfId="1700" builtinId="8" hidden="1"/>
    <cellStyle name="Hyperlink" xfId="1702" builtinId="8" hidden="1"/>
    <cellStyle name="Hyperlink" xfId="1704" builtinId="8" hidden="1"/>
    <cellStyle name="Hyperlink" xfId="1706" builtinId="8" hidden="1"/>
    <cellStyle name="Hyperlink" xfId="1708" builtinId="8" hidden="1"/>
    <cellStyle name="Hyperlink" xfId="1710" builtinId="8" hidden="1"/>
    <cellStyle name="Hyperlink" xfId="1712" builtinId="8" hidden="1"/>
    <cellStyle name="Hyperlink" xfId="1714" builtinId="8" hidden="1"/>
    <cellStyle name="Hyperlink" xfId="1716" builtinId="8" hidden="1"/>
    <cellStyle name="Hyperlink" xfId="1718" builtinId="8" hidden="1"/>
    <cellStyle name="Hyperlink" xfId="1720" builtinId="8" hidden="1"/>
    <cellStyle name="Hyperlink" xfId="1722" builtinId="8" hidden="1"/>
    <cellStyle name="Hyperlink" xfId="1724" builtinId="8" hidden="1"/>
    <cellStyle name="Hyperlink" xfId="1726" builtinId="8" hidden="1"/>
    <cellStyle name="Hyperlink" xfId="1728" builtinId="8" hidden="1"/>
    <cellStyle name="Hyperlink" xfId="1730" builtinId="8" hidden="1"/>
    <cellStyle name="Hyperlink" xfId="1732" builtinId="8" hidden="1"/>
    <cellStyle name="Hyperlink" xfId="1734" builtinId="8" hidden="1"/>
    <cellStyle name="Hyperlink" xfId="1736" builtinId="8" hidden="1"/>
    <cellStyle name="Hyperlink" xfId="1738" builtinId="8" hidden="1"/>
    <cellStyle name="Hyperlink" xfId="1740" builtinId="8" hidden="1"/>
    <cellStyle name="Hyperlink" xfId="1742" builtinId="8" hidden="1"/>
    <cellStyle name="Hyperlink" xfId="1744" builtinId="8" hidden="1"/>
    <cellStyle name="Hyperlink" xfId="1746" builtinId="8" hidden="1"/>
    <cellStyle name="Hyperlink" xfId="1748" builtinId="8" hidden="1"/>
    <cellStyle name="Hyperlink" xfId="1750" builtinId="8" hidden="1"/>
    <cellStyle name="Hyperlink" xfId="1752" builtinId="8" hidden="1"/>
    <cellStyle name="Hyperlink" xfId="1754" builtinId="8" hidden="1"/>
    <cellStyle name="Hyperlink" xfId="1756" builtinId="8" hidden="1"/>
    <cellStyle name="Hyperlink" xfId="1758" builtinId="8" hidden="1"/>
    <cellStyle name="Hyperlink" xfId="1760" builtinId="8" hidden="1"/>
    <cellStyle name="Hyperlink" xfId="1762" builtinId="8" hidden="1"/>
    <cellStyle name="Hyperlink" xfId="1764" builtinId="8" hidden="1"/>
    <cellStyle name="Hyperlink" xfId="1766" builtinId="8" hidden="1"/>
    <cellStyle name="Hyperlink" xfId="1768" builtinId="8" hidden="1"/>
    <cellStyle name="Hyperlink" xfId="1770" builtinId="8" hidden="1"/>
    <cellStyle name="Hyperlink" xfId="1772" builtinId="8" hidden="1"/>
    <cellStyle name="Hyperlink" xfId="1774" builtinId="8" hidden="1"/>
    <cellStyle name="Hyperlink" xfId="1776" builtinId="8" hidden="1"/>
    <cellStyle name="Hyperlink" xfId="1778" builtinId="8" hidden="1"/>
    <cellStyle name="Hyperlink" xfId="1780" builtinId="8" hidden="1"/>
    <cellStyle name="Hyperlink" xfId="1782" builtinId="8" hidden="1"/>
    <cellStyle name="Hyperlink" xfId="1784" builtinId="8" hidden="1"/>
    <cellStyle name="Hyperlink" xfId="1786" builtinId="8" hidden="1"/>
    <cellStyle name="Hyperlink" xfId="1788" builtinId="8" hidden="1"/>
    <cellStyle name="Hyperlink" xfId="1790" builtinId="8" hidden="1"/>
    <cellStyle name="Hyperlink" xfId="1792" builtinId="8" hidden="1"/>
    <cellStyle name="Hyperlink" xfId="1794" builtinId="8" hidden="1"/>
    <cellStyle name="Hyperlink" xfId="1796" builtinId="8" hidden="1"/>
    <cellStyle name="Hyperlink" xfId="1798" builtinId="8" hidden="1"/>
    <cellStyle name="Hyperlink" xfId="1800" builtinId="8" hidden="1"/>
    <cellStyle name="Hyperlink" xfId="1802" builtinId="8" hidden="1"/>
    <cellStyle name="Hyperlink" xfId="1804" builtinId="8" hidden="1"/>
    <cellStyle name="Hyperlink" xfId="1806" builtinId="8" hidden="1"/>
    <cellStyle name="Hyperlink" xfId="1808" builtinId="8" hidden="1"/>
    <cellStyle name="Hyperlink" xfId="1810" builtinId="8" hidden="1"/>
    <cellStyle name="Hyperlink" xfId="1812" builtinId="8" hidden="1"/>
    <cellStyle name="Hyperlink" xfId="1814" builtinId="8" hidden="1"/>
    <cellStyle name="Hyperlink" xfId="1816" builtinId="8" hidden="1"/>
    <cellStyle name="Hyperlink" xfId="1818" builtinId="8" hidden="1"/>
    <cellStyle name="Hyperlink" xfId="1820" builtinId="8" hidden="1"/>
    <cellStyle name="Hyperlink" xfId="1822" builtinId="8" hidden="1"/>
    <cellStyle name="Hyperlink" xfId="1824" builtinId="8" hidden="1"/>
    <cellStyle name="Hyperlink" xfId="1826" builtinId="8" hidden="1"/>
    <cellStyle name="Hyperlink" xfId="1828" builtinId="8" hidden="1"/>
    <cellStyle name="Hyperlink" xfId="1830" builtinId="8" hidden="1"/>
    <cellStyle name="Hyperlink" xfId="1832" builtinId="8" hidden="1"/>
    <cellStyle name="Hyperlink" xfId="1834" builtinId="8" hidden="1"/>
    <cellStyle name="Hyperlink" xfId="1836" builtinId="8" hidden="1"/>
    <cellStyle name="Hyperlink" xfId="1838" builtinId="8" hidden="1"/>
    <cellStyle name="Hyperlink" xfId="1840" builtinId="8" hidden="1"/>
    <cellStyle name="Hyperlink" xfId="1842" builtinId="8" hidden="1"/>
    <cellStyle name="Hyperlink" xfId="1844" builtinId="8" hidden="1"/>
    <cellStyle name="Hyperlink" xfId="1846" builtinId="8" hidden="1"/>
    <cellStyle name="Hyperlink" xfId="1848" builtinId="8" hidden="1"/>
    <cellStyle name="Hyperlink" xfId="1850" builtinId="8" hidden="1"/>
    <cellStyle name="Hyperlink" xfId="1852" builtinId="8" hidden="1"/>
    <cellStyle name="Hyperlink" xfId="1854" builtinId="8" hidden="1"/>
    <cellStyle name="Hyperlink" xfId="1856" builtinId="8" hidden="1"/>
    <cellStyle name="Hyperlink" xfId="1858" builtinId="8" hidden="1"/>
    <cellStyle name="Hyperlink" xfId="1860" builtinId="8" hidden="1"/>
    <cellStyle name="Hyperlink" xfId="1862" builtinId="8" hidden="1"/>
    <cellStyle name="Hyperlink" xfId="1864" builtinId="8" hidden="1"/>
    <cellStyle name="Hyperlink" xfId="1866" builtinId="8" hidden="1"/>
    <cellStyle name="Hyperlink" xfId="1868" builtinId="8" hidden="1"/>
    <cellStyle name="Hyperlink" xfId="1870" builtinId="8" hidden="1"/>
    <cellStyle name="Hyperlink" xfId="1872" builtinId="8" hidden="1"/>
    <cellStyle name="Hyperlink" xfId="1874" builtinId="8" hidden="1"/>
    <cellStyle name="Hyperlink" xfId="1876" builtinId="8" hidden="1"/>
    <cellStyle name="Hyperlink" xfId="1878" builtinId="8" hidden="1"/>
    <cellStyle name="Hyperlink" xfId="1880" builtinId="8" hidden="1"/>
    <cellStyle name="Hyperlink" xfId="1882" builtinId="8" hidden="1"/>
    <cellStyle name="Hyperlink" xfId="1884" builtinId="8" hidden="1"/>
    <cellStyle name="Hyperlink" xfId="1886" builtinId="8" hidden="1"/>
    <cellStyle name="Hyperlink" xfId="1888" builtinId="8" hidden="1"/>
    <cellStyle name="Hyperlink" xfId="1890" builtinId="8" hidden="1"/>
    <cellStyle name="Hyperlink" xfId="1892" builtinId="8" hidden="1"/>
    <cellStyle name="Hyperlink" xfId="1894" builtinId="8" hidden="1"/>
    <cellStyle name="Hyperlink" xfId="1896" builtinId="8" hidden="1"/>
    <cellStyle name="Hyperlink" xfId="1898" builtinId="8" hidden="1"/>
    <cellStyle name="Hyperlink" xfId="1900" builtinId="8" hidden="1"/>
    <cellStyle name="Hyperlink" xfId="1902" builtinId="8" hidden="1"/>
    <cellStyle name="Hyperlink" xfId="1904" builtinId="8" hidden="1"/>
    <cellStyle name="Hyperlink" xfId="1906" builtinId="8" hidden="1"/>
    <cellStyle name="Hyperlink" xfId="1908" builtinId="8" hidden="1"/>
    <cellStyle name="Hyperlink" xfId="1910" builtinId="8" hidden="1"/>
    <cellStyle name="Hyperlink" xfId="1912" builtinId="8" hidden="1"/>
    <cellStyle name="Hyperlink" xfId="1914" builtinId="8" hidden="1"/>
    <cellStyle name="Hyperlink" xfId="1916" builtinId="8" hidden="1"/>
    <cellStyle name="Hyperlink" xfId="1918" builtinId="8" hidden="1"/>
    <cellStyle name="Hyperlink" xfId="1920" builtinId="8" hidden="1"/>
    <cellStyle name="Hyperlink" xfId="1922" builtinId="8" hidden="1"/>
    <cellStyle name="Hyperlink" xfId="1924" builtinId="8" hidden="1"/>
    <cellStyle name="Hyperlink" xfId="1926" builtinId="8" hidden="1"/>
    <cellStyle name="Hyperlink" xfId="1928" builtinId="8" hidden="1"/>
    <cellStyle name="Hyperlink" xfId="1930" builtinId="8" hidden="1"/>
    <cellStyle name="Hyperlink" xfId="1932" builtinId="8" hidden="1"/>
    <cellStyle name="Hyperlink" xfId="1934" builtinId="8" hidden="1"/>
    <cellStyle name="Hyperlink" xfId="1936" builtinId="8" hidden="1"/>
    <cellStyle name="Hyperlink" xfId="1938" builtinId="8" hidden="1"/>
    <cellStyle name="Hyperlink" xfId="1940" builtinId="8" hidden="1"/>
    <cellStyle name="Hyperlink" xfId="1942" builtinId="8" hidden="1"/>
    <cellStyle name="Hyperlink" xfId="1944" builtinId="8" hidden="1"/>
    <cellStyle name="Hyperlink" xfId="1946" builtinId="8" hidden="1"/>
    <cellStyle name="Hyperlink" xfId="1948" builtinId="8" hidden="1"/>
    <cellStyle name="Hyperlink" xfId="1950" builtinId="8" hidden="1"/>
    <cellStyle name="Hyperlink" xfId="1952" builtinId="8" hidden="1"/>
    <cellStyle name="Hyperlink" xfId="1954" builtinId="8" hidden="1"/>
    <cellStyle name="Hyperlink" xfId="1956" builtinId="8" hidden="1"/>
    <cellStyle name="Hyperlink" xfId="1958" builtinId="8" hidden="1"/>
    <cellStyle name="Hyperlink" xfId="1960" builtinId="8" hidden="1"/>
    <cellStyle name="Hyperlink" xfId="1962" builtinId="8" hidden="1"/>
    <cellStyle name="Hyperlink" xfId="1964" builtinId="8" hidden="1"/>
    <cellStyle name="Hyperlink" xfId="1966" builtinId="8" hidden="1"/>
    <cellStyle name="Hyperlink" xfId="1968" builtinId="8" hidden="1"/>
    <cellStyle name="Hyperlink" xfId="1970" builtinId="8" hidden="1"/>
    <cellStyle name="Hyperlink" xfId="1972" builtinId="8" hidden="1"/>
    <cellStyle name="Hyperlink" xfId="1974" builtinId="8" hidden="1"/>
    <cellStyle name="Hyperlink" xfId="1976" builtinId="8" hidden="1"/>
    <cellStyle name="Hyperlink" xfId="1978" builtinId="8" hidden="1"/>
    <cellStyle name="Hyperlink" xfId="1980" builtinId="8" hidden="1"/>
    <cellStyle name="Hyperlink" xfId="1982" builtinId="8" hidden="1"/>
    <cellStyle name="Hyperlink" xfId="1984" builtinId="8" hidden="1"/>
    <cellStyle name="Hyperlink" xfId="1986" builtinId="8" hidden="1"/>
    <cellStyle name="Hyperlink" xfId="1988" builtinId="8" hidden="1"/>
    <cellStyle name="Hyperlink" xfId="1990" builtinId="8" hidden="1"/>
    <cellStyle name="Hyperlink" xfId="1992" builtinId="8" hidden="1"/>
    <cellStyle name="Hyperlink" xfId="1994" builtinId="8" hidden="1"/>
    <cellStyle name="Hyperlink" xfId="1996" builtinId="8" hidden="1"/>
    <cellStyle name="Hyperlink" xfId="1998" builtinId="8" hidden="1"/>
    <cellStyle name="Hyperlink" xfId="2000" builtinId="8" hidden="1"/>
    <cellStyle name="Hyperlink" xfId="2002" builtinId="8" hidden="1"/>
    <cellStyle name="Hyperlink" xfId="2004" builtinId="8" hidden="1"/>
    <cellStyle name="Hyperlink" xfId="2006" builtinId="8" hidden="1"/>
    <cellStyle name="Hyperlink" xfId="2008" builtinId="8" hidden="1"/>
    <cellStyle name="Hyperlink" xfId="2010" builtinId="8" hidden="1"/>
    <cellStyle name="Hyperlink" xfId="2012" builtinId="8" hidden="1"/>
    <cellStyle name="Hyperlink" xfId="2014" builtinId="8" hidden="1"/>
    <cellStyle name="Hyperlink" xfId="2016" builtinId="8" hidden="1"/>
    <cellStyle name="Hyperlink" xfId="2018" builtinId="8" hidden="1"/>
    <cellStyle name="Normal" xfId="0" builtinId="0"/>
    <cellStyle name="Per cent" xfId="15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activeCell="G22" sqref="G22"/>
    </sheetView>
  </sheetViews>
  <sheetFormatPr baseColWidth="10" defaultColWidth="8.83203125" defaultRowHeight="15" x14ac:dyDescent="0.2"/>
  <cols>
    <col min="1" max="1" width="10.33203125" customWidth="1"/>
    <col min="2" max="2" width="19.83203125" customWidth="1"/>
    <col min="3" max="3" width="18.5" customWidth="1"/>
    <col min="4" max="4" width="23" hidden="1" customWidth="1"/>
    <col min="5" max="5" width="9" style="90" customWidth="1"/>
    <col min="6" max="6" width="8.6640625" customWidth="1"/>
    <col min="7" max="7" width="8.83203125" style="89"/>
    <col min="10" max="11" width="8.83203125" style="106"/>
  </cols>
  <sheetData>
    <row r="1" spans="1:11" s="7" customFormat="1" ht="19" x14ac:dyDescent="0.25">
      <c r="A1" s="7" t="s">
        <v>0</v>
      </c>
      <c r="E1" s="92"/>
      <c r="G1" s="108"/>
      <c r="J1" s="99"/>
      <c r="K1" s="99"/>
    </row>
    <row r="2" spans="1:11" s="10" customFormat="1" ht="16" x14ac:dyDescent="0.2">
      <c r="A2" s="386"/>
      <c r="B2" s="386"/>
      <c r="C2" s="386"/>
      <c r="D2" s="386"/>
      <c r="E2" s="387"/>
      <c r="F2" s="386"/>
      <c r="G2" s="388"/>
      <c r="H2" s="386"/>
      <c r="I2" s="386"/>
      <c r="J2" s="100"/>
      <c r="K2" s="100"/>
    </row>
    <row r="3" spans="1:11" s="10" customFormat="1" ht="16" x14ac:dyDescent="0.2">
      <c r="A3" s="66" t="s">
        <v>1</v>
      </c>
      <c r="B3" s="386"/>
      <c r="C3" s="386"/>
      <c r="D3" s="65" t="s">
        <v>2</v>
      </c>
      <c r="E3" s="93"/>
      <c r="F3" s="65"/>
      <c r="G3" s="388"/>
      <c r="H3" s="386"/>
      <c r="I3" s="386"/>
      <c r="J3" s="100"/>
      <c r="K3" s="100"/>
    </row>
    <row r="4" spans="1:11" s="10" customFormat="1" ht="24" customHeight="1" x14ac:dyDescent="0.2">
      <c r="A4" s="386" t="s">
        <v>3</v>
      </c>
      <c r="B4" s="386" t="s">
        <v>4</v>
      </c>
      <c r="C4" s="386" t="s">
        <v>5</v>
      </c>
      <c r="D4" s="389" t="s">
        <v>6</v>
      </c>
      <c r="E4" s="733" t="s">
        <v>7</v>
      </c>
      <c r="F4" s="734"/>
      <c r="G4" s="734"/>
      <c r="H4" s="735"/>
      <c r="I4" s="386"/>
      <c r="J4" s="100"/>
      <c r="K4" s="100"/>
    </row>
    <row r="5" spans="1:11" s="10" customFormat="1" ht="13.5" customHeight="1" x14ac:dyDescent="0.2">
      <c r="A5" s="386"/>
      <c r="B5" s="386"/>
      <c r="C5" s="386"/>
      <c r="D5" s="390"/>
      <c r="E5" s="736" t="s">
        <v>8</v>
      </c>
      <c r="F5" s="737"/>
      <c r="G5" s="736" t="s">
        <v>9</v>
      </c>
      <c r="H5" s="738"/>
      <c r="I5" s="386"/>
      <c r="J5" s="100"/>
      <c r="K5" s="100"/>
    </row>
    <row r="6" spans="1:11" s="10" customFormat="1" ht="17" x14ac:dyDescent="0.2">
      <c r="A6" s="386"/>
      <c r="B6" s="386"/>
      <c r="C6" s="386"/>
      <c r="D6" s="390"/>
      <c r="E6" s="391" t="s">
        <v>10</v>
      </c>
      <c r="F6" s="528" t="s">
        <v>11</v>
      </c>
      <c r="G6" s="392" t="s">
        <v>10</v>
      </c>
      <c r="H6" s="529" t="s">
        <v>11</v>
      </c>
      <c r="I6" s="386"/>
      <c r="J6" s="107" t="s">
        <v>12</v>
      </c>
      <c r="K6" s="100"/>
    </row>
    <row r="7" spans="1:11" s="14" customFormat="1" ht="16" x14ac:dyDescent="0.2">
      <c r="A7" s="393" t="s">
        <v>13</v>
      </c>
      <c r="B7" s="393" t="s">
        <v>14</v>
      </c>
      <c r="C7" s="85" t="s">
        <v>15</v>
      </c>
      <c r="D7" s="394"/>
      <c r="E7" s="395">
        <v>0.5</v>
      </c>
      <c r="F7" s="393" t="s">
        <v>16</v>
      </c>
      <c r="G7" s="396">
        <f>0.44+0.14</f>
        <v>0.58000000000000007</v>
      </c>
      <c r="H7" s="393" t="s">
        <v>16</v>
      </c>
      <c r="I7" s="393"/>
      <c r="J7" s="15" t="s">
        <v>17</v>
      </c>
      <c r="K7" s="15"/>
    </row>
    <row r="8" spans="1:11" s="11" customFormat="1" ht="16" x14ac:dyDescent="0.2">
      <c r="A8" s="397" t="s">
        <v>18</v>
      </c>
      <c r="B8" s="397" t="s">
        <v>19</v>
      </c>
      <c r="C8" s="49" t="s">
        <v>20</v>
      </c>
      <c r="D8" s="390"/>
      <c r="E8" s="398">
        <v>0.53</v>
      </c>
      <c r="F8" s="393" t="s">
        <v>16</v>
      </c>
      <c r="G8" s="399">
        <v>1.04</v>
      </c>
      <c r="H8" s="397" t="s">
        <v>16</v>
      </c>
      <c r="I8" s="397"/>
      <c r="J8" s="101"/>
      <c r="K8" s="101"/>
    </row>
    <row r="9" spans="1:11" s="13" customFormat="1" ht="16" x14ac:dyDescent="0.2">
      <c r="A9" s="400" t="s">
        <v>21</v>
      </c>
      <c r="B9" s="400" t="s">
        <v>22</v>
      </c>
      <c r="C9" s="401" t="s">
        <v>23</v>
      </c>
      <c r="D9" s="402"/>
      <c r="E9" s="403">
        <v>1.03</v>
      </c>
      <c r="F9" s="393" t="s">
        <v>16</v>
      </c>
      <c r="G9" s="189">
        <v>1.02</v>
      </c>
      <c r="H9" s="400" t="s">
        <v>16</v>
      </c>
      <c r="I9" s="400"/>
      <c r="J9" s="102"/>
      <c r="K9" s="102"/>
    </row>
    <row r="10" spans="1:11" s="13" customFormat="1" ht="16" x14ac:dyDescent="0.2">
      <c r="A10" s="400" t="s">
        <v>24</v>
      </c>
      <c r="B10" s="400" t="s">
        <v>25</v>
      </c>
      <c r="C10" s="401" t="s">
        <v>26</v>
      </c>
      <c r="D10" s="402"/>
      <c r="E10" s="403">
        <f>0.91+0.77</f>
        <v>1.6800000000000002</v>
      </c>
      <c r="F10" s="393" t="s">
        <v>16</v>
      </c>
      <c r="G10" s="404">
        <v>1.43</v>
      </c>
      <c r="H10" s="400" t="s">
        <v>16</v>
      </c>
      <c r="I10" s="400" t="s">
        <v>27</v>
      </c>
      <c r="J10" s="102"/>
      <c r="K10" s="102"/>
    </row>
    <row r="11" spans="1:11" s="13" customFormat="1" ht="16" x14ac:dyDescent="0.2">
      <c r="A11" s="400" t="s">
        <v>28</v>
      </c>
      <c r="B11" s="400" t="s">
        <v>29</v>
      </c>
      <c r="C11" s="401" t="s">
        <v>30</v>
      </c>
      <c r="D11" s="402"/>
      <c r="E11" s="405">
        <v>0.6</v>
      </c>
      <c r="F11" s="393" t="s">
        <v>16</v>
      </c>
      <c r="G11" s="404">
        <v>1.3</v>
      </c>
      <c r="H11" s="400" t="s">
        <v>16</v>
      </c>
      <c r="I11" s="400"/>
      <c r="J11" s="102" t="s">
        <v>31</v>
      </c>
      <c r="K11" s="102"/>
    </row>
    <row r="12" spans="1:11" s="13" customFormat="1" ht="16" x14ac:dyDescent="0.2">
      <c r="A12" s="400"/>
      <c r="B12" s="400"/>
      <c r="C12" s="401"/>
      <c r="D12" s="402"/>
      <c r="E12" s="405"/>
      <c r="F12" s="393"/>
      <c r="G12" s="404">
        <v>1</v>
      </c>
      <c r="H12" s="400" t="s">
        <v>32</v>
      </c>
      <c r="I12" s="400"/>
      <c r="J12" s="102" t="s">
        <v>33</v>
      </c>
      <c r="K12" s="102"/>
    </row>
    <row r="13" spans="1:11" s="13" customFormat="1" ht="16" x14ac:dyDescent="0.2">
      <c r="A13" s="400" t="s">
        <v>34</v>
      </c>
      <c r="B13" s="400" t="s">
        <v>35</v>
      </c>
      <c r="C13" s="401" t="s">
        <v>36</v>
      </c>
      <c r="D13" s="402"/>
      <c r="E13" s="403">
        <v>0.35</v>
      </c>
      <c r="F13" s="393" t="s">
        <v>16</v>
      </c>
      <c r="G13" s="109">
        <v>0.41</v>
      </c>
      <c r="H13" s="400" t="s">
        <v>16</v>
      </c>
      <c r="I13" s="400"/>
      <c r="J13" s="102"/>
      <c r="K13" s="102"/>
    </row>
    <row r="14" spans="1:11" s="13" customFormat="1" ht="16" x14ac:dyDescent="0.2">
      <c r="A14" s="400" t="s">
        <v>37</v>
      </c>
      <c r="B14" s="400" t="s">
        <v>38</v>
      </c>
      <c r="C14" s="401" t="s">
        <v>39</v>
      </c>
      <c r="D14" s="402"/>
      <c r="E14" s="403">
        <v>0.28000000000000003</v>
      </c>
      <c r="F14" s="393" t="s">
        <v>16</v>
      </c>
      <c r="G14" s="109">
        <v>0.43</v>
      </c>
      <c r="H14" s="400" t="s">
        <v>16</v>
      </c>
      <c r="I14" s="400"/>
      <c r="J14" s="102"/>
      <c r="K14" s="102"/>
    </row>
    <row r="15" spans="1:11" s="13" customFormat="1" ht="16" x14ac:dyDescent="0.2">
      <c r="A15" s="400" t="s">
        <v>40</v>
      </c>
      <c r="B15" s="400" t="s">
        <v>41</v>
      </c>
      <c r="C15" s="50" t="s">
        <v>42</v>
      </c>
      <c r="D15" s="402"/>
      <c r="E15" s="403">
        <v>0.22</v>
      </c>
      <c r="F15" s="393" t="s">
        <v>16</v>
      </c>
      <c r="G15" s="109">
        <v>0.45</v>
      </c>
      <c r="H15" s="400" t="s">
        <v>16</v>
      </c>
      <c r="I15" s="400"/>
      <c r="J15" s="102"/>
      <c r="K15" s="102"/>
    </row>
    <row r="16" spans="1:11" s="13" customFormat="1" ht="17" x14ac:dyDescent="0.2">
      <c r="A16" s="400" t="s">
        <v>43</v>
      </c>
      <c r="B16" s="400" t="s">
        <v>44</v>
      </c>
      <c r="C16" s="51" t="s">
        <v>45</v>
      </c>
      <c r="D16" s="402"/>
      <c r="E16" s="403">
        <v>0.3</v>
      </c>
      <c r="F16" s="393" t="s">
        <v>16</v>
      </c>
      <c r="G16" s="109">
        <v>0.28000000000000003</v>
      </c>
      <c r="H16" s="400" t="s">
        <v>16</v>
      </c>
      <c r="I16" s="400"/>
      <c r="J16" s="102"/>
      <c r="K16" s="102"/>
    </row>
    <row r="17" spans="1:11" s="13" customFormat="1" ht="34" x14ac:dyDescent="0.2">
      <c r="A17" s="400" t="s">
        <v>46</v>
      </c>
      <c r="B17" s="400"/>
      <c r="C17" s="406" t="s">
        <v>47</v>
      </c>
      <c r="D17" s="402"/>
      <c r="E17" s="405" t="s">
        <v>48</v>
      </c>
      <c r="F17" s="407" t="s">
        <v>48</v>
      </c>
      <c r="G17" s="404">
        <v>1.0900000000000001</v>
      </c>
      <c r="H17" s="400" t="s">
        <v>16</v>
      </c>
      <c r="I17" s="400"/>
      <c r="J17" s="102"/>
      <c r="K17" s="102"/>
    </row>
    <row r="18" spans="1:11" s="13" customFormat="1" ht="34" x14ac:dyDescent="0.2">
      <c r="A18" s="400" t="s">
        <v>49</v>
      </c>
      <c r="B18" s="400" t="s">
        <v>50</v>
      </c>
      <c r="C18" s="406" t="s">
        <v>51</v>
      </c>
      <c r="D18" s="402"/>
      <c r="E18" s="405">
        <v>0.78</v>
      </c>
      <c r="F18" s="407"/>
      <c r="G18" s="109">
        <v>0.48</v>
      </c>
      <c r="H18" s="400" t="s">
        <v>16</v>
      </c>
      <c r="I18" s="400"/>
      <c r="J18" s="102"/>
      <c r="K18" s="102"/>
    </row>
    <row r="19" spans="1:11" s="13" customFormat="1" ht="34" x14ac:dyDescent="0.2">
      <c r="A19" s="400" t="s">
        <v>49</v>
      </c>
      <c r="B19" s="400"/>
      <c r="C19" s="406" t="s">
        <v>52</v>
      </c>
      <c r="D19" s="402"/>
      <c r="E19" s="405"/>
      <c r="F19" s="407"/>
      <c r="G19" s="404">
        <v>1</v>
      </c>
      <c r="H19" s="400" t="s">
        <v>32</v>
      </c>
      <c r="I19" s="400"/>
      <c r="J19" s="102" t="s">
        <v>33</v>
      </c>
      <c r="K19" s="102"/>
    </row>
    <row r="20" spans="1:11" s="13" customFormat="1" ht="32" customHeight="1" x14ac:dyDescent="0.2">
      <c r="A20" s="400" t="s">
        <v>53</v>
      </c>
      <c r="B20" s="400" t="s">
        <v>54</v>
      </c>
      <c r="C20" s="401" t="s">
        <v>55</v>
      </c>
      <c r="D20" s="402"/>
      <c r="E20" s="408" t="s">
        <v>56</v>
      </c>
      <c r="F20" s="409"/>
      <c r="G20" s="404"/>
      <c r="H20" s="400"/>
      <c r="I20" s="400"/>
      <c r="J20" s="102"/>
      <c r="K20" s="102"/>
    </row>
    <row r="21" spans="1:11" s="12" customFormat="1" ht="16" x14ac:dyDescent="0.2">
      <c r="A21" s="401" t="s">
        <v>57</v>
      </c>
      <c r="B21" s="401" t="s">
        <v>58</v>
      </c>
      <c r="C21" s="401"/>
      <c r="D21" s="401"/>
      <c r="E21" s="410" t="s">
        <v>48</v>
      </c>
      <c r="F21" s="401" t="s">
        <v>48</v>
      </c>
      <c r="G21" s="411">
        <v>1.32</v>
      </c>
      <c r="H21" s="401" t="s">
        <v>16</v>
      </c>
      <c r="I21" s="401"/>
      <c r="J21" s="103"/>
      <c r="K21" s="103"/>
    </row>
    <row r="22" spans="1:11" s="10" customFormat="1" ht="16" x14ac:dyDescent="0.2">
      <c r="A22" s="386"/>
      <c r="B22" s="386"/>
      <c r="C22" s="386"/>
      <c r="D22" s="386"/>
      <c r="E22" s="398"/>
      <c r="F22" s="397"/>
      <c r="G22" s="388"/>
      <c r="H22" s="386"/>
      <c r="I22" s="386"/>
      <c r="J22" s="100"/>
      <c r="K22" s="100"/>
    </row>
    <row r="23" spans="1:11" s="95" customFormat="1" ht="16" x14ac:dyDescent="0.2">
      <c r="A23" s="95" t="s">
        <v>59</v>
      </c>
      <c r="E23" s="96">
        <f>COUNT(E7:E18)</f>
        <v>10</v>
      </c>
      <c r="F23" s="97"/>
      <c r="G23" s="96">
        <f>COUNT(G7:G21)</f>
        <v>14</v>
      </c>
      <c r="J23" s="104"/>
      <c r="K23" s="104"/>
    </row>
    <row r="24" spans="1:11" s="3" customFormat="1" ht="19" x14ac:dyDescent="0.25">
      <c r="A24" s="7" t="s">
        <v>60</v>
      </c>
      <c r="E24" s="98">
        <f>+E23+G23</f>
        <v>24</v>
      </c>
      <c r="F24" s="4"/>
      <c r="G24" s="110"/>
      <c r="J24" s="105"/>
      <c r="K24" s="105"/>
    </row>
    <row r="25" spans="1:11" s="10" customFormat="1" ht="16" x14ac:dyDescent="0.2">
      <c r="A25" s="66"/>
      <c r="B25" s="386"/>
      <c r="C25" s="386"/>
      <c r="D25" s="386"/>
      <c r="E25" s="94"/>
      <c r="F25" s="397"/>
      <c r="G25" s="388"/>
      <c r="H25" s="386"/>
      <c r="I25" s="386"/>
      <c r="J25" s="100"/>
      <c r="K25" s="100"/>
    </row>
    <row r="26" spans="1:11" s="10" customFormat="1" ht="16" x14ac:dyDescent="0.2">
      <c r="A26" s="66"/>
      <c r="B26" s="386"/>
      <c r="C26" s="386"/>
      <c r="D26" s="386"/>
      <c r="E26" s="94"/>
      <c r="F26" s="397"/>
      <c r="G26" s="388"/>
      <c r="H26" s="386"/>
      <c r="I26" s="386"/>
      <c r="J26" s="100"/>
      <c r="K26" s="100"/>
    </row>
    <row r="27" spans="1:11" s="10" customFormat="1" ht="16" x14ac:dyDescent="0.2">
      <c r="A27" s="386" t="s">
        <v>61</v>
      </c>
      <c r="B27" s="386"/>
      <c r="C27" s="386"/>
      <c r="D27" s="386"/>
      <c r="E27" s="398"/>
      <c r="F27" s="397"/>
      <c r="G27" s="388"/>
      <c r="H27" s="386"/>
      <c r="I27" s="386"/>
      <c r="J27" s="100"/>
      <c r="K27" s="100"/>
    </row>
    <row r="28" spans="1:11" s="10" customFormat="1" ht="16" x14ac:dyDescent="0.2">
      <c r="A28" s="386"/>
      <c r="B28" s="386"/>
      <c r="C28" s="386"/>
      <c r="D28" s="386"/>
      <c r="E28" s="398"/>
      <c r="F28" s="397"/>
      <c r="G28" s="388"/>
      <c r="H28" s="386"/>
      <c r="I28" s="386"/>
      <c r="J28" s="100"/>
      <c r="K28" s="100"/>
    </row>
    <row r="29" spans="1:11" s="10" customFormat="1" ht="16" x14ac:dyDescent="0.2">
      <c r="A29" s="386"/>
      <c r="B29" s="386"/>
      <c r="C29" s="386"/>
      <c r="D29" s="386"/>
      <c r="E29" s="398"/>
      <c r="F29" s="397"/>
      <c r="G29" s="388"/>
      <c r="H29" s="386"/>
      <c r="I29" s="386"/>
      <c r="J29" s="100"/>
      <c r="K29" s="100"/>
    </row>
    <row r="30" spans="1:11" s="10" customFormat="1" ht="16" x14ac:dyDescent="0.2">
      <c r="A30" s="386"/>
      <c r="B30" s="386"/>
      <c r="C30" s="386"/>
      <c r="D30" s="386"/>
      <c r="E30" s="398"/>
      <c r="F30" s="397"/>
      <c r="G30" s="388"/>
      <c r="H30" s="386"/>
      <c r="I30" s="386"/>
      <c r="J30" s="100"/>
      <c r="K30" s="100"/>
    </row>
    <row r="31" spans="1:11" s="10" customFormat="1" ht="16" x14ac:dyDescent="0.2">
      <c r="A31" s="386"/>
      <c r="B31" s="386"/>
      <c r="C31" s="386"/>
      <c r="D31" s="386"/>
      <c r="E31" s="387"/>
      <c r="F31" s="386"/>
      <c r="G31" s="388"/>
      <c r="H31" s="386"/>
      <c r="I31" s="386"/>
      <c r="J31" s="100"/>
      <c r="K31" s="100"/>
    </row>
    <row r="32" spans="1:11" s="10" customFormat="1" ht="16" x14ac:dyDescent="0.2">
      <c r="A32" s="386"/>
      <c r="B32" s="386"/>
      <c r="C32" s="386"/>
      <c r="D32" s="386"/>
      <c r="E32" s="387"/>
      <c r="F32" s="386"/>
      <c r="G32" s="388"/>
      <c r="H32" s="386"/>
      <c r="I32" s="386"/>
      <c r="J32" s="100"/>
      <c r="K32" s="100"/>
    </row>
    <row r="33" spans="1:11" s="10" customFormat="1" ht="16" x14ac:dyDescent="0.2">
      <c r="A33" s="386" t="s">
        <v>62</v>
      </c>
      <c r="B33" s="386"/>
      <c r="C33" s="386"/>
      <c r="D33" s="386"/>
      <c r="E33" s="387"/>
      <c r="F33" s="386"/>
      <c r="G33" s="388"/>
      <c r="H33" s="386"/>
      <c r="I33" s="386"/>
      <c r="J33" s="100"/>
      <c r="K33" s="100"/>
    </row>
    <row r="34" spans="1:11" s="10" customFormat="1" ht="16" x14ac:dyDescent="0.2">
      <c r="A34" s="386" t="s">
        <v>63</v>
      </c>
      <c r="B34" s="386" t="s">
        <v>64</v>
      </c>
      <c r="C34" s="386"/>
      <c r="D34" s="386"/>
      <c r="E34" s="387"/>
      <c r="F34" s="386"/>
      <c r="G34" s="388"/>
      <c r="H34" s="386"/>
      <c r="I34" s="386"/>
      <c r="J34" s="100"/>
      <c r="K34" s="100"/>
    </row>
    <row r="35" spans="1:11" s="10" customFormat="1" ht="16" x14ac:dyDescent="0.2">
      <c r="A35" s="412" t="s">
        <v>65</v>
      </c>
      <c r="B35" s="386" t="s">
        <v>66</v>
      </c>
      <c r="C35" s="386"/>
      <c r="D35" s="386"/>
      <c r="E35" s="387"/>
      <c r="F35" s="386"/>
      <c r="G35" s="388"/>
      <c r="H35" s="386"/>
      <c r="I35" s="386"/>
      <c r="J35" s="100"/>
      <c r="K35" s="100"/>
    </row>
    <row r="36" spans="1:11" s="10" customFormat="1" ht="16" x14ac:dyDescent="0.2">
      <c r="A36" s="386"/>
      <c r="B36" s="386"/>
      <c r="C36" s="386"/>
      <c r="D36" s="386"/>
      <c r="E36" s="387"/>
      <c r="F36" s="386"/>
      <c r="G36" s="388"/>
      <c r="H36" s="386"/>
      <c r="I36" s="386"/>
      <c r="J36" s="100"/>
      <c r="K36" s="100"/>
    </row>
    <row r="37" spans="1:11" s="10" customFormat="1" ht="16" x14ac:dyDescent="0.2">
      <c r="A37" s="386"/>
      <c r="B37" s="386" t="s">
        <v>67</v>
      </c>
      <c r="C37" s="386"/>
      <c r="D37" s="386"/>
      <c r="E37" s="387"/>
      <c r="F37" s="386"/>
      <c r="G37" s="388"/>
      <c r="H37" s="386"/>
      <c r="I37" s="386"/>
      <c r="J37" s="100"/>
      <c r="K37" s="100"/>
    </row>
    <row r="38" spans="1:11" s="10" customFormat="1" ht="16" x14ac:dyDescent="0.2">
      <c r="A38" s="386"/>
      <c r="B38" s="386"/>
      <c r="C38" s="386"/>
      <c r="D38" s="386"/>
      <c r="E38" s="387"/>
      <c r="F38" s="386"/>
      <c r="G38" s="388"/>
      <c r="H38" s="386"/>
      <c r="I38" s="386"/>
      <c r="J38" s="100"/>
      <c r="K38" s="100"/>
    </row>
  </sheetData>
  <mergeCells count="3">
    <mergeCell ref="E4:H4"/>
    <mergeCell ref="E5:F5"/>
    <mergeCell ref="G5:H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1236"/>
  <sheetViews>
    <sheetView zoomScale="150" zoomScaleNormal="150" zoomScalePageLayoutView="150" workbookViewId="0">
      <pane ySplit="4" topLeftCell="A554" activePane="bottomLeft" state="frozen"/>
      <selection pane="bottomLeft" activeCell="Q391" sqref="Q391"/>
    </sheetView>
  </sheetViews>
  <sheetFormatPr baseColWidth="10" defaultColWidth="8.83203125" defaultRowHeight="15" x14ac:dyDescent="0.2"/>
  <cols>
    <col min="1" max="1" width="5.33203125" customWidth="1"/>
    <col min="2" max="2" width="14.5" customWidth="1"/>
    <col min="3" max="3" width="5.83203125" hidden="1" customWidth="1"/>
    <col min="4" max="4" width="6.1640625" hidden="1" customWidth="1"/>
    <col min="5" max="5" width="9.1640625" style="22" hidden="1" customWidth="1"/>
    <col min="6" max="7" width="7.1640625" style="22" hidden="1" customWidth="1"/>
    <col min="8" max="8" width="5.83203125" style="22" customWidth="1"/>
    <col min="9" max="9" width="4.33203125" customWidth="1"/>
    <col min="10" max="11" width="6.5" style="138" customWidth="1"/>
    <col min="12" max="12" width="6.83203125" style="138" customWidth="1"/>
    <col min="13" max="13" width="6.5" style="139" customWidth="1"/>
    <col min="14" max="14" width="6.1640625" style="139" customWidth="1"/>
    <col min="15" max="18" width="6.5" style="190" customWidth="1"/>
    <col min="19" max="22" width="7" style="318" customWidth="1"/>
    <col min="23" max="23" width="6.5" style="223" customWidth="1"/>
    <col min="24" max="29" width="4.33203125" customWidth="1"/>
    <col min="30" max="32" width="0" hidden="1" customWidth="1"/>
    <col min="36" max="36" width="7.5" style="47" customWidth="1"/>
    <col min="37" max="38" width="7.1640625" style="47" customWidth="1"/>
  </cols>
  <sheetData>
    <row r="1" spans="1:39" s="8" customFormat="1" ht="20" thickBot="1" x14ac:dyDescent="0.3">
      <c r="A1" s="7" t="s">
        <v>0</v>
      </c>
      <c r="B1" s="7"/>
      <c r="C1" s="7"/>
      <c r="D1" s="7"/>
      <c r="E1" s="21"/>
      <c r="F1" s="21"/>
      <c r="G1" s="21"/>
      <c r="H1" s="21"/>
      <c r="I1" s="16"/>
      <c r="J1" s="140"/>
      <c r="K1" s="140"/>
      <c r="L1" s="140"/>
      <c r="M1" s="141"/>
      <c r="N1" s="7" t="s">
        <v>68</v>
      </c>
      <c r="O1" s="226"/>
      <c r="P1" s="226"/>
      <c r="Q1" s="226"/>
      <c r="R1" s="226"/>
      <c r="S1" s="366"/>
      <c r="T1" s="366"/>
      <c r="U1" s="366"/>
      <c r="V1" s="366"/>
      <c r="W1" s="216"/>
      <c r="X1" s="224"/>
      <c r="Y1" s="16"/>
      <c r="Z1" s="16"/>
      <c r="AA1" s="16"/>
      <c r="AB1" s="16"/>
      <c r="AC1" s="16"/>
      <c r="AJ1" s="64"/>
      <c r="AK1" s="64"/>
      <c r="AL1" s="64"/>
    </row>
    <row r="2" spans="1:39" ht="35.25" customHeight="1" thickBot="1" x14ac:dyDescent="0.3">
      <c r="B2" s="3"/>
      <c r="C2" s="3"/>
      <c r="D2" s="3"/>
      <c r="I2" s="744" t="s">
        <v>69</v>
      </c>
      <c r="J2" s="744"/>
      <c r="K2" s="744"/>
      <c r="L2" s="744"/>
      <c r="M2" s="744"/>
      <c r="N2" s="744"/>
      <c r="O2" s="744"/>
      <c r="P2" s="744"/>
      <c r="Q2" s="744"/>
      <c r="R2" s="744"/>
      <c r="S2" s="744"/>
      <c r="T2" s="744"/>
      <c r="U2" s="744"/>
      <c r="V2" s="744"/>
      <c r="W2" s="744"/>
      <c r="X2" s="744"/>
      <c r="Y2" s="744"/>
      <c r="Z2" s="744"/>
      <c r="AA2" s="744"/>
      <c r="AB2" s="744"/>
      <c r="AC2" s="745"/>
      <c r="AI2" t="s">
        <v>27</v>
      </c>
      <c r="AJ2" s="741" t="s">
        <v>70</v>
      </c>
      <c r="AK2" s="742"/>
      <c r="AL2" s="743"/>
    </row>
    <row r="3" spans="1:39" s="23" customFormat="1" ht="60.75" customHeight="1" x14ac:dyDescent="0.2">
      <c r="A3" s="38" t="s">
        <v>3</v>
      </c>
      <c r="B3" s="38" t="s">
        <v>4</v>
      </c>
      <c r="C3" s="38" t="s">
        <v>71</v>
      </c>
      <c r="D3" s="38" t="s">
        <v>72</v>
      </c>
      <c r="E3" s="38" t="s">
        <v>73</v>
      </c>
      <c r="F3" s="38" t="s">
        <v>12</v>
      </c>
      <c r="G3" s="38" t="s">
        <v>12</v>
      </c>
      <c r="H3" s="60" t="s">
        <v>74</v>
      </c>
      <c r="I3" s="231" t="s">
        <v>75</v>
      </c>
      <c r="J3" s="228" t="s">
        <v>76</v>
      </c>
      <c r="K3" s="225" t="s">
        <v>77</v>
      </c>
      <c r="L3" s="229" t="s">
        <v>78</v>
      </c>
      <c r="M3" s="229" t="s">
        <v>79</v>
      </c>
      <c r="N3" s="229" t="s">
        <v>80</v>
      </c>
      <c r="O3" s="225" t="s">
        <v>81</v>
      </c>
      <c r="P3" s="557" t="s">
        <v>1742</v>
      </c>
      <c r="Q3" s="557" t="s">
        <v>1631</v>
      </c>
      <c r="R3" s="557" t="s">
        <v>82</v>
      </c>
      <c r="S3" s="367" t="s">
        <v>1743</v>
      </c>
      <c r="T3" s="367" t="s">
        <v>84</v>
      </c>
      <c r="U3" s="367" t="s">
        <v>1631</v>
      </c>
      <c r="V3" s="367" t="s">
        <v>82</v>
      </c>
      <c r="W3" s="230" t="s">
        <v>85</v>
      </c>
      <c r="X3" s="739" t="s">
        <v>86</v>
      </c>
      <c r="Y3" s="740"/>
      <c r="Z3" s="740"/>
      <c r="AA3" s="739" t="s">
        <v>87</v>
      </c>
      <c r="AB3" s="740"/>
      <c r="AC3" s="740"/>
      <c r="AG3" s="367" t="s">
        <v>83</v>
      </c>
      <c r="AH3" s="225" t="s">
        <v>1741</v>
      </c>
      <c r="AJ3" s="162" t="s">
        <v>88</v>
      </c>
      <c r="AK3" s="40" t="s">
        <v>89</v>
      </c>
      <c r="AL3" s="40" t="s">
        <v>90</v>
      </c>
      <c r="AM3" s="23">
        <f>586-17</f>
        <v>569</v>
      </c>
    </row>
    <row r="4" spans="1:39" s="549" customFormat="1" x14ac:dyDescent="0.2">
      <c r="A4" s="549" t="s">
        <v>91</v>
      </c>
      <c r="I4" s="547" t="s">
        <v>27</v>
      </c>
      <c r="J4" s="550">
        <f>+J5+J49+J78+J128+J233+J316+J312+J391+J449+J529+J594+J716</f>
        <v>36</v>
      </c>
      <c r="K4" s="551">
        <f>(COUNTIF(K6:K715,1))/J4</f>
        <v>0.58333333333333337</v>
      </c>
      <c r="L4" s="550">
        <f>+L5+L49+L78+L128+L233+L316+L312+L391+L449+L529+L594+L716</f>
        <v>129</v>
      </c>
      <c r="M4" s="551">
        <f>(COUNTIF(M6:M715,1))/L4</f>
        <v>0.31782945736434109</v>
      </c>
      <c r="N4" s="550">
        <f>+N5+N49+N78+N128+N233+N312+N391+N449+N529+N594+N716</f>
        <v>586</v>
      </c>
      <c r="O4" s="551">
        <f>(COUNTIF(O6:O715,1))/N4</f>
        <v>0.14163822525597269</v>
      </c>
      <c r="P4" s="552">
        <f>AVERAGE(AH6:AH584)</f>
        <v>0.14160839160839161</v>
      </c>
      <c r="Q4" s="552"/>
      <c r="R4" s="552">
        <f>STDEV(AH6:AH584)/SQRT(COUNT(AH6:AH584))</f>
        <v>1.4590466325344996E-2</v>
      </c>
      <c r="S4" s="552" t="s">
        <v>27</v>
      </c>
      <c r="T4" s="552">
        <f>(+T14+T56+T86+T154+T270+T332+T395+T460+T539+T612+T718)/11</f>
        <v>0.1303539378749905</v>
      </c>
      <c r="U4" s="552"/>
      <c r="V4" s="552">
        <f>STDEV(AG6:AG17)/SQRT(COUNT(AG6:AG17))</f>
        <v>4.6231906706030772E-2</v>
      </c>
      <c r="W4" s="553">
        <f>SUM(W6:W730)</f>
        <v>3</v>
      </c>
      <c r="X4" s="554">
        <f>COUNTA(X6:X730)</f>
        <v>17</v>
      </c>
      <c r="Y4" s="554" t="s">
        <v>27</v>
      </c>
      <c r="Z4" s="554" t="s">
        <v>27</v>
      </c>
      <c r="AA4" s="554" t="s">
        <v>27</v>
      </c>
      <c r="AB4" s="548" t="s">
        <v>27</v>
      </c>
      <c r="AC4" s="554" t="s">
        <v>27</v>
      </c>
      <c r="AI4" s="246">
        <f>+X4/N4</f>
        <v>2.9010238907849831E-2</v>
      </c>
      <c r="AJ4" s="555">
        <f>COUNTIF(AJ5:AJ715, 1)/COUNTA(AJ5:AJ715)</f>
        <v>0.34453781512605042</v>
      </c>
      <c r="AK4" s="556"/>
      <c r="AL4" s="556"/>
    </row>
    <row r="5" spans="1:39" s="273" customFormat="1" x14ac:dyDescent="0.2">
      <c r="A5" s="280" t="s">
        <v>13</v>
      </c>
      <c r="B5" s="280" t="s">
        <v>14</v>
      </c>
      <c r="C5" s="280"/>
      <c r="D5" s="280"/>
      <c r="E5" s="280"/>
      <c r="F5" s="280"/>
      <c r="G5" s="280"/>
      <c r="H5" s="280"/>
      <c r="I5" s="319"/>
      <c r="J5" s="320">
        <v>3</v>
      </c>
      <c r="K5" s="321">
        <f>SUM(K6:K42)/J5</f>
        <v>0.66666666666666663</v>
      </c>
      <c r="L5" s="320">
        <f>SUM(L6:L42)</f>
        <v>9</v>
      </c>
      <c r="M5" s="322">
        <f>SUM(M6:M42)/L5</f>
        <v>0.44444444444444442</v>
      </c>
      <c r="N5" s="320">
        <f>SUM(N6:N42)</f>
        <v>38</v>
      </c>
      <c r="O5" s="321">
        <f>COUNTIF(O6:O42,1)/N5</f>
        <v>0.10526315789473684</v>
      </c>
      <c r="P5" s="558">
        <f>AVERAGE(O6:O42)</f>
        <v>0.12903225806451613</v>
      </c>
      <c r="Q5" s="558">
        <f>_xlfn.STDEV.P(O6:O36)</f>
        <v>0.33523564017462143</v>
      </c>
      <c r="R5" s="559">
        <f>STDEV(O6:O42)/(SQRT(COUNT(O6:O42)))</f>
        <v>6.1205374067775091E-2</v>
      </c>
      <c r="S5" s="368">
        <f>((+N6*S6)+(N9*S9)+(N13*S13)+(N16*S16)+(N18*S18)+(N22*S22)+(N28*S28)+(N31*S31))/N5</f>
        <v>5.2631578947368418E-2</v>
      </c>
      <c r="T5" s="368"/>
      <c r="U5" s="368">
        <f>_xlfn.STDEV.P(T6:T13)</f>
        <v>0.10825317547305482</v>
      </c>
      <c r="V5" s="368">
        <f>+V14</f>
        <v>4.0915854419248568E-2</v>
      </c>
      <c r="W5" s="323"/>
      <c r="X5" s="324" t="s">
        <v>27</v>
      </c>
      <c r="Y5" s="325"/>
      <c r="Z5" s="325"/>
      <c r="AA5" s="324"/>
      <c r="AB5" s="325"/>
      <c r="AC5" s="325"/>
      <c r="AM5" s="280"/>
    </row>
    <row r="6" spans="1:39" s="19" customFormat="1" x14ac:dyDescent="0.2">
      <c r="A6" s="19">
        <v>1</v>
      </c>
      <c r="B6" s="112" t="s">
        <v>95</v>
      </c>
      <c r="C6" s="19" t="s">
        <v>96</v>
      </c>
      <c r="D6" s="19">
        <v>5</v>
      </c>
      <c r="E6" s="37" t="s">
        <v>97</v>
      </c>
      <c r="I6" s="232"/>
      <c r="J6" s="144"/>
      <c r="K6" s="144">
        <v>0</v>
      </c>
      <c r="L6" s="144">
        <v>1</v>
      </c>
      <c r="M6" s="144">
        <v>0</v>
      </c>
      <c r="N6" s="144">
        <v>3</v>
      </c>
      <c r="O6" s="192">
        <v>0</v>
      </c>
      <c r="P6" s="192"/>
      <c r="Q6" s="192"/>
      <c r="R6" s="192"/>
      <c r="S6" s="369">
        <v>0</v>
      </c>
      <c r="T6" s="369">
        <f>+S6</f>
        <v>0</v>
      </c>
      <c r="U6" s="369"/>
      <c r="V6" s="369"/>
      <c r="W6" s="317" t="s">
        <v>27</v>
      </c>
      <c r="X6" s="24"/>
      <c r="Y6" s="25"/>
      <c r="Z6" s="25"/>
      <c r="AA6" s="24"/>
      <c r="AB6" s="25"/>
      <c r="AC6" s="25"/>
      <c r="AG6" s="378">
        <f>+T14</f>
        <v>6.25E-2</v>
      </c>
      <c r="AH6" s="192">
        <v>0</v>
      </c>
      <c r="AI6" s="378">
        <f>+N4-X4</f>
        <v>569</v>
      </c>
      <c r="AJ6" s="42"/>
      <c r="AK6" s="42"/>
      <c r="AL6" s="42"/>
    </row>
    <row r="7" spans="1:39" s="19" customFormat="1" x14ac:dyDescent="0.2">
      <c r="B7" s="112" t="s">
        <v>98</v>
      </c>
      <c r="C7" s="19" t="s">
        <v>96</v>
      </c>
      <c r="D7" s="19">
        <v>5</v>
      </c>
      <c r="E7" s="37" t="s">
        <v>97</v>
      </c>
      <c r="I7" s="232"/>
      <c r="J7" s="144"/>
      <c r="K7" s="144"/>
      <c r="L7" s="144"/>
      <c r="M7" s="144"/>
      <c r="N7" s="144"/>
      <c r="O7" s="192">
        <v>0</v>
      </c>
      <c r="P7" s="192"/>
      <c r="Q7" s="192"/>
      <c r="R7" s="192"/>
      <c r="S7" s="369"/>
      <c r="T7" s="369">
        <f>+S9</f>
        <v>0.25</v>
      </c>
      <c r="U7" s="369"/>
      <c r="V7" s="369"/>
      <c r="W7" s="227"/>
      <c r="X7" s="24"/>
      <c r="Y7" s="25"/>
      <c r="Z7" s="25"/>
      <c r="AA7" s="24"/>
      <c r="AB7" s="25"/>
      <c r="AC7" s="25"/>
      <c r="AG7" s="378">
        <f>+S49</f>
        <v>9.7096774193548396E-2</v>
      </c>
      <c r="AH7" s="192">
        <v>0</v>
      </c>
      <c r="AJ7" s="42"/>
      <c r="AK7" s="42"/>
      <c r="AL7" s="42"/>
    </row>
    <row r="8" spans="1:39" s="19" customFormat="1" x14ac:dyDescent="0.2">
      <c r="B8" s="112" t="s">
        <v>99</v>
      </c>
      <c r="C8" s="19" t="s">
        <v>96</v>
      </c>
      <c r="D8" s="19">
        <v>5</v>
      </c>
      <c r="E8" s="37" t="s">
        <v>97</v>
      </c>
      <c r="I8" s="232"/>
      <c r="J8" s="144"/>
      <c r="K8" s="144"/>
      <c r="L8" s="144"/>
      <c r="M8" s="144"/>
      <c r="N8" s="144"/>
      <c r="O8" s="192">
        <v>0</v>
      </c>
      <c r="P8" s="192"/>
      <c r="Q8" s="192"/>
      <c r="R8" s="192"/>
      <c r="S8" s="369"/>
      <c r="T8" s="369">
        <v>0</v>
      </c>
      <c r="U8" s="369"/>
      <c r="V8" s="369"/>
      <c r="W8" s="227"/>
      <c r="X8" s="24"/>
      <c r="Y8" s="25"/>
      <c r="Z8" s="25"/>
      <c r="AA8" s="24"/>
      <c r="AB8" s="25"/>
      <c r="AC8" s="25"/>
      <c r="AG8" s="378">
        <f>+T56</f>
        <v>0.13944444444444445</v>
      </c>
      <c r="AH8" s="192">
        <v>0</v>
      </c>
      <c r="AJ8" s="42"/>
      <c r="AK8" s="42"/>
      <c r="AL8" s="42"/>
    </row>
    <row r="9" spans="1:39" s="19" customFormat="1" x14ac:dyDescent="0.2">
      <c r="A9" s="19">
        <v>2</v>
      </c>
      <c r="B9" s="112" t="s">
        <v>100</v>
      </c>
      <c r="C9" s="19" t="s">
        <v>101</v>
      </c>
      <c r="D9" s="19">
        <v>5</v>
      </c>
      <c r="E9" s="19" t="s">
        <v>102</v>
      </c>
      <c r="F9" s="19" t="s">
        <v>103</v>
      </c>
      <c r="I9" s="232"/>
      <c r="J9" s="144"/>
      <c r="K9" s="144">
        <v>1</v>
      </c>
      <c r="L9" s="144">
        <v>1</v>
      </c>
      <c r="M9" s="144">
        <v>1</v>
      </c>
      <c r="N9" s="144">
        <v>4</v>
      </c>
      <c r="O9" s="192">
        <v>1</v>
      </c>
      <c r="P9" s="192"/>
      <c r="Q9" s="192"/>
      <c r="R9" s="192"/>
      <c r="S9" s="369">
        <v>0.25</v>
      </c>
      <c r="T9" s="369">
        <v>0</v>
      </c>
      <c r="U9" s="369"/>
      <c r="V9" s="369"/>
      <c r="W9" s="227"/>
      <c r="X9" s="24"/>
      <c r="Y9" s="25"/>
      <c r="Z9" s="25"/>
      <c r="AA9" s="24"/>
      <c r="AB9" s="25"/>
      <c r="AC9" s="25"/>
      <c r="AG9" s="378">
        <f>+T86</f>
        <v>0</v>
      </c>
      <c r="AH9" s="192">
        <v>1</v>
      </c>
      <c r="AJ9" s="42"/>
      <c r="AK9" s="42"/>
      <c r="AL9" s="42"/>
    </row>
    <row r="10" spans="1:39" s="19" customFormat="1" x14ac:dyDescent="0.2">
      <c r="B10" s="112" t="s">
        <v>100</v>
      </c>
      <c r="G10" s="19" t="s">
        <v>104</v>
      </c>
      <c r="I10" s="232"/>
      <c r="J10" s="144"/>
      <c r="K10" s="144"/>
      <c r="L10" s="144"/>
      <c r="M10" s="144"/>
      <c r="N10" s="144"/>
      <c r="O10" s="192">
        <v>0</v>
      </c>
      <c r="P10" s="192"/>
      <c r="Q10" s="192"/>
      <c r="R10" s="192"/>
      <c r="S10" s="369"/>
      <c r="T10" s="369">
        <v>0.25</v>
      </c>
      <c r="U10" s="369"/>
      <c r="V10" s="369"/>
      <c r="W10" s="227"/>
      <c r="X10" s="24"/>
      <c r="Y10" s="25"/>
      <c r="Z10" s="25"/>
      <c r="AA10" s="24"/>
      <c r="AB10" s="25"/>
      <c r="AC10" s="25"/>
      <c r="AG10" s="378">
        <f>+T154</f>
        <v>0.21906666666666666</v>
      </c>
      <c r="AH10" s="192">
        <v>0</v>
      </c>
      <c r="AJ10" s="42"/>
      <c r="AK10" s="42"/>
      <c r="AL10" s="42"/>
    </row>
    <row r="11" spans="1:39" s="19" customFormat="1" x14ac:dyDescent="0.2">
      <c r="B11" s="112" t="s">
        <v>105</v>
      </c>
      <c r="G11" s="19" t="s">
        <v>106</v>
      </c>
      <c r="I11" s="232"/>
      <c r="J11" s="144"/>
      <c r="K11" s="144"/>
      <c r="L11" s="144"/>
      <c r="M11" s="144"/>
      <c r="N11" s="144"/>
      <c r="O11" s="192">
        <v>0</v>
      </c>
      <c r="P11" s="192"/>
      <c r="Q11" s="192"/>
      <c r="R11" s="192"/>
      <c r="S11" s="369"/>
      <c r="T11" s="369">
        <v>0</v>
      </c>
      <c r="U11" s="369"/>
      <c r="V11" s="369"/>
      <c r="W11" s="227"/>
      <c r="X11" s="24"/>
      <c r="Y11" s="25"/>
      <c r="Z11" s="25"/>
      <c r="AA11" s="24"/>
      <c r="AB11" s="25"/>
      <c r="AC11" s="25"/>
      <c r="AG11" s="378">
        <f>+T270</f>
        <v>0.59095238095238101</v>
      </c>
      <c r="AH11" s="192">
        <v>0</v>
      </c>
      <c r="AJ11" s="42"/>
      <c r="AK11" s="42"/>
      <c r="AL11" s="42"/>
    </row>
    <row r="12" spans="1:39" s="19" customFormat="1" x14ac:dyDescent="0.2">
      <c r="B12" s="112" t="s">
        <v>107</v>
      </c>
      <c r="C12" s="19" t="s">
        <v>96</v>
      </c>
      <c r="D12" s="19">
        <v>5</v>
      </c>
      <c r="E12" s="19" t="s">
        <v>108</v>
      </c>
      <c r="G12" s="37" t="s">
        <v>27</v>
      </c>
      <c r="I12" s="232"/>
      <c r="J12" s="144"/>
      <c r="K12" s="144"/>
      <c r="L12" s="144"/>
      <c r="M12" s="144"/>
      <c r="N12" s="144"/>
      <c r="O12" s="192">
        <v>0</v>
      </c>
      <c r="P12" s="192"/>
      <c r="Q12" s="192"/>
      <c r="R12" s="192"/>
      <c r="S12" s="369" t="s">
        <v>27</v>
      </c>
      <c r="T12" s="369">
        <v>0</v>
      </c>
      <c r="U12" s="369"/>
      <c r="V12" s="369"/>
      <c r="W12" s="227"/>
      <c r="X12" s="24"/>
      <c r="Y12" s="25"/>
      <c r="Z12" s="25"/>
      <c r="AA12" s="24"/>
      <c r="AB12" s="25"/>
      <c r="AC12" s="25"/>
      <c r="AG12" s="378">
        <f>+T332</f>
        <v>0.10526315789473684</v>
      </c>
      <c r="AH12" s="192">
        <v>0</v>
      </c>
      <c r="AJ12" s="42"/>
      <c r="AK12" s="42"/>
      <c r="AL12" s="42"/>
    </row>
    <row r="13" spans="1:39" s="19" customFormat="1" x14ac:dyDescent="0.2">
      <c r="A13" s="19" t="s">
        <v>27</v>
      </c>
      <c r="B13" s="112" t="s">
        <v>109</v>
      </c>
      <c r="C13" s="19" t="s">
        <v>101</v>
      </c>
      <c r="D13" s="19">
        <v>5</v>
      </c>
      <c r="F13" s="19" t="s">
        <v>103</v>
      </c>
      <c r="I13" s="232"/>
      <c r="J13" s="144"/>
      <c r="K13" s="144"/>
      <c r="L13" s="144">
        <v>1</v>
      </c>
      <c r="M13" s="145">
        <v>1</v>
      </c>
      <c r="N13" s="145">
        <v>3</v>
      </c>
      <c r="O13" s="719">
        <v>1</v>
      </c>
      <c r="P13" s="192"/>
      <c r="Q13" s="192"/>
      <c r="R13" s="192"/>
      <c r="S13" s="369">
        <v>0</v>
      </c>
      <c r="T13" s="369">
        <v>0</v>
      </c>
      <c r="U13" s="369"/>
      <c r="V13" s="369"/>
      <c r="W13" s="227"/>
      <c r="X13" s="24" t="s">
        <v>92</v>
      </c>
      <c r="Y13" s="25"/>
      <c r="Z13" s="25"/>
      <c r="AA13" s="24"/>
      <c r="AB13" s="716" t="s">
        <v>27</v>
      </c>
      <c r="AC13" s="25"/>
      <c r="AG13" s="385">
        <f>+T395</f>
        <v>8.3333333333333329E-2</v>
      </c>
      <c r="AH13" s="192">
        <v>0</v>
      </c>
      <c r="AJ13" s="42"/>
      <c r="AK13" s="42"/>
      <c r="AL13" s="42"/>
    </row>
    <row r="14" spans="1:39" s="19" customFormat="1" x14ac:dyDescent="0.2">
      <c r="A14" s="19" t="s">
        <v>27</v>
      </c>
      <c r="B14" s="112" t="s">
        <v>110</v>
      </c>
      <c r="C14" s="19" t="s">
        <v>101</v>
      </c>
      <c r="D14" s="19">
        <v>5</v>
      </c>
      <c r="F14" s="19" t="s">
        <v>103</v>
      </c>
      <c r="I14" s="232"/>
      <c r="J14" s="144"/>
      <c r="K14" s="144"/>
      <c r="L14" s="144"/>
      <c r="M14" s="144"/>
      <c r="N14" s="144"/>
      <c r="O14" s="719">
        <v>1</v>
      </c>
      <c r="P14" s="192"/>
      <c r="Q14" s="192"/>
      <c r="R14" s="192"/>
      <c r="S14" s="369" t="s">
        <v>27</v>
      </c>
      <c r="T14" s="380">
        <f>AVERAGE(T6:T13)</f>
        <v>6.25E-2</v>
      </c>
      <c r="U14" s="380"/>
      <c r="V14" s="380">
        <f>STDEV(T6:T13)/(SQRT(COUNT(T6:T13)))</f>
        <v>4.0915854419248568E-2</v>
      </c>
      <c r="W14" s="227"/>
      <c r="X14" s="24" t="s">
        <v>92</v>
      </c>
      <c r="Y14" s="25"/>
      <c r="Z14" s="25" t="s">
        <v>93</v>
      </c>
      <c r="AA14" s="24"/>
      <c r="AB14" s="25"/>
      <c r="AC14" s="25"/>
      <c r="AG14" s="385">
        <f>+T460</f>
        <v>0.15</v>
      </c>
      <c r="AH14" s="192">
        <v>0</v>
      </c>
      <c r="AJ14" s="42"/>
      <c r="AK14" s="42"/>
      <c r="AL14" s="42"/>
    </row>
    <row r="15" spans="1:39" s="19" customFormat="1" x14ac:dyDescent="0.2">
      <c r="A15" s="19" t="s">
        <v>27</v>
      </c>
      <c r="B15" s="112" t="s">
        <v>111</v>
      </c>
      <c r="C15" s="19" t="s">
        <v>101</v>
      </c>
      <c r="D15" s="19">
        <v>5</v>
      </c>
      <c r="F15" s="19" t="s">
        <v>103</v>
      </c>
      <c r="I15" s="232"/>
      <c r="J15" s="144"/>
      <c r="K15" s="144"/>
      <c r="L15" s="144"/>
      <c r="M15" s="144"/>
      <c r="N15" s="144"/>
      <c r="O15" s="719">
        <v>0</v>
      </c>
      <c r="P15" s="192"/>
      <c r="Q15" s="192"/>
      <c r="R15" s="192"/>
      <c r="S15" s="369"/>
      <c r="T15" s="369"/>
      <c r="U15" s="369"/>
      <c r="V15" s="369"/>
      <c r="W15" s="227"/>
      <c r="X15" s="24"/>
      <c r="Y15" s="25"/>
      <c r="Z15" s="25"/>
      <c r="AA15" s="24"/>
      <c r="AB15" s="25"/>
      <c r="AC15" s="25"/>
      <c r="AG15" s="385">
        <f>+T539</f>
        <v>8.3333333333333329E-2</v>
      </c>
      <c r="AH15" s="192">
        <v>0</v>
      </c>
      <c r="AJ15" s="42"/>
      <c r="AK15" s="42"/>
      <c r="AL15" s="42"/>
    </row>
    <row r="16" spans="1:39" s="19" customFormat="1" x14ac:dyDescent="0.2">
      <c r="A16" s="19" t="s">
        <v>27</v>
      </c>
      <c r="B16" s="112" t="s">
        <v>112</v>
      </c>
      <c r="C16" s="19" t="s">
        <v>101</v>
      </c>
      <c r="D16" s="19">
        <v>5</v>
      </c>
      <c r="F16" s="19" t="s">
        <v>103</v>
      </c>
      <c r="G16" s="37" t="s">
        <v>113</v>
      </c>
      <c r="I16" s="232"/>
      <c r="J16" s="144"/>
      <c r="K16" s="144"/>
      <c r="L16" s="144">
        <v>1</v>
      </c>
      <c r="M16" s="144">
        <v>0</v>
      </c>
      <c r="N16" s="145">
        <v>2</v>
      </c>
      <c r="O16" s="192">
        <v>0</v>
      </c>
      <c r="P16" s="192"/>
      <c r="Q16" s="192"/>
      <c r="R16" s="192"/>
      <c r="S16" s="369">
        <v>0</v>
      </c>
      <c r="T16" s="369"/>
      <c r="U16" s="369"/>
      <c r="V16" s="369"/>
      <c r="W16" s="227"/>
      <c r="X16" s="24"/>
      <c r="Y16" s="25"/>
      <c r="Z16" s="25"/>
      <c r="AA16" s="24"/>
      <c r="AB16" s="25"/>
      <c r="AC16" s="25"/>
      <c r="AG16" s="385">
        <f>+T612</f>
        <v>0</v>
      </c>
      <c r="AH16" s="192">
        <v>0</v>
      </c>
      <c r="AJ16" s="42"/>
      <c r="AK16" s="42"/>
      <c r="AL16" s="42"/>
    </row>
    <row r="17" spans="1:38" s="19" customFormat="1" x14ac:dyDescent="0.2">
      <c r="B17" s="112" t="s">
        <v>114</v>
      </c>
      <c r="I17" s="232"/>
      <c r="J17" s="144"/>
      <c r="K17" s="144"/>
      <c r="L17" s="144"/>
      <c r="M17" s="144"/>
      <c r="N17" s="144"/>
      <c r="O17" s="192">
        <v>0</v>
      </c>
      <c r="P17" s="192"/>
      <c r="Q17" s="192"/>
      <c r="R17" s="192"/>
      <c r="S17" s="369" t="s">
        <v>27</v>
      </c>
      <c r="T17" s="369"/>
      <c r="U17" s="369"/>
      <c r="V17" s="369"/>
      <c r="W17" s="227"/>
      <c r="X17" s="56"/>
      <c r="Y17" s="57"/>
      <c r="Z17" s="57"/>
      <c r="AA17" s="56"/>
      <c r="AB17" s="57"/>
      <c r="AC17" s="57"/>
      <c r="AG17" s="385">
        <f>+T718</f>
        <v>0</v>
      </c>
      <c r="AH17" s="192">
        <v>0</v>
      </c>
      <c r="AJ17" s="42"/>
      <c r="AK17" s="42"/>
      <c r="AL17" s="42"/>
    </row>
    <row r="18" spans="1:38" s="19" customFormat="1" x14ac:dyDescent="0.2">
      <c r="B18" s="112" t="s">
        <v>115</v>
      </c>
      <c r="C18" s="37" t="s">
        <v>96</v>
      </c>
      <c r="I18" s="37"/>
      <c r="J18" s="144"/>
      <c r="K18" s="144"/>
      <c r="L18" s="144">
        <v>1</v>
      </c>
      <c r="M18" s="144">
        <v>1</v>
      </c>
      <c r="N18" s="145">
        <v>4</v>
      </c>
      <c r="O18" s="192">
        <v>0</v>
      </c>
      <c r="P18" s="192"/>
      <c r="Q18" s="192"/>
      <c r="R18" s="192"/>
      <c r="S18" s="369">
        <v>0.25</v>
      </c>
      <c r="T18" s="369"/>
      <c r="U18" s="369"/>
      <c r="V18" s="369"/>
      <c r="W18" s="227"/>
      <c r="X18" s="126"/>
      <c r="Y18" s="127"/>
      <c r="Z18" s="127"/>
      <c r="AA18" s="126"/>
      <c r="AB18" s="127"/>
      <c r="AC18" s="127"/>
      <c r="AH18" s="192">
        <v>0</v>
      </c>
      <c r="AJ18" s="42"/>
      <c r="AK18" s="42"/>
      <c r="AL18" s="42"/>
    </row>
    <row r="19" spans="1:38" s="19" customFormat="1" x14ac:dyDescent="0.2">
      <c r="B19" s="112" t="s">
        <v>116</v>
      </c>
      <c r="C19" s="37" t="s">
        <v>96</v>
      </c>
      <c r="I19" s="37"/>
      <c r="J19" s="144"/>
      <c r="K19" s="144"/>
      <c r="L19" s="144"/>
      <c r="M19" s="144"/>
      <c r="N19" s="144"/>
      <c r="O19" s="192">
        <v>0</v>
      </c>
      <c r="P19" s="192"/>
      <c r="Q19" s="192"/>
      <c r="R19" s="192"/>
      <c r="S19" s="369"/>
      <c r="T19" s="369"/>
      <c r="U19" s="369"/>
      <c r="V19" s="369"/>
      <c r="W19" s="227"/>
      <c r="X19" s="126"/>
      <c r="Y19" s="127"/>
      <c r="Z19" s="127"/>
      <c r="AA19" s="126"/>
      <c r="AB19" s="127"/>
      <c r="AC19" s="127"/>
      <c r="AH19" s="192">
        <v>0</v>
      </c>
      <c r="AJ19" s="42"/>
      <c r="AK19" s="42"/>
      <c r="AL19" s="42"/>
    </row>
    <row r="20" spans="1:38" s="19" customFormat="1" x14ac:dyDescent="0.2">
      <c r="B20" s="112" t="s">
        <v>117</v>
      </c>
      <c r="C20" s="37" t="s">
        <v>96</v>
      </c>
      <c r="I20" s="37"/>
      <c r="J20" s="144"/>
      <c r="K20" s="144"/>
      <c r="L20" s="144"/>
      <c r="M20" s="144"/>
      <c r="N20" s="144"/>
      <c r="O20" s="192">
        <v>0</v>
      </c>
      <c r="P20" s="192"/>
      <c r="Q20" s="192"/>
      <c r="R20" s="192"/>
      <c r="S20" s="369"/>
      <c r="T20" s="369"/>
      <c r="U20" s="369"/>
      <c r="V20" s="369"/>
      <c r="W20" s="227"/>
      <c r="X20" s="126"/>
      <c r="Y20" s="127"/>
      <c r="Z20" s="127"/>
      <c r="AA20" s="126"/>
      <c r="AB20" s="127"/>
      <c r="AC20" s="127"/>
      <c r="AH20" s="192">
        <v>0</v>
      </c>
      <c r="AJ20" s="42"/>
      <c r="AK20" s="42"/>
      <c r="AL20" s="42"/>
    </row>
    <row r="21" spans="1:38" s="19" customFormat="1" x14ac:dyDescent="0.2">
      <c r="B21" s="112" t="s">
        <v>118</v>
      </c>
      <c r="C21" s="37"/>
      <c r="I21" s="37"/>
      <c r="J21" s="144"/>
      <c r="K21" s="144"/>
      <c r="L21" s="144"/>
      <c r="M21" s="144"/>
      <c r="N21" s="144"/>
      <c r="O21" s="192">
        <v>1</v>
      </c>
      <c r="P21" s="192"/>
      <c r="Q21" s="192"/>
      <c r="R21" s="192"/>
      <c r="S21" s="369"/>
      <c r="T21" s="369"/>
      <c r="U21" s="369"/>
      <c r="V21" s="369"/>
      <c r="W21" s="227"/>
      <c r="X21" s="126"/>
      <c r="Y21" s="127"/>
      <c r="Z21" s="127"/>
      <c r="AA21" s="126"/>
      <c r="AB21" s="127"/>
      <c r="AC21" s="127"/>
      <c r="AH21" s="192">
        <v>1</v>
      </c>
      <c r="AJ21" s="42"/>
      <c r="AK21" s="42"/>
      <c r="AL21" s="42"/>
    </row>
    <row r="22" spans="1:38" s="19" customFormat="1" x14ac:dyDescent="0.2">
      <c r="A22" s="19">
        <v>3</v>
      </c>
      <c r="B22" s="112" t="s">
        <v>119</v>
      </c>
      <c r="C22" s="19" t="s">
        <v>120</v>
      </c>
      <c r="D22" s="19">
        <v>10</v>
      </c>
      <c r="E22" s="19" t="s">
        <v>121</v>
      </c>
      <c r="F22" s="19" t="s">
        <v>103</v>
      </c>
      <c r="I22" s="37"/>
      <c r="J22" s="144"/>
      <c r="K22" s="144">
        <v>1</v>
      </c>
      <c r="L22" s="144">
        <v>1</v>
      </c>
      <c r="M22" s="144">
        <v>0</v>
      </c>
      <c r="N22" s="144">
        <v>7</v>
      </c>
      <c r="O22" s="192">
        <v>0</v>
      </c>
      <c r="P22" s="192"/>
      <c r="Q22" s="192"/>
      <c r="R22" s="192"/>
      <c r="S22" s="369">
        <v>0</v>
      </c>
      <c r="T22" s="369"/>
      <c r="U22" s="369"/>
      <c r="V22" s="369"/>
      <c r="W22" s="227"/>
      <c r="X22" s="126"/>
      <c r="Y22" s="127"/>
      <c r="Z22" s="127"/>
      <c r="AA22" s="126"/>
      <c r="AB22" s="127"/>
      <c r="AC22" s="127"/>
      <c r="AH22" s="192">
        <v>0</v>
      </c>
      <c r="AJ22" s="42"/>
      <c r="AK22" s="42"/>
      <c r="AL22" s="42"/>
    </row>
    <row r="23" spans="1:38" s="19" customFormat="1" x14ac:dyDescent="0.2">
      <c r="B23" s="112" t="s">
        <v>122</v>
      </c>
      <c r="G23" s="19" t="s">
        <v>123</v>
      </c>
      <c r="I23" s="37"/>
      <c r="J23" s="144"/>
      <c r="K23" s="144"/>
      <c r="L23" s="144"/>
      <c r="M23" s="144"/>
      <c r="N23" s="144"/>
      <c r="O23" s="192">
        <v>0</v>
      </c>
      <c r="P23" s="192"/>
      <c r="Q23" s="192"/>
      <c r="R23" s="192"/>
      <c r="S23" s="369" t="s">
        <v>27</v>
      </c>
      <c r="T23" s="369"/>
      <c r="U23" s="369"/>
      <c r="V23" s="369"/>
      <c r="W23" s="227"/>
      <c r="X23" s="126"/>
      <c r="Y23" s="127"/>
      <c r="Z23" s="127"/>
      <c r="AA23" s="126"/>
      <c r="AB23" s="127"/>
      <c r="AC23" s="127"/>
      <c r="AH23" s="192">
        <v>0</v>
      </c>
      <c r="AJ23" s="42"/>
      <c r="AK23" s="42"/>
      <c r="AL23" s="42"/>
    </row>
    <row r="24" spans="1:38" s="19" customFormat="1" x14ac:dyDescent="0.2">
      <c r="B24" s="112" t="s">
        <v>124</v>
      </c>
      <c r="G24" s="19" t="s">
        <v>123</v>
      </c>
      <c r="I24" s="37"/>
      <c r="J24" s="144"/>
      <c r="K24" s="144"/>
      <c r="L24" s="144"/>
      <c r="M24" s="144"/>
      <c r="N24" s="144"/>
      <c r="O24" s="192">
        <v>0</v>
      </c>
      <c r="P24" s="192"/>
      <c r="Q24" s="192"/>
      <c r="R24" s="192"/>
      <c r="S24" s="369"/>
      <c r="T24" s="369"/>
      <c r="U24" s="369"/>
      <c r="V24" s="369"/>
      <c r="W24" s="227"/>
      <c r="X24" s="126"/>
      <c r="Y24" s="127"/>
      <c r="Z24" s="127"/>
      <c r="AA24" s="126"/>
      <c r="AB24" s="127"/>
      <c r="AC24" s="127"/>
      <c r="AH24" s="192">
        <v>0</v>
      </c>
      <c r="AJ24" s="42"/>
      <c r="AK24" s="42"/>
      <c r="AL24" s="42"/>
    </row>
    <row r="25" spans="1:38" s="19" customFormat="1" x14ac:dyDescent="0.2">
      <c r="B25" s="112" t="s">
        <v>125</v>
      </c>
      <c r="C25" s="37" t="s">
        <v>96</v>
      </c>
      <c r="D25" s="37">
        <v>5</v>
      </c>
      <c r="E25" s="37" t="s">
        <v>97</v>
      </c>
      <c r="G25" s="37" t="s">
        <v>126</v>
      </c>
      <c r="J25" s="144"/>
      <c r="K25" s="144"/>
      <c r="L25" s="144" t="s">
        <v>27</v>
      </c>
      <c r="M25" s="144" t="s">
        <v>27</v>
      </c>
      <c r="N25" s="145" t="s">
        <v>27</v>
      </c>
      <c r="O25" s="192">
        <v>0</v>
      </c>
      <c r="P25" s="192"/>
      <c r="Q25" s="192"/>
      <c r="R25" s="192"/>
      <c r="S25" s="369"/>
      <c r="T25" s="369"/>
      <c r="U25" s="369"/>
      <c r="V25" s="369"/>
      <c r="W25" s="227"/>
      <c r="X25" s="29"/>
      <c r="Y25" s="30"/>
      <c r="Z25" s="30"/>
      <c r="AA25" s="29"/>
      <c r="AB25" s="30"/>
      <c r="AC25" s="30"/>
      <c r="AH25" s="192">
        <v>0</v>
      </c>
      <c r="AJ25" s="42"/>
      <c r="AK25" s="42"/>
      <c r="AL25" s="42"/>
    </row>
    <row r="26" spans="1:38" s="19" customFormat="1" x14ac:dyDescent="0.2">
      <c r="B26" s="112" t="s">
        <v>127</v>
      </c>
      <c r="C26" s="37" t="s">
        <v>96</v>
      </c>
      <c r="D26" s="37">
        <v>5</v>
      </c>
      <c r="E26" s="37" t="s">
        <v>97</v>
      </c>
      <c r="G26" s="37" t="s">
        <v>126</v>
      </c>
      <c r="J26" s="144"/>
      <c r="K26" s="144"/>
      <c r="L26" s="144"/>
      <c r="M26" s="144"/>
      <c r="N26" s="144"/>
      <c r="O26" s="192">
        <v>0</v>
      </c>
      <c r="P26" s="192"/>
      <c r="Q26" s="192"/>
      <c r="R26" s="192"/>
      <c r="S26" s="369" t="s">
        <v>27</v>
      </c>
      <c r="T26" s="369"/>
      <c r="U26" s="369"/>
      <c r="V26" s="369"/>
      <c r="W26" s="227"/>
      <c r="X26" s="29"/>
      <c r="Y26" s="30"/>
      <c r="Z26" s="30"/>
      <c r="AA26" s="29"/>
      <c r="AB26" s="30"/>
      <c r="AC26" s="30"/>
      <c r="AH26" s="192">
        <v>0</v>
      </c>
      <c r="AJ26" s="42"/>
      <c r="AK26" s="42"/>
      <c r="AL26" s="42"/>
    </row>
    <row r="27" spans="1:38" s="19" customFormat="1" x14ac:dyDescent="0.2">
      <c r="B27" s="112" t="s">
        <v>128</v>
      </c>
      <c r="C27" s="37" t="s">
        <v>96</v>
      </c>
      <c r="D27" s="37">
        <v>5</v>
      </c>
      <c r="E27" s="37" t="s">
        <v>97</v>
      </c>
      <c r="G27" s="37" t="s">
        <v>126</v>
      </c>
      <c r="J27" s="144"/>
      <c r="K27" s="144"/>
      <c r="L27" s="144"/>
      <c r="M27" s="144"/>
      <c r="N27" s="144"/>
      <c r="O27" s="192">
        <v>0</v>
      </c>
      <c r="P27" s="192"/>
      <c r="Q27" s="192"/>
      <c r="R27" s="192"/>
      <c r="S27" s="369"/>
      <c r="T27" s="369"/>
      <c r="U27" s="369"/>
      <c r="V27" s="369"/>
      <c r="W27" s="227"/>
      <c r="X27" s="29"/>
      <c r="Y27" s="30"/>
      <c r="Z27" s="30"/>
      <c r="AA27" s="29"/>
      <c r="AB27" s="30"/>
      <c r="AC27" s="30"/>
      <c r="AH27" s="192">
        <v>0</v>
      </c>
      <c r="AJ27" s="42"/>
      <c r="AK27" s="42"/>
      <c r="AL27" s="42"/>
    </row>
    <row r="28" spans="1:38" s="19" customFormat="1" x14ac:dyDescent="0.2">
      <c r="B28" s="112" t="s">
        <v>129</v>
      </c>
      <c r="C28" s="37" t="s">
        <v>96</v>
      </c>
      <c r="D28" s="37">
        <v>5</v>
      </c>
      <c r="E28" s="37" t="s">
        <v>97</v>
      </c>
      <c r="J28" s="144"/>
      <c r="K28" s="144"/>
      <c r="L28" s="144">
        <v>1</v>
      </c>
      <c r="M28" s="144">
        <v>0</v>
      </c>
      <c r="N28" s="145">
        <v>3</v>
      </c>
      <c r="O28" s="192">
        <v>0</v>
      </c>
      <c r="P28" s="192"/>
      <c r="Q28" s="192"/>
      <c r="R28" s="192"/>
      <c r="S28" s="369">
        <v>0</v>
      </c>
      <c r="T28" s="369"/>
      <c r="U28" s="369"/>
      <c r="V28" s="369"/>
      <c r="W28" s="227"/>
      <c r="X28" s="29"/>
      <c r="Y28" s="30"/>
      <c r="Z28" s="30"/>
      <c r="AA28" s="29"/>
      <c r="AB28" s="30"/>
      <c r="AC28" s="30"/>
      <c r="AH28" s="192">
        <v>0</v>
      </c>
      <c r="AJ28" s="42"/>
      <c r="AK28" s="42"/>
      <c r="AL28" s="42"/>
    </row>
    <row r="29" spans="1:38" s="19" customFormat="1" x14ac:dyDescent="0.2">
      <c r="B29" s="112" t="s">
        <v>130</v>
      </c>
      <c r="C29" s="37" t="s">
        <v>96</v>
      </c>
      <c r="D29" s="37">
        <v>5</v>
      </c>
      <c r="E29" s="37" t="s">
        <v>108</v>
      </c>
      <c r="J29" s="144"/>
      <c r="K29" s="144"/>
      <c r="L29" s="144" t="s">
        <v>27</v>
      </c>
      <c r="M29" s="144"/>
      <c r="N29" s="144"/>
      <c r="O29" s="192">
        <v>0</v>
      </c>
      <c r="P29" s="192"/>
      <c r="Q29" s="192"/>
      <c r="R29" s="192"/>
      <c r="S29" s="369" t="s">
        <v>27</v>
      </c>
      <c r="T29" s="369"/>
      <c r="U29" s="369"/>
      <c r="V29" s="369"/>
      <c r="W29" s="227"/>
      <c r="X29" s="29"/>
      <c r="Y29" s="30"/>
      <c r="Z29" s="30"/>
      <c r="AA29" s="29"/>
      <c r="AB29" s="30"/>
      <c r="AC29" s="30"/>
      <c r="AH29" s="192">
        <v>0</v>
      </c>
      <c r="AJ29" s="42"/>
      <c r="AK29" s="42"/>
      <c r="AL29" s="42"/>
    </row>
    <row r="30" spans="1:38" s="19" customFormat="1" x14ac:dyDescent="0.2">
      <c r="B30" s="112" t="s">
        <v>131</v>
      </c>
      <c r="C30" s="37" t="s">
        <v>96</v>
      </c>
      <c r="D30" s="37">
        <v>5</v>
      </c>
      <c r="E30" s="37" t="s">
        <v>108</v>
      </c>
      <c r="J30" s="144"/>
      <c r="K30" s="144"/>
      <c r="L30" s="144"/>
      <c r="M30" s="144"/>
      <c r="N30" s="144"/>
      <c r="O30" s="192">
        <v>0</v>
      </c>
      <c r="P30" s="192"/>
      <c r="Q30" s="192"/>
      <c r="R30" s="192"/>
      <c r="S30" s="369"/>
      <c r="T30" s="369"/>
      <c r="U30" s="369"/>
      <c r="V30" s="369"/>
      <c r="W30" s="227"/>
      <c r="X30" s="29"/>
      <c r="Y30" s="30"/>
      <c r="Z30" s="30"/>
      <c r="AA30" s="29"/>
      <c r="AB30" s="30"/>
      <c r="AC30" s="30"/>
      <c r="AH30" s="192">
        <v>0</v>
      </c>
      <c r="AJ30" s="42"/>
      <c r="AK30" s="42"/>
      <c r="AL30" s="42"/>
    </row>
    <row r="31" spans="1:38" s="19" customFormat="1" x14ac:dyDescent="0.2">
      <c r="B31" s="112" t="s">
        <v>132</v>
      </c>
      <c r="C31" s="37" t="s">
        <v>96</v>
      </c>
      <c r="D31" s="37">
        <v>5</v>
      </c>
      <c r="E31" s="37" t="s">
        <v>108</v>
      </c>
      <c r="J31" s="144"/>
      <c r="K31" s="144"/>
      <c r="L31" s="144">
        <v>1</v>
      </c>
      <c r="M31" s="144">
        <v>0</v>
      </c>
      <c r="N31" s="145">
        <v>6</v>
      </c>
      <c r="O31" s="192">
        <v>0</v>
      </c>
      <c r="P31" s="192"/>
      <c r="Q31" s="192"/>
      <c r="R31" s="192"/>
      <c r="S31" s="369">
        <v>0</v>
      </c>
      <c r="T31" s="369"/>
      <c r="U31" s="369"/>
      <c r="V31" s="369"/>
      <c r="W31" s="227"/>
      <c r="X31" s="29"/>
      <c r="Y31" s="30"/>
      <c r="Z31" s="30"/>
      <c r="AA31" s="29"/>
      <c r="AB31" s="30"/>
      <c r="AC31" s="30"/>
      <c r="AH31" s="192">
        <v>0</v>
      </c>
      <c r="AJ31" s="42"/>
      <c r="AK31" s="42"/>
      <c r="AL31" s="42"/>
    </row>
    <row r="32" spans="1:38" s="19" customFormat="1" x14ac:dyDescent="0.2">
      <c r="B32" s="112" t="s">
        <v>133</v>
      </c>
      <c r="C32" s="37" t="s">
        <v>96</v>
      </c>
      <c r="D32" s="37">
        <v>5</v>
      </c>
      <c r="E32" s="37" t="s">
        <v>108</v>
      </c>
      <c r="J32" s="144"/>
      <c r="K32" s="144"/>
      <c r="L32" s="144" t="s">
        <v>27</v>
      </c>
      <c r="M32" s="144"/>
      <c r="N32" s="144"/>
      <c r="O32" s="192">
        <v>0</v>
      </c>
      <c r="P32" s="192"/>
      <c r="Q32" s="192"/>
      <c r="R32" s="192"/>
      <c r="S32" s="369"/>
      <c r="T32" s="369"/>
      <c r="U32" s="369"/>
      <c r="V32" s="369"/>
      <c r="W32" s="227"/>
      <c r="X32" s="29"/>
      <c r="Y32" s="30"/>
      <c r="Z32" s="30"/>
      <c r="AA32" s="29"/>
      <c r="AB32" s="30"/>
      <c r="AC32" s="30"/>
      <c r="AH32" s="192">
        <v>0</v>
      </c>
      <c r="AJ32" s="42"/>
      <c r="AK32" s="42"/>
      <c r="AL32" s="42"/>
    </row>
    <row r="33" spans="1:38" s="19" customFormat="1" x14ac:dyDescent="0.2">
      <c r="B33" s="112" t="s">
        <v>134</v>
      </c>
      <c r="C33" s="37" t="s">
        <v>96</v>
      </c>
      <c r="D33" s="37">
        <v>5</v>
      </c>
      <c r="E33" s="37" t="s">
        <v>108</v>
      </c>
      <c r="J33" s="144"/>
      <c r="K33" s="144"/>
      <c r="L33" s="144"/>
      <c r="M33" s="144"/>
      <c r="N33" s="144"/>
      <c r="O33" s="192">
        <v>0</v>
      </c>
      <c r="P33" s="192"/>
      <c r="Q33" s="192"/>
      <c r="R33" s="192"/>
      <c r="S33" s="369" t="s">
        <v>27</v>
      </c>
      <c r="T33" s="369"/>
      <c r="U33" s="369"/>
      <c r="V33" s="369"/>
      <c r="W33" s="227"/>
      <c r="X33" s="29"/>
      <c r="Y33" s="30"/>
      <c r="Z33" s="30"/>
      <c r="AA33" s="29"/>
      <c r="AB33" s="30"/>
      <c r="AC33" s="30"/>
      <c r="AH33" s="192">
        <v>0</v>
      </c>
      <c r="AJ33" s="42"/>
      <c r="AK33" s="42"/>
      <c r="AL33" s="42"/>
    </row>
    <row r="34" spans="1:38" s="19" customFormat="1" x14ac:dyDescent="0.2">
      <c r="B34" s="112" t="s">
        <v>135</v>
      </c>
      <c r="C34" s="37" t="s">
        <v>96</v>
      </c>
      <c r="D34" s="37">
        <v>5</v>
      </c>
      <c r="E34" s="37" t="s">
        <v>108</v>
      </c>
      <c r="J34" s="144"/>
      <c r="K34" s="144"/>
      <c r="L34" s="144" t="s">
        <v>27</v>
      </c>
      <c r="M34" s="144" t="s">
        <v>27</v>
      </c>
      <c r="N34" s="145" t="s">
        <v>27</v>
      </c>
      <c r="O34" s="192">
        <v>0</v>
      </c>
      <c r="P34" s="192"/>
      <c r="Q34" s="192"/>
      <c r="R34" s="192"/>
      <c r="S34" s="369" t="s">
        <v>27</v>
      </c>
      <c r="T34" s="369"/>
      <c r="U34" s="369"/>
      <c r="V34" s="369"/>
      <c r="W34" s="227"/>
      <c r="X34" s="29"/>
      <c r="Y34" s="30"/>
      <c r="Z34" s="30"/>
      <c r="AA34" s="29"/>
      <c r="AB34" s="30"/>
      <c r="AC34" s="30"/>
      <c r="AH34" s="192">
        <v>0</v>
      </c>
      <c r="AJ34" s="42"/>
      <c r="AK34" s="42"/>
      <c r="AL34" s="42"/>
    </row>
    <row r="35" spans="1:38" s="19" customFormat="1" x14ac:dyDescent="0.2">
      <c r="B35" s="112" t="s">
        <v>136</v>
      </c>
      <c r="C35" s="37" t="s">
        <v>96</v>
      </c>
      <c r="D35" s="37">
        <v>5</v>
      </c>
      <c r="E35" s="37" t="s">
        <v>108</v>
      </c>
      <c r="G35" s="37" t="s">
        <v>126</v>
      </c>
      <c r="J35" s="144"/>
      <c r="K35" s="144"/>
      <c r="L35" s="144" t="s">
        <v>27</v>
      </c>
      <c r="M35" s="144"/>
      <c r="N35" s="144"/>
      <c r="O35" s="192">
        <v>0</v>
      </c>
      <c r="P35" s="192"/>
      <c r="Q35" s="192"/>
      <c r="R35" s="192"/>
      <c r="S35" s="369" t="s">
        <v>27</v>
      </c>
      <c r="T35" s="369"/>
      <c r="U35" s="369"/>
      <c r="V35" s="369"/>
      <c r="W35" s="227"/>
      <c r="X35" s="29"/>
      <c r="Y35" s="30"/>
      <c r="Z35" s="30"/>
      <c r="AA35" s="29"/>
      <c r="AB35" s="30"/>
      <c r="AC35" s="30"/>
      <c r="AH35" s="192">
        <v>0</v>
      </c>
      <c r="AJ35" s="42"/>
      <c r="AK35" s="42"/>
      <c r="AL35" s="42"/>
    </row>
    <row r="36" spans="1:38" s="19" customFormat="1" x14ac:dyDescent="0.2">
      <c r="B36" s="112" t="s">
        <v>137</v>
      </c>
      <c r="C36" s="37" t="s">
        <v>96</v>
      </c>
      <c r="D36" s="37">
        <v>5</v>
      </c>
      <c r="E36" s="37" t="s">
        <v>108</v>
      </c>
      <c r="G36" s="37" t="s">
        <v>126</v>
      </c>
      <c r="J36" s="144"/>
      <c r="K36" s="144"/>
      <c r="L36" s="144"/>
      <c r="M36" s="144"/>
      <c r="N36" s="144"/>
      <c r="O36" s="192">
        <v>0</v>
      </c>
      <c r="P36" s="192"/>
      <c r="Q36" s="192"/>
      <c r="R36" s="192"/>
      <c r="S36" s="369"/>
      <c r="T36" s="369"/>
      <c r="U36" s="369"/>
      <c r="V36" s="369"/>
      <c r="W36" s="227"/>
      <c r="X36" s="29"/>
      <c r="Y36" s="30"/>
      <c r="Z36" s="30"/>
      <c r="AA36" s="29"/>
      <c r="AB36" s="30"/>
      <c r="AC36" s="30"/>
      <c r="AH36" s="192">
        <v>0</v>
      </c>
      <c r="AJ36" s="42"/>
      <c r="AK36" s="42"/>
      <c r="AL36" s="42"/>
    </row>
    <row r="37" spans="1:38" s="134" customFormat="1" x14ac:dyDescent="0.2">
      <c r="B37" s="134" t="s">
        <v>1751</v>
      </c>
      <c r="J37" s="146"/>
      <c r="K37" s="146"/>
      <c r="L37" s="146">
        <v>1</v>
      </c>
      <c r="M37" s="146">
        <v>1</v>
      </c>
      <c r="N37" s="146">
        <v>6</v>
      </c>
      <c r="O37" s="146" t="s">
        <v>27</v>
      </c>
      <c r="P37" s="146"/>
      <c r="Q37" s="146"/>
      <c r="R37" s="146"/>
      <c r="S37" s="717"/>
      <c r="T37" s="717"/>
      <c r="U37" s="717"/>
      <c r="V37" s="717"/>
      <c r="W37" s="718"/>
      <c r="X37" s="238"/>
      <c r="Y37" s="239"/>
      <c r="Z37" s="239"/>
      <c r="AA37" s="238"/>
      <c r="AB37" s="239"/>
      <c r="AC37" s="239"/>
      <c r="AH37" s="146"/>
      <c r="AJ37" s="135"/>
      <c r="AK37" s="135"/>
      <c r="AL37" s="146">
        <v>1</v>
      </c>
    </row>
    <row r="38" spans="1:38" s="134" customFormat="1" x14ac:dyDescent="0.2">
      <c r="B38" s="134" t="s">
        <v>1752</v>
      </c>
      <c r="J38" s="146"/>
      <c r="K38" s="146"/>
      <c r="L38" s="146"/>
      <c r="M38" s="146"/>
      <c r="N38" s="146"/>
      <c r="O38" s="146" t="s">
        <v>27</v>
      </c>
      <c r="P38" s="146"/>
      <c r="Q38" s="146"/>
      <c r="R38" s="146"/>
      <c r="S38" s="717"/>
      <c r="T38" s="717"/>
      <c r="U38" s="717"/>
      <c r="V38" s="717"/>
      <c r="W38" s="718"/>
      <c r="X38" s="238"/>
      <c r="Y38" s="239"/>
      <c r="Z38" s="239"/>
      <c r="AA38" s="238"/>
      <c r="AB38" s="239"/>
      <c r="AC38" s="239"/>
      <c r="AH38" s="146"/>
      <c r="AJ38" s="135"/>
      <c r="AK38" s="135"/>
      <c r="AL38" s="146">
        <v>1</v>
      </c>
    </row>
    <row r="39" spans="1:38" s="134" customFormat="1" x14ac:dyDescent="0.2">
      <c r="B39" s="134" t="s">
        <v>1753</v>
      </c>
      <c r="J39" s="146"/>
      <c r="K39" s="146"/>
      <c r="L39" s="146"/>
      <c r="M39" s="146"/>
      <c r="N39" s="146"/>
      <c r="O39" s="146" t="s">
        <v>27</v>
      </c>
      <c r="P39" s="146"/>
      <c r="Q39" s="146"/>
      <c r="R39" s="146"/>
      <c r="S39" s="717"/>
      <c r="T39" s="717"/>
      <c r="U39" s="717"/>
      <c r="V39" s="717"/>
      <c r="W39" s="718"/>
      <c r="X39" s="238" t="s">
        <v>92</v>
      </c>
      <c r="Y39" s="239"/>
      <c r="Z39" s="239"/>
      <c r="AA39" s="238"/>
      <c r="AB39" s="239"/>
      <c r="AC39" s="239"/>
      <c r="AH39" s="146"/>
      <c r="AJ39" s="135"/>
      <c r="AK39" s="135"/>
      <c r="AL39" s="146">
        <v>1</v>
      </c>
    </row>
    <row r="40" spans="1:38" s="134" customFormat="1" x14ac:dyDescent="0.2">
      <c r="B40" s="134" t="s">
        <v>1754</v>
      </c>
      <c r="J40" s="146"/>
      <c r="K40" s="146"/>
      <c r="L40" s="146"/>
      <c r="M40" s="146"/>
      <c r="N40" s="146"/>
      <c r="O40" s="146" t="s">
        <v>27</v>
      </c>
      <c r="P40" s="146"/>
      <c r="Q40" s="146"/>
      <c r="R40" s="146"/>
      <c r="S40" s="717"/>
      <c r="T40" s="717"/>
      <c r="U40" s="717"/>
      <c r="V40" s="717"/>
      <c r="W40" s="718"/>
      <c r="X40" s="238"/>
      <c r="Y40" s="239"/>
      <c r="Z40" s="239"/>
      <c r="AA40" s="238"/>
      <c r="AB40" s="239"/>
      <c r="AC40" s="239"/>
      <c r="AH40" s="146"/>
      <c r="AJ40" s="135"/>
      <c r="AK40" s="135"/>
      <c r="AL40" s="146">
        <v>1</v>
      </c>
    </row>
    <row r="41" spans="1:38" s="134" customFormat="1" x14ac:dyDescent="0.2">
      <c r="B41" s="134" t="s">
        <v>1755</v>
      </c>
      <c r="J41" s="146"/>
      <c r="K41" s="146"/>
      <c r="L41" s="146"/>
      <c r="M41" s="146"/>
      <c r="N41" s="146"/>
      <c r="O41" s="146" t="s">
        <v>27</v>
      </c>
      <c r="P41" s="146"/>
      <c r="Q41" s="146"/>
      <c r="R41" s="146"/>
      <c r="S41" s="717"/>
      <c r="T41" s="717"/>
      <c r="U41" s="717"/>
      <c r="V41" s="717"/>
      <c r="W41" s="718">
        <v>1</v>
      </c>
      <c r="X41" s="238"/>
      <c r="Y41" s="239"/>
      <c r="Z41" s="239"/>
      <c r="AA41" s="238"/>
      <c r="AB41" s="239"/>
      <c r="AC41" s="239"/>
      <c r="AH41" s="146"/>
      <c r="AJ41" s="135"/>
      <c r="AK41" s="135"/>
      <c r="AL41" s="146">
        <v>1</v>
      </c>
    </row>
    <row r="42" spans="1:38" s="134" customFormat="1" x14ac:dyDescent="0.2">
      <c r="B42" s="134" t="s">
        <v>1756</v>
      </c>
      <c r="J42" s="146"/>
      <c r="K42" s="146"/>
      <c r="L42" s="146"/>
      <c r="M42" s="146"/>
      <c r="N42" s="146"/>
      <c r="O42" s="146" t="s">
        <v>27</v>
      </c>
      <c r="P42" s="146"/>
      <c r="Q42" s="146"/>
      <c r="R42" s="146"/>
      <c r="S42" s="717"/>
      <c r="T42" s="717"/>
      <c r="U42" s="717"/>
      <c r="V42" s="717"/>
      <c r="W42" s="718">
        <v>1</v>
      </c>
      <c r="X42" s="238"/>
      <c r="Y42" s="239"/>
      <c r="Z42" s="239"/>
      <c r="AA42" s="238"/>
      <c r="AB42" s="239"/>
      <c r="AC42" s="239"/>
      <c r="AH42" s="146"/>
      <c r="AJ42" s="135"/>
      <c r="AK42" s="135"/>
      <c r="AL42" s="146">
        <v>1</v>
      </c>
    </row>
    <row r="43" spans="1:38" s="134" customFormat="1" x14ac:dyDescent="0.2">
      <c r="A43" s="134" t="s">
        <v>27</v>
      </c>
      <c r="B43" s="134" t="s">
        <v>138</v>
      </c>
      <c r="C43" s="134" t="s">
        <v>96</v>
      </c>
      <c r="D43" s="134">
        <v>5</v>
      </c>
      <c r="E43" s="134" t="s">
        <v>97</v>
      </c>
      <c r="I43" s="19"/>
      <c r="J43" s="146"/>
      <c r="K43" s="146"/>
      <c r="L43" s="146" t="s">
        <v>27</v>
      </c>
      <c r="M43" s="146" t="s">
        <v>27</v>
      </c>
      <c r="N43" s="146" t="s">
        <v>27</v>
      </c>
      <c r="O43" s="192" t="s">
        <v>27</v>
      </c>
      <c r="P43" s="192"/>
      <c r="Q43" s="192"/>
      <c r="R43" s="192"/>
      <c r="S43" s="369" t="s">
        <v>27</v>
      </c>
      <c r="T43" s="369"/>
      <c r="U43" s="369"/>
      <c r="V43" s="369"/>
      <c r="W43" s="227"/>
      <c r="X43" s="29"/>
      <c r="Y43" s="30"/>
      <c r="Z43" s="30"/>
      <c r="AA43" s="29"/>
      <c r="AB43" s="30"/>
      <c r="AC43" s="30"/>
      <c r="AH43" s="190">
        <v>0</v>
      </c>
      <c r="AJ43" s="135"/>
      <c r="AK43" s="135"/>
      <c r="AL43" s="135">
        <v>1</v>
      </c>
    </row>
    <row r="44" spans="1:38" s="134" customFormat="1" x14ac:dyDescent="0.2">
      <c r="B44" s="134" t="s">
        <v>139</v>
      </c>
      <c r="C44" s="134" t="s">
        <v>96</v>
      </c>
      <c r="D44" s="134">
        <v>5</v>
      </c>
      <c r="E44" s="134" t="s">
        <v>97</v>
      </c>
      <c r="I44" s="19"/>
      <c r="J44" s="146"/>
      <c r="K44" s="146"/>
      <c r="L44" s="146" t="s">
        <v>27</v>
      </c>
      <c r="M44" s="146" t="s">
        <v>27</v>
      </c>
      <c r="N44" s="146" t="s">
        <v>27</v>
      </c>
      <c r="O44" s="192" t="s">
        <v>27</v>
      </c>
      <c r="P44" s="192"/>
      <c r="Q44" s="192"/>
      <c r="R44" s="192"/>
      <c r="S44" s="369"/>
      <c r="T44" s="369"/>
      <c r="U44" s="369"/>
      <c r="V44" s="369"/>
      <c r="W44" s="227"/>
      <c r="X44" s="29"/>
      <c r="Y44" s="30"/>
      <c r="Z44" s="30"/>
      <c r="AA44" s="29"/>
      <c r="AB44" s="30"/>
      <c r="AC44" s="30"/>
      <c r="AH44" s="190">
        <v>0</v>
      </c>
      <c r="AJ44" s="135"/>
      <c r="AK44" s="135"/>
      <c r="AL44" s="135">
        <v>1</v>
      </c>
    </row>
    <row r="45" spans="1:38" s="134" customFormat="1" x14ac:dyDescent="0.2">
      <c r="A45" s="134" t="s">
        <v>27</v>
      </c>
      <c r="B45" s="134" t="s">
        <v>140</v>
      </c>
      <c r="C45" s="134" t="s">
        <v>96</v>
      </c>
      <c r="D45" s="134">
        <v>5</v>
      </c>
      <c r="E45" s="134" t="s">
        <v>97</v>
      </c>
      <c r="F45" s="134" t="s">
        <v>141</v>
      </c>
      <c r="I45" s="19"/>
      <c r="J45" s="146"/>
      <c r="K45" s="146" t="s">
        <v>27</v>
      </c>
      <c r="L45" s="146" t="s">
        <v>27</v>
      </c>
      <c r="M45" s="146" t="s">
        <v>27</v>
      </c>
      <c r="N45" s="146" t="s">
        <v>27</v>
      </c>
      <c r="O45" s="192" t="s">
        <v>27</v>
      </c>
      <c r="P45" s="192"/>
      <c r="Q45" s="192"/>
      <c r="R45" s="192"/>
      <c r="S45" s="369"/>
      <c r="T45" s="369"/>
      <c r="U45" s="369"/>
      <c r="V45" s="369"/>
      <c r="W45" s="227"/>
      <c r="X45" s="29"/>
      <c r="Y45" s="30"/>
      <c r="Z45" s="30"/>
      <c r="AA45" s="29"/>
      <c r="AB45" s="30"/>
      <c r="AC45" s="30"/>
      <c r="AH45" s="190">
        <v>0</v>
      </c>
      <c r="AJ45" s="135"/>
      <c r="AK45" s="135"/>
      <c r="AL45" s="135">
        <v>1</v>
      </c>
    </row>
    <row r="46" spans="1:38" s="134" customFormat="1" x14ac:dyDescent="0.2">
      <c r="B46" s="134" t="s">
        <v>142</v>
      </c>
      <c r="C46" s="134" t="s">
        <v>96</v>
      </c>
      <c r="D46" s="134">
        <v>5</v>
      </c>
      <c r="E46" s="134" t="s">
        <v>97</v>
      </c>
      <c r="I46" s="19"/>
      <c r="J46" s="146"/>
      <c r="K46" s="146"/>
      <c r="L46" s="146"/>
      <c r="M46" s="146"/>
      <c r="N46" s="146"/>
      <c r="O46" s="192" t="s">
        <v>27</v>
      </c>
      <c r="P46" s="192"/>
      <c r="Q46" s="192"/>
      <c r="R46" s="192"/>
      <c r="S46" s="369" t="s">
        <v>27</v>
      </c>
      <c r="T46" s="369"/>
      <c r="U46" s="369"/>
      <c r="V46" s="369"/>
      <c r="W46" s="227"/>
      <c r="X46" s="29"/>
      <c r="Y46" s="30"/>
      <c r="Z46" s="30"/>
      <c r="AA46" s="29"/>
      <c r="AB46" s="30"/>
      <c r="AC46" s="30"/>
      <c r="AH46" s="190">
        <v>0</v>
      </c>
      <c r="AJ46" s="135"/>
      <c r="AK46" s="135"/>
      <c r="AL46" s="135">
        <v>1</v>
      </c>
    </row>
    <row r="47" spans="1:38" s="134" customFormat="1" x14ac:dyDescent="0.2">
      <c r="B47" s="134" t="s">
        <v>143</v>
      </c>
      <c r="C47" s="134" t="s">
        <v>96</v>
      </c>
      <c r="D47" s="134">
        <v>5</v>
      </c>
      <c r="E47" s="134" t="s">
        <v>108</v>
      </c>
      <c r="I47" s="19"/>
      <c r="J47" s="146"/>
      <c r="K47" s="146"/>
      <c r="L47" s="146" t="s">
        <v>27</v>
      </c>
      <c r="M47" s="146"/>
      <c r="N47" s="146" t="s">
        <v>27</v>
      </c>
      <c r="O47" s="192" t="s">
        <v>27</v>
      </c>
      <c r="P47" s="192"/>
      <c r="Q47" s="192"/>
      <c r="R47" s="192"/>
      <c r="S47" s="369"/>
      <c r="T47" s="369"/>
      <c r="U47" s="369"/>
      <c r="V47" s="369"/>
      <c r="W47" s="227"/>
      <c r="X47" s="29"/>
      <c r="Y47" s="30"/>
      <c r="Z47" s="30"/>
      <c r="AA47" s="29"/>
      <c r="AB47" s="30"/>
      <c r="AC47" s="30"/>
      <c r="AH47" s="190">
        <v>0</v>
      </c>
      <c r="AJ47" s="135"/>
      <c r="AK47" s="135"/>
      <c r="AL47" s="135">
        <v>1</v>
      </c>
    </row>
    <row r="48" spans="1:38" s="134" customFormat="1" x14ac:dyDescent="0.2">
      <c r="B48" s="134" t="s">
        <v>144</v>
      </c>
      <c r="C48" s="134" t="s">
        <v>96</v>
      </c>
      <c r="D48" s="134">
        <v>5</v>
      </c>
      <c r="E48" s="134" t="s">
        <v>108</v>
      </c>
      <c r="I48" s="19"/>
      <c r="J48" s="146"/>
      <c r="K48" s="146"/>
      <c r="L48" s="146"/>
      <c r="M48" s="146"/>
      <c r="N48" s="146"/>
      <c r="O48" s="192" t="s">
        <v>27</v>
      </c>
      <c r="P48" s="192"/>
      <c r="Q48" s="192"/>
      <c r="R48" s="192"/>
      <c r="S48" s="369" t="s">
        <v>27</v>
      </c>
      <c r="T48" s="369"/>
      <c r="U48" s="369"/>
      <c r="V48" s="369"/>
      <c r="W48" s="227"/>
      <c r="X48" s="29"/>
      <c r="Y48" s="30"/>
      <c r="Z48" s="30"/>
      <c r="AA48" s="29"/>
      <c r="AB48" s="30"/>
      <c r="AC48" s="30"/>
      <c r="AH48" s="190">
        <v>0</v>
      </c>
      <c r="AJ48" s="135"/>
      <c r="AK48" s="135"/>
      <c r="AL48" s="135">
        <v>1</v>
      </c>
    </row>
    <row r="49" spans="1:41" s="284" customFormat="1" x14ac:dyDescent="0.2">
      <c r="A49" s="280" t="s">
        <v>18</v>
      </c>
      <c r="B49" s="280" t="s">
        <v>19</v>
      </c>
      <c r="C49" s="280"/>
      <c r="D49" s="280"/>
      <c r="E49" s="280"/>
      <c r="F49" s="280"/>
      <c r="G49" s="280"/>
      <c r="H49" s="280"/>
      <c r="I49" s="273"/>
      <c r="J49" s="320">
        <v>4</v>
      </c>
      <c r="K49" s="321">
        <f>SUM(K50:K71)/J49</f>
        <v>0.75</v>
      </c>
      <c r="L49" s="320">
        <f>SUM(L50:L69)</f>
        <v>6</v>
      </c>
      <c r="M49" s="326">
        <f>(SUM(M50:M71))/L49</f>
        <v>0.33333333333333331</v>
      </c>
      <c r="N49" s="320">
        <f>SUM(N50:N71)</f>
        <v>31</v>
      </c>
      <c r="O49" s="321">
        <f>COUNTIF(O50:O71,1)/N49</f>
        <v>9.6774193548387094E-2</v>
      </c>
      <c r="P49" s="558">
        <f>AVERAGE(O50:O71)</f>
        <v>0.13636363636363635</v>
      </c>
      <c r="Q49" s="558">
        <f>_xlfn.STDEV.P(O50:O71)</f>
        <v>0.3431742925123068</v>
      </c>
      <c r="R49" s="559">
        <f>STDEV(O50:O71)/(SQRT(COUNT(O50:O71)))</f>
        <v>7.4886770095264912E-2</v>
      </c>
      <c r="S49" s="370">
        <f>+((N50*S50)+(6*S53)+(N59*S59)+(N64*S64)+(3*S66)+(N69*S69))/N49</f>
        <v>9.7096774193548396E-2</v>
      </c>
      <c r="T49" s="370"/>
      <c r="U49" s="370">
        <f>_xlfn.STDEV.P(T50:T55)</f>
        <v>0.2449521243220327</v>
      </c>
      <c r="V49" s="370">
        <f>+V56</f>
        <v>0.10954592024340895</v>
      </c>
      <c r="W49" s="327"/>
      <c r="X49" s="277"/>
      <c r="Y49" s="278"/>
      <c r="Z49" s="278"/>
      <c r="AA49" s="277"/>
      <c r="AB49" s="278"/>
      <c r="AC49" s="278"/>
      <c r="AH49" s="560">
        <v>0</v>
      </c>
      <c r="AJ49" s="328"/>
      <c r="AK49" s="328"/>
      <c r="AL49" s="328"/>
      <c r="AM49" s="280"/>
    </row>
    <row r="50" spans="1:41" x14ac:dyDescent="0.2">
      <c r="A50">
        <v>1</v>
      </c>
      <c r="B50" s="91" t="s">
        <v>145</v>
      </c>
      <c r="E50"/>
      <c r="F50"/>
      <c r="G50" t="s">
        <v>146</v>
      </c>
      <c r="H50"/>
      <c r="I50" s="19"/>
      <c r="J50" s="139"/>
      <c r="K50" s="139">
        <v>1</v>
      </c>
      <c r="L50" s="139">
        <v>1</v>
      </c>
      <c r="M50" s="139">
        <v>0</v>
      </c>
      <c r="N50" s="139">
        <v>12</v>
      </c>
      <c r="O50" s="190">
        <v>0</v>
      </c>
      <c r="R50" s="190" t="s">
        <v>27</v>
      </c>
      <c r="S50" s="369">
        <v>0</v>
      </c>
      <c r="T50" s="369">
        <f>+S50</f>
        <v>0</v>
      </c>
      <c r="U50" s="369"/>
      <c r="V50" s="369"/>
      <c r="W50" s="227"/>
      <c r="X50" s="29"/>
      <c r="Y50" s="30"/>
      <c r="Z50" s="30"/>
      <c r="AA50" s="29"/>
      <c r="AB50" s="30"/>
      <c r="AC50" s="30"/>
      <c r="AH50" s="192">
        <v>1</v>
      </c>
      <c r="AM50" s="18"/>
      <c r="AN50" s="18"/>
      <c r="AO50" s="18"/>
    </row>
    <row r="51" spans="1:41" x14ac:dyDescent="0.2">
      <c r="B51" s="91" t="s">
        <v>147</v>
      </c>
      <c r="E51"/>
      <c r="F51"/>
      <c r="G51" t="s">
        <v>146</v>
      </c>
      <c r="H51"/>
      <c r="I51" s="19"/>
      <c r="J51" s="139"/>
      <c r="K51" s="139"/>
      <c r="L51" s="139"/>
      <c r="M51" s="139" t="s">
        <v>27</v>
      </c>
      <c r="O51" s="190">
        <v>0</v>
      </c>
      <c r="S51" s="369" t="s">
        <v>27</v>
      </c>
      <c r="T51" s="369">
        <f>+S53</f>
        <v>0.16666666666666666</v>
      </c>
      <c r="U51" s="369"/>
      <c r="V51" s="369"/>
      <c r="W51" s="227"/>
      <c r="X51" s="29"/>
      <c r="Y51" s="30"/>
      <c r="Z51" s="30"/>
      <c r="AA51" s="29"/>
      <c r="AB51" s="30"/>
      <c r="AC51" s="30"/>
      <c r="AH51" s="192">
        <v>0</v>
      </c>
      <c r="AM51" s="18"/>
      <c r="AN51" s="18"/>
      <c r="AO51" s="18"/>
    </row>
    <row r="52" spans="1:41" x14ac:dyDescent="0.2">
      <c r="B52" s="91" t="s">
        <v>148</v>
      </c>
      <c r="E52"/>
      <c r="F52"/>
      <c r="G52" t="s">
        <v>126</v>
      </c>
      <c r="H52"/>
      <c r="I52" s="19"/>
      <c r="J52" s="139"/>
      <c r="K52" s="139"/>
      <c r="L52" s="139"/>
      <c r="O52" s="190">
        <v>0</v>
      </c>
      <c r="S52" s="369"/>
      <c r="T52" s="369">
        <f>+S59</f>
        <v>0</v>
      </c>
      <c r="U52" s="369"/>
      <c r="V52" s="369"/>
      <c r="W52" s="227"/>
      <c r="X52" s="29"/>
      <c r="Y52" s="30"/>
      <c r="Z52" s="30"/>
      <c r="AA52" s="29"/>
      <c r="AB52" s="30"/>
      <c r="AC52" s="30"/>
      <c r="AH52" s="192">
        <v>0</v>
      </c>
      <c r="AM52" s="18"/>
      <c r="AN52" s="18"/>
      <c r="AO52" s="18"/>
    </row>
    <row r="53" spans="1:41" x14ac:dyDescent="0.2">
      <c r="B53" s="91" t="s">
        <v>149</v>
      </c>
      <c r="E53"/>
      <c r="F53"/>
      <c r="G53" t="s">
        <v>126</v>
      </c>
      <c r="H53"/>
      <c r="I53" s="19"/>
      <c r="J53" s="139"/>
      <c r="K53" s="139"/>
      <c r="L53" s="139">
        <v>1</v>
      </c>
      <c r="M53" s="139">
        <v>1</v>
      </c>
      <c r="N53" s="139">
        <v>6</v>
      </c>
      <c r="O53" s="190">
        <v>0</v>
      </c>
      <c r="S53" s="369">
        <f>SUM(O53:O58)/N53</f>
        <v>0.16666666666666666</v>
      </c>
      <c r="T53" s="369">
        <f>+S64</f>
        <v>0</v>
      </c>
      <c r="U53" s="369"/>
      <c r="V53" s="369"/>
      <c r="W53" s="227"/>
      <c r="X53" s="29"/>
      <c r="Y53" s="30"/>
      <c r="Z53" s="30"/>
      <c r="AA53" s="29"/>
      <c r="AB53" s="30"/>
      <c r="AC53" s="30"/>
      <c r="AH53" s="192">
        <v>0</v>
      </c>
      <c r="AM53" s="18"/>
      <c r="AN53" s="18"/>
      <c r="AO53" s="18"/>
    </row>
    <row r="54" spans="1:41" x14ac:dyDescent="0.2">
      <c r="B54" s="91" t="s">
        <v>150</v>
      </c>
      <c r="E54"/>
      <c r="F54"/>
      <c r="G54"/>
      <c r="H54"/>
      <c r="I54" s="19"/>
      <c r="J54" s="139"/>
      <c r="K54" s="139"/>
      <c r="L54" s="139" t="s">
        <v>27</v>
      </c>
      <c r="M54" s="139" t="s">
        <v>27</v>
      </c>
      <c r="N54" s="139" t="s">
        <v>27</v>
      </c>
      <c r="O54" s="190">
        <v>0</v>
      </c>
      <c r="S54" s="369"/>
      <c r="T54" s="369">
        <f>+S64</f>
        <v>0</v>
      </c>
      <c r="U54" s="369"/>
      <c r="V54" s="369"/>
      <c r="W54" s="227"/>
      <c r="X54" s="29"/>
      <c r="Y54" s="30"/>
      <c r="Z54" s="30"/>
      <c r="AA54" s="29"/>
      <c r="AB54" s="30"/>
      <c r="AC54" s="30"/>
      <c r="AH54" s="192">
        <v>0</v>
      </c>
      <c r="AM54" s="1"/>
      <c r="AN54" s="1"/>
      <c r="AO54" s="1"/>
    </row>
    <row r="55" spans="1:41" x14ac:dyDescent="0.2">
      <c r="B55" s="91" t="s">
        <v>151</v>
      </c>
      <c r="E55"/>
      <c r="F55"/>
      <c r="G55"/>
      <c r="H55"/>
      <c r="I55" s="19"/>
      <c r="J55" s="139"/>
      <c r="K55" s="139"/>
      <c r="L55" s="139"/>
      <c r="O55" s="190">
        <v>0</v>
      </c>
      <c r="S55" s="369"/>
      <c r="T55" s="369">
        <f>+S69</f>
        <v>0.67</v>
      </c>
      <c r="U55" s="369"/>
      <c r="V55" s="369"/>
      <c r="W55" s="227"/>
      <c r="X55" s="29"/>
      <c r="Y55" s="30"/>
      <c r="Z55" s="30"/>
      <c r="AA55" s="29"/>
      <c r="AB55" s="30"/>
      <c r="AC55" s="30"/>
      <c r="AH55" s="192">
        <v>0</v>
      </c>
      <c r="AM55" s="1"/>
      <c r="AN55" s="1"/>
      <c r="AO55" s="1"/>
    </row>
    <row r="56" spans="1:41" s="19" customFormat="1" x14ac:dyDescent="0.2">
      <c r="A56" s="19" t="s">
        <v>27</v>
      </c>
      <c r="B56" s="112" t="s">
        <v>152</v>
      </c>
      <c r="C56" s="37" t="s">
        <v>96</v>
      </c>
      <c r="D56" s="37">
        <v>5</v>
      </c>
      <c r="E56" s="37" t="s">
        <v>121</v>
      </c>
      <c r="G56" s="37" t="s">
        <v>126</v>
      </c>
      <c r="J56" s="144"/>
      <c r="K56" s="144"/>
      <c r="L56" s="144" t="s">
        <v>27</v>
      </c>
      <c r="M56" s="144" t="s">
        <v>27</v>
      </c>
      <c r="N56" s="144" t="s">
        <v>27</v>
      </c>
      <c r="O56" s="192">
        <v>0</v>
      </c>
      <c r="P56" s="192"/>
      <c r="Q56" s="192"/>
      <c r="R56" s="192"/>
      <c r="S56" s="369" t="s">
        <v>27</v>
      </c>
      <c r="T56" s="378">
        <f>AVERAGE(T50:T55)</f>
        <v>0.13944444444444445</v>
      </c>
      <c r="U56" s="378"/>
      <c r="V56" s="380">
        <f>STDEV(T50:T55)/(SQRT(COUNT(T50:T55)))</f>
        <v>0.10954592024340895</v>
      </c>
      <c r="W56" s="227"/>
      <c r="X56" s="29"/>
      <c r="Y56" s="30"/>
      <c r="Z56" s="30"/>
      <c r="AA56" s="29"/>
      <c r="AB56" s="30"/>
      <c r="AC56" s="30"/>
      <c r="AH56" s="192">
        <v>0</v>
      </c>
      <c r="AJ56" s="42"/>
      <c r="AK56" s="42"/>
      <c r="AL56" s="42"/>
    </row>
    <row r="57" spans="1:41" s="19" customFormat="1" x14ac:dyDescent="0.2">
      <c r="B57" s="112" t="s">
        <v>153</v>
      </c>
      <c r="C57" s="37" t="s">
        <v>96</v>
      </c>
      <c r="D57" s="37">
        <v>5</v>
      </c>
      <c r="E57" s="37" t="s">
        <v>121</v>
      </c>
      <c r="G57" s="37" t="s">
        <v>126</v>
      </c>
      <c r="J57" s="144"/>
      <c r="K57" s="144"/>
      <c r="L57" s="144"/>
      <c r="M57" s="144"/>
      <c r="N57" s="144"/>
      <c r="O57" s="192">
        <v>1</v>
      </c>
      <c r="P57" s="192"/>
      <c r="Q57" s="192"/>
      <c r="R57" s="192"/>
      <c r="S57" s="369"/>
      <c r="T57" s="369"/>
      <c r="U57" s="369"/>
      <c r="V57" s="380" t="s">
        <v>27</v>
      </c>
      <c r="W57" s="227"/>
      <c r="X57" s="29"/>
      <c r="Y57" s="30"/>
      <c r="Z57" s="30"/>
      <c r="AA57" s="29"/>
      <c r="AB57" s="30"/>
      <c r="AC57" s="30"/>
      <c r="AH57" s="190">
        <v>0</v>
      </c>
      <c r="AJ57" s="42"/>
      <c r="AK57" s="42"/>
      <c r="AL57" s="42"/>
    </row>
    <row r="58" spans="1:41" s="19" customFormat="1" x14ac:dyDescent="0.2">
      <c r="B58" s="112" t="s">
        <v>154</v>
      </c>
      <c r="C58" s="37"/>
      <c r="D58" s="37"/>
      <c r="E58" s="37"/>
      <c r="G58" s="19" t="s">
        <v>126</v>
      </c>
      <c r="J58" s="144"/>
      <c r="K58" s="144"/>
      <c r="L58" s="144"/>
      <c r="M58" s="144"/>
      <c r="N58" s="144"/>
      <c r="O58" s="192">
        <v>0</v>
      </c>
      <c r="P58" s="192"/>
      <c r="Q58" s="192"/>
      <c r="R58" s="192"/>
      <c r="S58" s="369"/>
      <c r="T58" s="369"/>
      <c r="U58" s="369"/>
      <c r="V58" s="369"/>
      <c r="W58" s="227"/>
      <c r="X58" s="29"/>
      <c r="Y58" s="30"/>
      <c r="Z58" s="30"/>
      <c r="AA58" s="29"/>
      <c r="AB58" s="30"/>
      <c r="AC58" s="30"/>
      <c r="AH58" s="190">
        <v>0</v>
      </c>
      <c r="AJ58" s="42"/>
      <c r="AK58" s="42"/>
      <c r="AL58" s="42"/>
    </row>
    <row r="59" spans="1:41" s="19" customFormat="1" x14ac:dyDescent="0.2">
      <c r="A59" s="19">
        <v>2</v>
      </c>
      <c r="B59" s="112" t="s">
        <v>155</v>
      </c>
      <c r="C59" s="37" t="s">
        <v>96</v>
      </c>
      <c r="D59" s="37">
        <v>5</v>
      </c>
      <c r="E59" s="37" t="s">
        <v>121</v>
      </c>
      <c r="J59" s="144"/>
      <c r="K59" s="144">
        <v>0</v>
      </c>
      <c r="L59" s="144">
        <v>1</v>
      </c>
      <c r="M59" s="144">
        <v>0</v>
      </c>
      <c r="N59" s="144">
        <v>5</v>
      </c>
      <c r="O59" s="192">
        <v>0</v>
      </c>
      <c r="P59" s="192"/>
      <c r="Q59" s="192"/>
      <c r="R59" s="192"/>
      <c r="S59" s="371">
        <v>0</v>
      </c>
      <c r="T59" s="371"/>
      <c r="U59" s="371"/>
      <c r="V59" s="371"/>
      <c r="W59" s="227"/>
      <c r="X59" s="29"/>
      <c r="Y59" s="30"/>
      <c r="Z59" s="30"/>
      <c r="AA59" s="29"/>
      <c r="AB59" s="30"/>
      <c r="AC59" s="30"/>
      <c r="AH59" s="192">
        <v>0</v>
      </c>
      <c r="AJ59" s="42"/>
      <c r="AK59" s="42"/>
      <c r="AL59" s="42"/>
    </row>
    <row r="60" spans="1:41" s="19" customFormat="1" x14ac:dyDescent="0.2">
      <c r="B60" s="112" t="s">
        <v>156</v>
      </c>
      <c r="C60" s="37" t="s">
        <v>96</v>
      </c>
      <c r="D60" s="37">
        <v>5</v>
      </c>
      <c r="E60" s="37" t="s">
        <v>121</v>
      </c>
      <c r="J60" s="144"/>
      <c r="K60" s="144"/>
      <c r="L60" s="144"/>
      <c r="M60" s="144"/>
      <c r="N60" s="144"/>
      <c r="O60" s="192">
        <v>0</v>
      </c>
      <c r="P60" s="192"/>
      <c r="Q60" s="192"/>
      <c r="R60" s="192"/>
      <c r="S60" s="369" t="s">
        <v>27</v>
      </c>
      <c r="T60" s="369"/>
      <c r="U60" s="369"/>
      <c r="V60" s="369"/>
      <c r="W60" s="227"/>
      <c r="X60" s="29"/>
      <c r="Y60" s="30"/>
      <c r="Z60" s="30"/>
      <c r="AA60" s="29"/>
      <c r="AB60" s="30"/>
      <c r="AC60" s="30"/>
      <c r="AH60" s="192">
        <v>0</v>
      </c>
      <c r="AJ60" s="42"/>
      <c r="AK60" s="42"/>
      <c r="AL60" s="42"/>
    </row>
    <row r="61" spans="1:41" s="19" customFormat="1" x14ac:dyDescent="0.2">
      <c r="B61" s="112" t="s">
        <v>157</v>
      </c>
      <c r="C61" s="37" t="s">
        <v>96</v>
      </c>
      <c r="D61" s="37">
        <v>5</v>
      </c>
      <c r="E61" s="37" t="s">
        <v>121</v>
      </c>
      <c r="J61" s="144"/>
      <c r="K61" s="144"/>
      <c r="L61" s="144"/>
      <c r="M61" s="144"/>
      <c r="N61" s="144"/>
      <c r="O61" s="192">
        <v>0</v>
      </c>
      <c r="P61" s="192"/>
      <c r="Q61" s="192"/>
      <c r="R61" s="192"/>
      <c r="S61" s="369"/>
      <c r="T61" s="369"/>
      <c r="U61" s="369"/>
      <c r="V61" s="369"/>
      <c r="W61" s="227"/>
      <c r="X61" s="29"/>
      <c r="Y61" s="30"/>
      <c r="Z61" s="30"/>
      <c r="AA61" s="29"/>
      <c r="AB61" s="30"/>
      <c r="AC61" s="30"/>
      <c r="AH61" s="192">
        <v>0</v>
      </c>
      <c r="AJ61" s="42"/>
      <c r="AK61" s="42"/>
      <c r="AL61" s="42"/>
    </row>
    <row r="62" spans="1:41" s="19" customFormat="1" x14ac:dyDescent="0.2">
      <c r="B62" s="112" t="s">
        <v>158</v>
      </c>
      <c r="C62" s="37" t="s">
        <v>96</v>
      </c>
      <c r="D62" s="37">
        <v>5</v>
      </c>
      <c r="E62" s="37" t="s">
        <v>121</v>
      </c>
      <c r="J62" s="144"/>
      <c r="K62" s="144"/>
      <c r="L62" s="144" t="s">
        <v>27</v>
      </c>
      <c r="M62" s="144"/>
      <c r="N62" s="144"/>
      <c r="O62" s="192">
        <v>0</v>
      </c>
      <c r="P62" s="192"/>
      <c r="Q62" s="192"/>
      <c r="R62" s="192"/>
      <c r="S62" s="369"/>
      <c r="T62" s="369"/>
      <c r="U62" s="369"/>
      <c r="V62" s="369"/>
      <c r="W62" s="227"/>
      <c r="X62" s="29"/>
      <c r="Y62" s="30"/>
      <c r="Z62" s="30"/>
      <c r="AA62" s="29"/>
      <c r="AB62" s="30"/>
      <c r="AC62" s="30"/>
      <c r="AH62" s="192">
        <v>0</v>
      </c>
      <c r="AJ62" s="42"/>
      <c r="AK62" s="42"/>
      <c r="AL62" s="42"/>
    </row>
    <row r="63" spans="1:41" s="19" customFormat="1" x14ac:dyDescent="0.2">
      <c r="B63" s="112" t="s">
        <v>159</v>
      </c>
      <c r="C63" s="37" t="s">
        <v>96</v>
      </c>
      <c r="D63" s="37">
        <v>5</v>
      </c>
      <c r="E63" s="37" t="s">
        <v>121</v>
      </c>
      <c r="J63" s="144"/>
      <c r="K63" s="144"/>
      <c r="L63" s="144"/>
      <c r="M63" s="144"/>
      <c r="N63" s="144"/>
      <c r="O63" s="192">
        <v>0</v>
      </c>
      <c r="P63" s="192"/>
      <c r="Q63" s="192"/>
      <c r="R63" s="192"/>
      <c r="S63" s="369" t="s">
        <v>27</v>
      </c>
      <c r="T63" s="369"/>
      <c r="U63" s="369"/>
      <c r="V63" s="369"/>
      <c r="W63" s="227"/>
      <c r="X63" s="29"/>
      <c r="Y63" s="30"/>
      <c r="Z63" s="30"/>
      <c r="AA63" s="29"/>
      <c r="AB63" s="30"/>
      <c r="AC63" s="30"/>
      <c r="AH63" s="192">
        <v>1</v>
      </c>
      <c r="AJ63" s="42"/>
      <c r="AK63" s="42"/>
      <c r="AL63" s="42"/>
    </row>
    <row r="64" spans="1:41" x14ac:dyDescent="0.2">
      <c r="A64" t="s">
        <v>27</v>
      </c>
      <c r="B64" s="91" t="s">
        <v>160</v>
      </c>
      <c r="E64"/>
      <c r="F64"/>
      <c r="G64" t="s">
        <v>126</v>
      </c>
      <c r="H64"/>
      <c r="I64" s="19"/>
      <c r="J64" s="139"/>
      <c r="K64" s="139"/>
      <c r="L64" s="139">
        <v>1</v>
      </c>
      <c r="M64" s="139">
        <v>0</v>
      </c>
      <c r="N64" s="139">
        <v>2</v>
      </c>
      <c r="O64" s="190">
        <v>0</v>
      </c>
      <c r="S64" s="369">
        <v>0</v>
      </c>
      <c r="T64" s="369"/>
      <c r="U64" s="369"/>
      <c r="V64" s="369"/>
      <c r="W64" s="227"/>
      <c r="X64" s="29"/>
      <c r="Y64" s="30"/>
      <c r="Z64" s="30"/>
      <c r="AA64" s="29"/>
      <c r="AB64" s="30"/>
      <c r="AC64" s="30"/>
      <c r="AH64" s="190">
        <v>1</v>
      </c>
      <c r="AM64" s="18"/>
      <c r="AN64" s="18"/>
      <c r="AO64" s="18"/>
    </row>
    <row r="65" spans="1:41" x14ac:dyDescent="0.2">
      <c r="B65" s="91" t="s">
        <v>161</v>
      </c>
      <c r="E65"/>
      <c r="F65"/>
      <c r="G65" t="s">
        <v>126</v>
      </c>
      <c r="H65"/>
      <c r="I65" s="19"/>
      <c r="J65" s="139"/>
      <c r="K65" s="139"/>
      <c r="L65" s="139"/>
      <c r="O65" s="190">
        <v>0</v>
      </c>
      <c r="S65" s="369"/>
      <c r="T65" s="369"/>
      <c r="U65" s="369"/>
      <c r="V65" s="369"/>
      <c r="W65" s="227"/>
      <c r="X65" s="29"/>
      <c r="Y65" s="30"/>
      <c r="Z65" s="30"/>
      <c r="AA65" s="29"/>
      <c r="AB65" s="30"/>
      <c r="AC65" s="30"/>
      <c r="AH65" s="192">
        <v>0</v>
      </c>
      <c r="AM65" s="18"/>
      <c r="AN65" s="18"/>
      <c r="AO65" s="18"/>
    </row>
    <row r="66" spans="1:41" s="19" customFormat="1" x14ac:dyDescent="0.2">
      <c r="A66" s="19">
        <v>3</v>
      </c>
      <c r="B66" s="112" t="s">
        <v>162</v>
      </c>
      <c r="C66" s="37" t="s">
        <v>96</v>
      </c>
      <c r="D66" s="37">
        <v>5</v>
      </c>
      <c r="E66" s="37" t="s">
        <v>121</v>
      </c>
      <c r="I66" s="55"/>
      <c r="J66" s="144"/>
      <c r="K66" s="144">
        <v>1</v>
      </c>
      <c r="L66" s="144">
        <v>1</v>
      </c>
      <c r="M66" s="144">
        <v>0</v>
      </c>
      <c r="N66" s="144">
        <v>3</v>
      </c>
      <c r="O66" s="192">
        <v>0</v>
      </c>
      <c r="P66" s="192"/>
      <c r="Q66" s="192"/>
      <c r="R66" s="192"/>
      <c r="S66" s="369">
        <v>0</v>
      </c>
      <c r="T66" s="369"/>
      <c r="U66" s="369"/>
      <c r="V66" s="369"/>
      <c r="W66" s="227"/>
      <c r="X66" s="56"/>
      <c r="Y66" s="57"/>
      <c r="Z66" s="57"/>
      <c r="AA66" s="56"/>
      <c r="AB66" s="57"/>
      <c r="AC66" s="57"/>
      <c r="AH66" s="192">
        <v>0</v>
      </c>
      <c r="AJ66" s="42"/>
      <c r="AK66" s="42"/>
      <c r="AL66" s="42"/>
    </row>
    <row r="67" spans="1:41" s="19" customFormat="1" x14ac:dyDescent="0.2">
      <c r="A67" s="19" t="s">
        <v>27</v>
      </c>
      <c r="B67" s="112" t="s">
        <v>163</v>
      </c>
      <c r="C67" s="37" t="s">
        <v>96</v>
      </c>
      <c r="D67" s="37">
        <v>5</v>
      </c>
      <c r="E67" s="37" t="s">
        <v>121</v>
      </c>
      <c r="G67" s="37" t="s">
        <v>126</v>
      </c>
      <c r="I67" s="37"/>
      <c r="J67" s="144"/>
      <c r="K67" s="144"/>
      <c r="L67" s="144" t="s">
        <v>27</v>
      </c>
      <c r="M67" s="144" t="s">
        <v>27</v>
      </c>
      <c r="N67" s="144" t="s">
        <v>27</v>
      </c>
      <c r="O67" s="192">
        <v>0</v>
      </c>
      <c r="P67" s="192"/>
      <c r="Q67" s="192"/>
      <c r="R67" s="192"/>
      <c r="S67" s="369" t="s">
        <v>27</v>
      </c>
      <c r="T67" s="369"/>
      <c r="U67" s="369"/>
      <c r="V67" s="369"/>
      <c r="W67" s="227"/>
      <c r="X67" s="126"/>
      <c r="Y67" s="127"/>
      <c r="Z67" s="127"/>
      <c r="AA67" s="126"/>
      <c r="AB67" s="127"/>
      <c r="AC67" s="127"/>
      <c r="AH67" s="192">
        <v>0</v>
      </c>
      <c r="AJ67" s="42"/>
      <c r="AK67" s="42"/>
      <c r="AL67" s="42"/>
    </row>
    <row r="68" spans="1:41" s="19" customFormat="1" x14ac:dyDescent="0.2">
      <c r="B68" s="112" t="s">
        <v>164</v>
      </c>
      <c r="C68" s="37" t="s">
        <v>96</v>
      </c>
      <c r="D68" s="37">
        <v>5</v>
      </c>
      <c r="E68" s="37" t="s">
        <v>121</v>
      </c>
      <c r="F68" s="37" t="s">
        <v>141</v>
      </c>
      <c r="G68" s="37" t="s">
        <v>126</v>
      </c>
      <c r="H68" s="37"/>
      <c r="I68" s="37"/>
      <c r="J68" s="144"/>
      <c r="K68" s="144"/>
      <c r="L68" s="144"/>
      <c r="M68" s="144"/>
      <c r="N68" s="144"/>
      <c r="O68" s="192">
        <v>0</v>
      </c>
      <c r="P68" s="192"/>
      <c r="Q68" s="192"/>
      <c r="R68" s="192"/>
      <c r="S68" s="369"/>
      <c r="T68" s="369"/>
      <c r="U68" s="369"/>
      <c r="V68" s="369"/>
      <c r="W68" s="227"/>
      <c r="X68" s="126"/>
      <c r="Y68" s="127"/>
      <c r="Z68" s="127"/>
      <c r="AA68" s="126"/>
      <c r="AB68" s="127"/>
      <c r="AC68" s="127"/>
      <c r="AH68" s="192">
        <v>0</v>
      </c>
      <c r="AJ68" s="42"/>
      <c r="AK68" s="42"/>
      <c r="AL68" s="42"/>
    </row>
    <row r="69" spans="1:41" s="19" customFormat="1" x14ac:dyDescent="0.2">
      <c r="A69" s="19">
        <v>4</v>
      </c>
      <c r="B69" s="112" t="s">
        <v>165</v>
      </c>
      <c r="C69" s="19" t="s">
        <v>166</v>
      </c>
      <c r="D69" s="19">
        <v>5</v>
      </c>
      <c r="E69" s="37" t="s">
        <v>167</v>
      </c>
      <c r="G69" s="37" t="s">
        <v>126</v>
      </c>
      <c r="I69" s="37"/>
      <c r="J69" s="144"/>
      <c r="K69" s="144">
        <v>1</v>
      </c>
      <c r="L69" s="144">
        <v>1</v>
      </c>
      <c r="M69" s="144">
        <v>1</v>
      </c>
      <c r="N69" s="144">
        <v>3</v>
      </c>
      <c r="O69" s="192">
        <v>0</v>
      </c>
      <c r="P69" s="192"/>
      <c r="Q69" s="192"/>
      <c r="R69" s="192"/>
      <c r="S69" s="369">
        <v>0.67</v>
      </c>
      <c r="T69" s="369"/>
      <c r="U69" s="369"/>
      <c r="V69" s="369"/>
      <c r="W69" s="227"/>
      <c r="X69" s="126"/>
      <c r="Y69" s="127"/>
      <c r="Z69" s="127"/>
      <c r="AA69" s="126"/>
      <c r="AB69" s="127"/>
      <c r="AC69" s="127"/>
      <c r="AH69" s="192">
        <v>0</v>
      </c>
      <c r="AJ69" s="42"/>
      <c r="AK69" s="42"/>
      <c r="AL69" s="42"/>
    </row>
    <row r="70" spans="1:41" s="19" customFormat="1" x14ac:dyDescent="0.2">
      <c r="B70" s="112" t="s">
        <v>168</v>
      </c>
      <c r="C70" s="19" t="s">
        <v>166</v>
      </c>
      <c r="D70" s="19">
        <v>5</v>
      </c>
      <c r="E70" s="37" t="s">
        <v>167</v>
      </c>
      <c r="I70" s="37"/>
      <c r="J70" s="144"/>
      <c r="K70" s="144"/>
      <c r="L70" s="144"/>
      <c r="M70" s="144"/>
      <c r="N70" s="144"/>
      <c r="O70" s="192">
        <v>1</v>
      </c>
      <c r="P70" s="192"/>
      <c r="Q70" s="192"/>
      <c r="R70" s="192"/>
      <c r="S70" s="369"/>
      <c r="T70" s="369"/>
      <c r="U70" s="369"/>
      <c r="V70" s="369"/>
      <c r="W70" s="227"/>
      <c r="X70" s="126"/>
      <c r="Y70" s="127"/>
      <c r="Z70" s="127"/>
      <c r="AA70" s="126"/>
      <c r="AB70" s="127"/>
      <c r="AC70" s="127"/>
      <c r="AH70" s="192">
        <v>0</v>
      </c>
      <c r="AJ70" s="42"/>
      <c r="AK70" s="42"/>
      <c r="AL70" s="42"/>
    </row>
    <row r="71" spans="1:41" x14ac:dyDescent="0.2">
      <c r="B71" s="112" t="s">
        <v>169</v>
      </c>
      <c r="E71"/>
      <c r="F71"/>
      <c r="G71"/>
      <c r="H71"/>
      <c r="I71" s="37"/>
      <c r="J71" s="139"/>
      <c r="K71" s="139"/>
      <c r="L71" s="139"/>
      <c r="O71" s="190">
        <v>1</v>
      </c>
      <c r="S71" s="369" t="s">
        <v>27</v>
      </c>
      <c r="T71" s="369"/>
      <c r="U71" s="369"/>
      <c r="V71" s="369"/>
      <c r="W71" s="227"/>
      <c r="X71" s="126"/>
      <c r="Y71" s="127"/>
      <c r="Z71" s="127"/>
      <c r="AA71" s="126"/>
      <c r="AB71" s="127"/>
      <c r="AC71" s="127"/>
      <c r="AH71" s="192">
        <v>0</v>
      </c>
      <c r="AM71" s="18"/>
      <c r="AN71" s="18"/>
      <c r="AO71" s="18"/>
    </row>
    <row r="72" spans="1:41" s="561" customFormat="1" x14ac:dyDescent="0.2">
      <c r="B72" s="206" t="s">
        <v>170</v>
      </c>
      <c r="I72" s="206"/>
      <c r="J72" s="562"/>
      <c r="K72" s="562"/>
      <c r="L72" s="562"/>
      <c r="M72" s="562"/>
      <c r="N72" s="562"/>
      <c r="O72" s="562"/>
      <c r="P72" s="562"/>
      <c r="Q72" s="562"/>
      <c r="R72" s="562"/>
      <c r="S72" s="568"/>
      <c r="T72" s="568"/>
      <c r="U72" s="568"/>
      <c r="V72" s="568"/>
      <c r="W72" s="564"/>
      <c r="X72" s="209"/>
      <c r="Y72" s="210"/>
      <c r="Z72" s="210"/>
      <c r="AA72" s="209"/>
      <c r="AB72" s="210"/>
      <c r="AC72" s="210"/>
      <c r="AH72" s="565">
        <v>0</v>
      </c>
      <c r="AJ72" s="47">
        <v>1</v>
      </c>
      <c r="AK72" s="47">
        <v>6</v>
      </c>
      <c r="AL72" s="47"/>
      <c r="AM72" s="567"/>
      <c r="AN72" s="567"/>
      <c r="AO72" s="567"/>
    </row>
    <row r="73" spans="1:41" s="206" customFormat="1" x14ac:dyDescent="0.2">
      <c r="B73" s="206" t="s">
        <v>171</v>
      </c>
      <c r="C73" s="206" t="s">
        <v>96</v>
      </c>
      <c r="D73" s="206">
        <v>5</v>
      </c>
      <c r="E73" s="206" t="s">
        <v>121</v>
      </c>
      <c r="J73" s="565"/>
      <c r="K73" s="565"/>
      <c r="L73" s="565"/>
      <c r="M73" s="565"/>
      <c r="N73" s="565"/>
      <c r="O73" s="565"/>
      <c r="P73" s="565"/>
      <c r="Q73" s="565"/>
      <c r="R73" s="565"/>
      <c r="S73" s="568"/>
      <c r="T73" s="568"/>
      <c r="U73" s="568"/>
      <c r="V73" s="568"/>
      <c r="W73" s="564"/>
      <c r="X73" s="209"/>
      <c r="Y73" s="210"/>
      <c r="Z73" s="210"/>
      <c r="AA73" s="209"/>
      <c r="AB73" s="210"/>
      <c r="AC73" s="210"/>
      <c r="AH73" s="565">
        <v>0</v>
      </c>
      <c r="AJ73" s="42">
        <v>0</v>
      </c>
      <c r="AK73" s="42" t="s">
        <v>27</v>
      </c>
      <c r="AL73" s="42"/>
    </row>
    <row r="74" spans="1:41" s="206" customFormat="1" x14ac:dyDescent="0.2">
      <c r="B74" s="206" t="s">
        <v>172</v>
      </c>
      <c r="C74" s="206" t="s">
        <v>96</v>
      </c>
      <c r="D74" s="206">
        <v>5</v>
      </c>
      <c r="E74" s="206" t="s">
        <v>121</v>
      </c>
      <c r="J74" s="565"/>
      <c r="K74" s="565"/>
      <c r="L74" s="565"/>
      <c r="M74" s="565"/>
      <c r="N74" s="565"/>
      <c r="O74" s="565"/>
      <c r="P74" s="565"/>
      <c r="Q74" s="565"/>
      <c r="R74" s="565"/>
      <c r="S74" s="568"/>
      <c r="T74" s="568"/>
      <c r="U74" s="568"/>
      <c r="V74" s="568"/>
      <c r="W74" s="564"/>
      <c r="X74" s="209"/>
      <c r="Y74" s="210"/>
      <c r="Z74" s="210"/>
      <c r="AA74" s="209"/>
      <c r="AB74" s="210"/>
      <c r="AC74" s="210"/>
      <c r="AH74" s="565">
        <v>0</v>
      </c>
      <c r="AJ74" s="42">
        <v>1</v>
      </c>
      <c r="AK74" s="42"/>
      <c r="AL74" s="42"/>
    </row>
    <row r="75" spans="1:41" s="206" customFormat="1" x14ac:dyDescent="0.2">
      <c r="B75" s="206" t="s">
        <v>173</v>
      </c>
      <c r="C75" s="206" t="s">
        <v>96</v>
      </c>
      <c r="D75" s="206">
        <v>5</v>
      </c>
      <c r="E75" s="206" t="s">
        <v>121</v>
      </c>
      <c r="J75" s="565"/>
      <c r="K75" s="565"/>
      <c r="L75" s="565"/>
      <c r="M75" s="565"/>
      <c r="N75" s="565"/>
      <c r="O75" s="565"/>
      <c r="P75" s="565"/>
      <c r="Q75" s="565"/>
      <c r="R75" s="565"/>
      <c r="S75" s="568"/>
      <c r="T75" s="568"/>
      <c r="U75" s="568"/>
      <c r="V75" s="568"/>
      <c r="W75" s="564"/>
      <c r="X75" s="209"/>
      <c r="Y75" s="210"/>
      <c r="Z75" s="210"/>
      <c r="AA75" s="209"/>
      <c r="AB75" s="210"/>
      <c r="AC75" s="210"/>
      <c r="AH75" s="565">
        <v>0</v>
      </c>
      <c r="AJ75" s="42">
        <v>0</v>
      </c>
      <c r="AK75" s="42"/>
      <c r="AL75" s="42"/>
    </row>
    <row r="76" spans="1:41" s="206" customFormat="1" x14ac:dyDescent="0.2">
      <c r="B76" s="206" t="s">
        <v>174</v>
      </c>
      <c r="C76" s="206" t="s">
        <v>96</v>
      </c>
      <c r="D76" s="206">
        <v>5</v>
      </c>
      <c r="E76" s="206" t="s">
        <v>121</v>
      </c>
      <c r="J76" s="565"/>
      <c r="K76" s="565"/>
      <c r="L76" s="565"/>
      <c r="M76" s="565"/>
      <c r="N76" s="565"/>
      <c r="O76" s="565"/>
      <c r="P76" s="565"/>
      <c r="Q76" s="565"/>
      <c r="R76" s="565"/>
      <c r="S76" s="568"/>
      <c r="T76" s="568"/>
      <c r="U76" s="568"/>
      <c r="V76" s="568"/>
      <c r="W76" s="564"/>
      <c r="X76" s="209"/>
      <c r="Y76" s="210"/>
      <c r="Z76" s="210"/>
      <c r="AA76" s="209"/>
      <c r="AB76" s="210"/>
      <c r="AC76" s="210"/>
      <c r="AH76" s="565">
        <v>0</v>
      </c>
      <c r="AJ76" s="42">
        <v>0</v>
      </c>
      <c r="AK76" s="42"/>
      <c r="AL76" s="42"/>
    </row>
    <row r="77" spans="1:41" s="206" customFormat="1" x14ac:dyDescent="0.2">
      <c r="B77" s="206" t="s">
        <v>175</v>
      </c>
      <c r="C77" s="206" t="s">
        <v>96</v>
      </c>
      <c r="D77" s="206">
        <v>5</v>
      </c>
      <c r="E77" s="206" t="s">
        <v>121</v>
      </c>
      <c r="J77" s="565"/>
      <c r="K77" s="565"/>
      <c r="L77" s="565"/>
      <c r="M77" s="565"/>
      <c r="N77" s="565"/>
      <c r="O77" s="565"/>
      <c r="P77" s="565"/>
      <c r="Q77" s="565"/>
      <c r="R77" s="565"/>
      <c r="S77" s="568"/>
      <c r="T77" s="568"/>
      <c r="U77" s="568"/>
      <c r="V77" s="568"/>
      <c r="W77" s="564"/>
      <c r="X77" s="209"/>
      <c r="Y77" s="210"/>
      <c r="Z77" s="210"/>
      <c r="AA77" s="209"/>
      <c r="AB77" s="210"/>
      <c r="AC77" s="210"/>
      <c r="AH77" s="565">
        <v>0</v>
      </c>
      <c r="AJ77" s="42">
        <v>0</v>
      </c>
      <c r="AK77" s="42"/>
      <c r="AL77" s="42"/>
    </row>
    <row r="78" spans="1:41" s="280" customFormat="1" x14ac:dyDescent="0.2">
      <c r="A78" s="280" t="s">
        <v>21</v>
      </c>
      <c r="B78" s="280" t="s">
        <v>22</v>
      </c>
      <c r="I78" s="273"/>
      <c r="J78" s="320">
        <f>COUNT(A78:A123)</f>
        <v>4</v>
      </c>
      <c r="K78" s="322">
        <f>SUM(K79:K123)/J78</f>
        <v>0.75</v>
      </c>
      <c r="L78" s="320">
        <f>SUM(L79:L123)</f>
        <v>8</v>
      </c>
      <c r="M78" s="321">
        <f>COUNTIF(M79:M123,1)/L78</f>
        <v>0.25</v>
      </c>
      <c r="N78" s="320">
        <f>SUM(N79:N123)</f>
        <v>45</v>
      </c>
      <c r="O78" s="321">
        <f>COUNTIF(O79:O123,1)/N78</f>
        <v>6.6666666666666666E-2</v>
      </c>
      <c r="P78" s="558">
        <f>AVERAGE(O79:O123)</f>
        <v>6.6666666666666666E-2</v>
      </c>
      <c r="Q78" s="558">
        <f>_xlfn.STDEV.P(O79:O123)</f>
        <v>0.24944382578492943</v>
      </c>
      <c r="R78" s="559">
        <f>STDEV(O79:O123)/(SQRT(COUNT(O79:O123)))</f>
        <v>3.7605071654517742E-2</v>
      </c>
      <c r="S78" s="370">
        <f>+((S79*N79)+(6*S86)+(6*S92)+(7*S98)+(N105*S105)+(10*S107)+(7*S117))/N78</f>
        <v>6.6666666666666666E-2</v>
      </c>
      <c r="T78" s="370"/>
      <c r="U78" s="370">
        <f>_xlfn.STDEV.P(T79:T86)</f>
        <v>0.1023653781066657</v>
      </c>
      <c r="V78" s="370">
        <f>+V87</f>
        <v>3.8690476190476185E-2</v>
      </c>
      <c r="W78" s="327"/>
      <c r="X78" s="277"/>
      <c r="Y78" s="278"/>
      <c r="Z78" s="278"/>
      <c r="AA78" s="277"/>
      <c r="AB78" s="278"/>
      <c r="AC78" s="278"/>
      <c r="AH78" s="560">
        <v>0</v>
      </c>
      <c r="AJ78" s="328"/>
      <c r="AK78" s="328"/>
      <c r="AL78" s="328"/>
    </row>
    <row r="79" spans="1:41" s="19" customFormat="1" x14ac:dyDescent="0.2">
      <c r="A79" s="48">
        <v>1</v>
      </c>
      <c r="B79" s="112" t="s">
        <v>176</v>
      </c>
      <c r="C79" s="19" t="s">
        <v>96</v>
      </c>
      <c r="D79" s="19">
        <v>5</v>
      </c>
      <c r="E79" s="19" t="s">
        <v>121</v>
      </c>
      <c r="G79" s="37" t="s">
        <v>126</v>
      </c>
      <c r="I79" s="37"/>
      <c r="J79" s="144" t="s">
        <v>27</v>
      </c>
      <c r="K79" s="144">
        <v>0</v>
      </c>
      <c r="L79" s="144">
        <v>1</v>
      </c>
      <c r="M79" s="144">
        <v>0</v>
      </c>
      <c r="N79" s="144">
        <v>7</v>
      </c>
      <c r="O79" s="192">
        <v>0</v>
      </c>
      <c r="P79" s="192"/>
      <c r="Q79" s="192"/>
      <c r="R79" s="192"/>
      <c r="S79" s="369">
        <v>0</v>
      </c>
      <c r="T79" s="369">
        <f>+S79</f>
        <v>0</v>
      </c>
      <c r="U79" s="369"/>
      <c r="V79" s="369"/>
      <c r="W79" s="227"/>
      <c r="X79" s="126"/>
      <c r="Y79" s="127"/>
      <c r="Z79" s="127"/>
      <c r="AA79" s="126"/>
      <c r="AB79" s="127"/>
      <c r="AC79" s="127"/>
      <c r="AH79" s="192">
        <v>0</v>
      </c>
      <c r="AJ79" s="42"/>
      <c r="AK79" s="42"/>
      <c r="AL79" s="42"/>
    </row>
    <row r="80" spans="1:41" s="19" customFormat="1" x14ac:dyDescent="0.2">
      <c r="B80" s="112" t="s">
        <v>177</v>
      </c>
      <c r="C80" s="19" t="s">
        <v>96</v>
      </c>
      <c r="D80" s="19">
        <v>5</v>
      </c>
      <c r="E80" s="19" t="s">
        <v>121</v>
      </c>
      <c r="G80" s="37" t="s">
        <v>126</v>
      </c>
      <c r="I80" s="37"/>
      <c r="J80" s="144"/>
      <c r="K80" s="144"/>
      <c r="L80" s="144"/>
      <c r="M80" s="144"/>
      <c r="N80" s="144"/>
      <c r="O80" s="192">
        <v>0</v>
      </c>
      <c r="P80" s="192"/>
      <c r="Q80" s="192"/>
      <c r="R80" s="192"/>
      <c r="S80" s="369"/>
      <c r="T80" s="369">
        <f>+S86</f>
        <v>0</v>
      </c>
      <c r="U80" s="369"/>
      <c r="V80" s="369"/>
      <c r="W80" s="227"/>
      <c r="X80" s="126"/>
      <c r="Y80" s="127"/>
      <c r="Z80" s="127"/>
      <c r="AA80" s="126"/>
      <c r="AB80" s="127"/>
      <c r="AC80" s="127"/>
      <c r="AH80" s="192">
        <v>1</v>
      </c>
      <c r="AJ80" s="42"/>
      <c r="AK80" s="42"/>
      <c r="AL80" s="42"/>
    </row>
    <row r="81" spans="1:38" s="19" customFormat="1" x14ac:dyDescent="0.2">
      <c r="A81" s="19" t="s">
        <v>27</v>
      </c>
      <c r="B81" s="112" t="s">
        <v>178</v>
      </c>
      <c r="C81" s="19" t="s">
        <v>96</v>
      </c>
      <c r="D81" s="19">
        <v>5</v>
      </c>
      <c r="E81" s="19" t="s">
        <v>121</v>
      </c>
      <c r="G81" s="37" t="s">
        <v>126</v>
      </c>
      <c r="I81" s="37"/>
      <c r="J81" s="144"/>
      <c r="K81" s="144"/>
      <c r="L81" s="144"/>
      <c r="M81" s="144"/>
      <c r="N81" s="144"/>
      <c r="O81" s="192">
        <v>0</v>
      </c>
      <c r="P81" s="192"/>
      <c r="Q81" s="192"/>
      <c r="R81" s="192"/>
      <c r="S81" s="369"/>
      <c r="T81" s="369">
        <f>+S92</f>
        <v>0.16666666666666666</v>
      </c>
      <c r="U81" s="369"/>
      <c r="V81" s="369"/>
      <c r="W81" s="227"/>
      <c r="X81" s="126"/>
      <c r="Y81" s="127"/>
      <c r="Z81" s="127"/>
      <c r="AA81" s="126"/>
      <c r="AB81" s="127"/>
      <c r="AC81" s="127"/>
      <c r="AH81" s="192">
        <v>0</v>
      </c>
      <c r="AJ81" s="42"/>
      <c r="AK81" s="42"/>
      <c r="AL81" s="42"/>
    </row>
    <row r="82" spans="1:38" s="19" customFormat="1" x14ac:dyDescent="0.2">
      <c r="B82" s="112" t="s">
        <v>179</v>
      </c>
      <c r="C82" s="19" t="s">
        <v>96</v>
      </c>
      <c r="D82" s="19">
        <v>5</v>
      </c>
      <c r="E82" s="19" t="s">
        <v>121</v>
      </c>
      <c r="G82" s="37" t="s">
        <v>126</v>
      </c>
      <c r="I82" s="37"/>
      <c r="J82" s="144"/>
      <c r="K82" s="144"/>
      <c r="L82" s="144" t="s">
        <v>27</v>
      </c>
      <c r="M82" s="144" t="s">
        <v>27</v>
      </c>
      <c r="N82" s="144" t="s">
        <v>27</v>
      </c>
      <c r="O82" s="192">
        <v>0</v>
      </c>
      <c r="P82" s="192"/>
      <c r="Q82" s="192"/>
      <c r="R82" s="192"/>
      <c r="S82" s="369" t="s">
        <v>27</v>
      </c>
      <c r="T82" s="369">
        <f>+S98</f>
        <v>0.2857142857142857</v>
      </c>
      <c r="U82" s="369"/>
      <c r="V82" s="369"/>
      <c r="W82" s="227"/>
      <c r="X82" s="126"/>
      <c r="Y82" s="127"/>
      <c r="Z82" s="127"/>
      <c r="AA82" s="126"/>
      <c r="AB82" s="127"/>
      <c r="AC82" s="127"/>
      <c r="AH82" s="192">
        <v>0</v>
      </c>
      <c r="AJ82" s="42"/>
      <c r="AK82" s="42"/>
      <c r="AL82" s="42"/>
    </row>
    <row r="83" spans="1:38" s="19" customFormat="1" x14ac:dyDescent="0.2">
      <c r="B83" s="112" t="s">
        <v>180</v>
      </c>
      <c r="C83" s="19" t="s">
        <v>96</v>
      </c>
      <c r="D83" s="19">
        <v>5</v>
      </c>
      <c r="E83" s="19" t="s">
        <v>121</v>
      </c>
      <c r="G83" s="37" t="s">
        <v>126</v>
      </c>
      <c r="I83" s="37"/>
      <c r="J83" s="144"/>
      <c r="K83" s="144"/>
      <c r="L83" s="144"/>
      <c r="M83" s="144"/>
      <c r="N83" s="144"/>
      <c r="O83" s="192">
        <v>0</v>
      </c>
      <c r="P83" s="192"/>
      <c r="Q83" s="192"/>
      <c r="R83" s="192"/>
      <c r="S83" s="369"/>
      <c r="T83" s="369">
        <f>+S105</f>
        <v>0</v>
      </c>
      <c r="U83" s="369"/>
      <c r="V83" s="369"/>
      <c r="W83" s="227"/>
      <c r="X83" s="126"/>
      <c r="Y83" s="127"/>
      <c r="Z83" s="127"/>
      <c r="AA83" s="126"/>
      <c r="AB83" s="127"/>
      <c r="AC83" s="127"/>
      <c r="AH83" s="192">
        <v>0</v>
      </c>
      <c r="AJ83" s="42"/>
      <c r="AK83" s="42"/>
      <c r="AL83" s="42"/>
    </row>
    <row r="84" spans="1:38" s="19" customFormat="1" x14ac:dyDescent="0.2">
      <c r="B84" s="112" t="s">
        <v>181</v>
      </c>
      <c r="C84" s="19" t="s">
        <v>96</v>
      </c>
      <c r="D84" s="19">
        <v>5</v>
      </c>
      <c r="E84" s="19" t="s">
        <v>121</v>
      </c>
      <c r="G84" s="37" t="s">
        <v>126</v>
      </c>
      <c r="I84" s="37"/>
      <c r="J84" s="144"/>
      <c r="K84" s="144"/>
      <c r="L84" s="144"/>
      <c r="M84" s="144"/>
      <c r="N84" s="144"/>
      <c r="O84" s="192">
        <v>0</v>
      </c>
      <c r="P84" s="192"/>
      <c r="Q84" s="192"/>
      <c r="R84" s="192"/>
      <c r="S84" s="369"/>
      <c r="T84" s="369">
        <f>+S105</f>
        <v>0</v>
      </c>
      <c r="U84" s="369"/>
      <c r="V84" s="369"/>
      <c r="W84" s="227"/>
      <c r="X84" s="126"/>
      <c r="Y84" s="127"/>
      <c r="Z84" s="127"/>
      <c r="AA84" s="126"/>
      <c r="AB84" s="127"/>
      <c r="AC84" s="127"/>
      <c r="AH84" s="192">
        <v>0</v>
      </c>
      <c r="AJ84" s="42"/>
      <c r="AK84" s="42"/>
      <c r="AL84" s="42"/>
    </row>
    <row r="85" spans="1:38" s="19" customFormat="1" x14ac:dyDescent="0.2">
      <c r="B85" s="112" t="s">
        <v>182</v>
      </c>
      <c r="C85" s="19" t="s">
        <v>96</v>
      </c>
      <c r="D85" s="19">
        <v>5</v>
      </c>
      <c r="E85" s="19" t="s">
        <v>121</v>
      </c>
      <c r="G85" s="37" t="s">
        <v>126</v>
      </c>
      <c r="I85" s="37"/>
      <c r="J85" s="144"/>
      <c r="K85" s="144"/>
      <c r="L85" s="144"/>
      <c r="M85" s="144"/>
      <c r="N85" s="144"/>
      <c r="O85" s="192">
        <v>0</v>
      </c>
      <c r="P85" s="192"/>
      <c r="Q85" s="192"/>
      <c r="R85" s="192"/>
      <c r="S85" s="369" t="s">
        <v>27</v>
      </c>
      <c r="T85" s="369">
        <f>+S107</f>
        <v>0</v>
      </c>
      <c r="U85" s="369"/>
      <c r="V85" s="369"/>
      <c r="W85" s="227"/>
      <c r="X85" s="126"/>
      <c r="Y85" s="127"/>
      <c r="Z85" s="127"/>
      <c r="AA85" s="126"/>
      <c r="AB85" s="127"/>
      <c r="AC85" s="127"/>
      <c r="AH85" s="192">
        <v>0</v>
      </c>
      <c r="AJ85" s="42"/>
      <c r="AK85" s="42"/>
      <c r="AL85" s="42"/>
    </row>
    <row r="86" spans="1:38" s="19" customFormat="1" x14ac:dyDescent="0.2">
      <c r="A86" s="19" t="s">
        <v>27</v>
      </c>
      <c r="B86" s="112" t="s">
        <v>183</v>
      </c>
      <c r="C86" s="19" t="s">
        <v>96</v>
      </c>
      <c r="D86" s="19">
        <v>5</v>
      </c>
      <c r="E86" s="19" t="s">
        <v>121</v>
      </c>
      <c r="G86" s="37" t="s">
        <v>126</v>
      </c>
      <c r="I86" s="37">
        <v>0</v>
      </c>
      <c r="J86" s="144" t="s">
        <v>27</v>
      </c>
      <c r="K86" s="144"/>
      <c r="L86" s="144">
        <v>1</v>
      </c>
      <c r="M86" s="144">
        <v>0</v>
      </c>
      <c r="N86" s="144">
        <v>3</v>
      </c>
      <c r="O86" s="192">
        <v>0</v>
      </c>
      <c r="P86" s="192"/>
      <c r="Q86" s="192"/>
      <c r="R86" s="192"/>
      <c r="S86" s="369">
        <v>0</v>
      </c>
      <c r="T86" s="369">
        <v>0</v>
      </c>
      <c r="U86" s="380"/>
      <c r="V86" s="380" t="s">
        <v>27</v>
      </c>
      <c r="W86" s="227"/>
      <c r="X86" s="126"/>
      <c r="Y86" s="127"/>
      <c r="Z86" s="127"/>
      <c r="AA86" s="126"/>
      <c r="AB86" s="127"/>
      <c r="AC86" s="127"/>
      <c r="AH86" s="192">
        <v>0</v>
      </c>
      <c r="AJ86" s="42"/>
      <c r="AK86" s="42"/>
      <c r="AL86" s="42"/>
    </row>
    <row r="87" spans="1:38" s="19" customFormat="1" x14ac:dyDescent="0.2">
      <c r="B87" s="112" t="s">
        <v>184</v>
      </c>
      <c r="C87" s="19" t="s">
        <v>96</v>
      </c>
      <c r="D87" s="19">
        <v>5</v>
      </c>
      <c r="E87" s="19" t="s">
        <v>121</v>
      </c>
      <c r="G87" s="37" t="s">
        <v>126</v>
      </c>
      <c r="I87" s="37"/>
      <c r="J87" s="144"/>
      <c r="K87" s="144"/>
      <c r="L87" s="144"/>
      <c r="M87" s="144"/>
      <c r="N87" s="144"/>
      <c r="O87" s="192">
        <v>0</v>
      </c>
      <c r="P87" s="192"/>
      <c r="Q87" s="192"/>
      <c r="R87" s="192"/>
      <c r="S87" s="369"/>
      <c r="T87" s="380">
        <f>AVERAGE(T79:T86)</f>
        <v>5.6547619047619041E-2</v>
      </c>
      <c r="U87" s="380"/>
      <c r="V87" s="380">
        <f>STDEV(T79:T86)/(SQRT(COUNT(T79:T86)))</f>
        <v>3.8690476190476185E-2</v>
      </c>
      <c r="W87" s="227"/>
      <c r="X87" s="126"/>
      <c r="Y87" s="127"/>
      <c r="Z87" s="127"/>
      <c r="AA87" s="126"/>
      <c r="AB87" s="127"/>
      <c r="AC87" s="127"/>
      <c r="AH87" s="192">
        <v>0</v>
      </c>
      <c r="AJ87" s="42"/>
      <c r="AK87" s="42"/>
      <c r="AL87" s="42"/>
    </row>
    <row r="88" spans="1:38" s="19" customFormat="1" x14ac:dyDescent="0.2">
      <c r="A88" s="48" t="s">
        <v>27</v>
      </c>
      <c r="B88" s="112" t="s">
        <v>185</v>
      </c>
      <c r="C88" s="19" t="s">
        <v>96</v>
      </c>
      <c r="D88" s="19">
        <v>5</v>
      </c>
      <c r="E88" s="19" t="s">
        <v>121</v>
      </c>
      <c r="G88" s="37" t="s">
        <v>126</v>
      </c>
      <c r="I88" s="37"/>
      <c r="J88" s="144"/>
      <c r="K88" s="144"/>
      <c r="L88" s="144"/>
      <c r="M88" s="144"/>
      <c r="N88" s="144"/>
      <c r="O88" s="192">
        <v>0</v>
      </c>
      <c r="P88" s="192"/>
      <c r="Q88" s="192"/>
      <c r="R88" s="192"/>
      <c r="S88" s="369" t="s">
        <v>27</v>
      </c>
      <c r="T88" s="369"/>
      <c r="U88" s="369"/>
      <c r="V88" s="369"/>
      <c r="W88" s="227"/>
      <c r="X88" s="126"/>
      <c r="Y88" s="127"/>
      <c r="Z88" s="127"/>
      <c r="AA88" s="126"/>
      <c r="AB88" s="127"/>
      <c r="AC88" s="127"/>
      <c r="AH88" s="192">
        <v>0</v>
      </c>
      <c r="AJ88" s="42"/>
      <c r="AK88" s="42"/>
      <c r="AL88" s="42"/>
    </row>
    <row r="89" spans="1:38" s="19" customFormat="1" x14ac:dyDescent="0.2">
      <c r="B89" s="112" t="s">
        <v>186</v>
      </c>
      <c r="C89" s="19" t="s">
        <v>96</v>
      </c>
      <c r="D89" s="19">
        <v>5</v>
      </c>
      <c r="E89" s="19" t="s">
        <v>121</v>
      </c>
      <c r="G89" s="37" t="s">
        <v>126</v>
      </c>
      <c r="I89" s="37">
        <v>0</v>
      </c>
      <c r="J89" s="144"/>
      <c r="K89" s="144"/>
      <c r="L89" s="144" t="s">
        <v>27</v>
      </c>
      <c r="M89" s="144" t="s">
        <v>27</v>
      </c>
      <c r="N89" s="144">
        <v>3</v>
      </c>
      <c r="O89" s="192">
        <v>0</v>
      </c>
      <c r="P89" s="192"/>
      <c r="Q89" s="192"/>
      <c r="R89" s="192"/>
      <c r="S89" s="369"/>
      <c r="T89" s="369"/>
      <c r="U89" s="369"/>
      <c r="V89" s="369"/>
      <c r="W89" s="227"/>
      <c r="X89" s="126"/>
      <c r="Y89" s="127"/>
      <c r="Z89" s="127"/>
      <c r="AA89" s="126"/>
      <c r="AB89" s="127"/>
      <c r="AC89" s="127"/>
      <c r="AH89" s="192">
        <v>1</v>
      </c>
      <c r="AJ89" s="42"/>
      <c r="AK89" s="42"/>
      <c r="AL89" s="42"/>
    </row>
    <row r="90" spans="1:38" s="19" customFormat="1" x14ac:dyDescent="0.2">
      <c r="B90" s="112" t="s">
        <v>187</v>
      </c>
      <c r="C90" s="19" t="s">
        <v>96</v>
      </c>
      <c r="D90" s="19">
        <v>5</v>
      </c>
      <c r="E90" s="19" t="s">
        <v>121</v>
      </c>
      <c r="G90" s="37" t="s">
        <v>126</v>
      </c>
      <c r="I90" s="37"/>
      <c r="J90" s="144"/>
      <c r="K90" s="144"/>
      <c r="L90" s="144"/>
      <c r="M90" s="144"/>
      <c r="N90" s="144"/>
      <c r="O90" s="192">
        <v>0</v>
      </c>
      <c r="P90" s="192"/>
      <c r="Q90" s="192"/>
      <c r="R90" s="192"/>
      <c r="S90" s="369"/>
      <c r="T90" s="369"/>
      <c r="U90" s="369"/>
      <c r="V90" s="369"/>
      <c r="W90" s="227"/>
      <c r="X90" s="126"/>
      <c r="Y90" s="127"/>
      <c r="Z90" s="127"/>
      <c r="AA90" s="126"/>
      <c r="AB90" s="127"/>
      <c r="AC90" s="127"/>
      <c r="AH90" s="192">
        <v>1</v>
      </c>
      <c r="AJ90" s="42"/>
      <c r="AK90" s="42"/>
      <c r="AL90" s="42"/>
    </row>
    <row r="91" spans="1:38" s="19" customFormat="1" x14ac:dyDescent="0.2">
      <c r="B91" s="112" t="s">
        <v>188</v>
      </c>
      <c r="C91" s="19" t="s">
        <v>96</v>
      </c>
      <c r="D91" s="19">
        <v>5</v>
      </c>
      <c r="E91" s="19" t="s">
        <v>121</v>
      </c>
      <c r="G91" s="37" t="s">
        <v>126</v>
      </c>
      <c r="I91" s="37"/>
      <c r="J91" s="144"/>
      <c r="K91" s="144"/>
      <c r="L91" s="144"/>
      <c r="M91" s="144"/>
      <c r="N91" s="144"/>
      <c r="O91" s="192">
        <v>0</v>
      </c>
      <c r="P91" s="192"/>
      <c r="Q91" s="192"/>
      <c r="R91" s="192"/>
      <c r="S91" s="369" t="s">
        <v>27</v>
      </c>
      <c r="T91" s="369"/>
      <c r="U91" s="369"/>
      <c r="V91" s="369"/>
      <c r="W91" s="227"/>
      <c r="X91" s="126"/>
      <c r="Y91" s="127"/>
      <c r="Z91" s="127"/>
      <c r="AA91" s="126"/>
      <c r="AB91" s="127"/>
      <c r="AC91" s="127"/>
      <c r="AH91" s="190">
        <v>0</v>
      </c>
      <c r="AJ91" s="42"/>
      <c r="AK91" s="42"/>
      <c r="AL91" s="42"/>
    </row>
    <row r="92" spans="1:38" s="19" customFormat="1" x14ac:dyDescent="0.2">
      <c r="A92" s="19">
        <v>2</v>
      </c>
      <c r="B92" s="112" t="s">
        <v>189</v>
      </c>
      <c r="C92" s="19" t="s">
        <v>190</v>
      </c>
      <c r="D92" s="19">
        <v>10</v>
      </c>
      <c r="I92" s="37"/>
      <c r="J92" s="144"/>
      <c r="K92" s="144">
        <v>1</v>
      </c>
      <c r="L92" s="144">
        <v>1</v>
      </c>
      <c r="M92" s="144">
        <v>1</v>
      </c>
      <c r="N92" s="144">
        <v>3</v>
      </c>
      <c r="O92" s="192">
        <v>0</v>
      </c>
      <c r="P92" s="192"/>
      <c r="Q92" s="192"/>
      <c r="R92" s="192"/>
      <c r="S92" s="369">
        <f>SUM(O92:O97)/6</f>
        <v>0.16666666666666666</v>
      </c>
      <c r="T92" s="369"/>
      <c r="U92" s="369"/>
      <c r="V92" s="369"/>
      <c r="W92" s="227"/>
      <c r="X92" s="126"/>
      <c r="Y92" s="127"/>
      <c r="Z92" s="127"/>
      <c r="AA92" s="126"/>
      <c r="AB92" s="127"/>
      <c r="AC92" s="127"/>
      <c r="AH92" s="190">
        <v>0</v>
      </c>
      <c r="AJ92" s="42"/>
      <c r="AK92" s="42"/>
      <c r="AL92" s="42"/>
    </row>
    <row r="93" spans="1:38" s="19" customFormat="1" x14ac:dyDescent="0.2">
      <c r="B93" s="112" t="s">
        <v>191</v>
      </c>
      <c r="C93" s="19" t="s">
        <v>120</v>
      </c>
      <c r="D93" s="19">
        <v>10</v>
      </c>
      <c r="E93" s="19" t="s">
        <v>192</v>
      </c>
      <c r="G93" s="37" t="s">
        <v>123</v>
      </c>
      <c r="I93" s="37"/>
      <c r="J93" s="144"/>
      <c r="K93" s="144"/>
      <c r="L93" s="144"/>
      <c r="M93" s="144"/>
      <c r="N93" s="144"/>
      <c r="O93" s="192">
        <v>0</v>
      </c>
      <c r="P93" s="192"/>
      <c r="Q93" s="192"/>
      <c r="R93" s="192"/>
      <c r="S93" s="369"/>
      <c r="T93" s="369"/>
      <c r="U93" s="369"/>
      <c r="V93" s="369"/>
      <c r="W93" s="227"/>
      <c r="X93" s="126"/>
      <c r="Y93" s="127"/>
      <c r="Z93" s="127"/>
      <c r="AA93" s="126"/>
      <c r="AB93" s="127"/>
      <c r="AC93" s="127"/>
      <c r="AH93" s="190">
        <v>0</v>
      </c>
      <c r="AJ93" s="42"/>
      <c r="AK93" s="42"/>
      <c r="AL93" s="42"/>
    </row>
    <row r="94" spans="1:38" s="19" customFormat="1" x14ac:dyDescent="0.2">
      <c r="A94" s="19" t="s">
        <v>27</v>
      </c>
      <c r="B94" s="112" t="s">
        <v>193</v>
      </c>
      <c r="C94" s="19" t="s">
        <v>194</v>
      </c>
      <c r="D94" s="19">
        <v>5</v>
      </c>
      <c r="E94" s="19" t="s">
        <v>195</v>
      </c>
      <c r="I94" s="37"/>
      <c r="J94" s="144"/>
      <c r="K94" s="144"/>
      <c r="L94" s="144"/>
      <c r="M94" s="144"/>
      <c r="N94" s="144"/>
      <c r="O94" s="192">
        <v>1</v>
      </c>
      <c r="P94" s="192"/>
      <c r="Q94" s="192"/>
      <c r="R94" s="192"/>
      <c r="S94" s="369" t="s">
        <v>27</v>
      </c>
      <c r="T94" s="369"/>
      <c r="U94" s="369"/>
      <c r="V94" s="369"/>
      <c r="W94" s="227"/>
      <c r="X94" s="126"/>
      <c r="Y94" s="127"/>
      <c r="Z94" s="127"/>
      <c r="AA94" s="126"/>
      <c r="AB94" s="127"/>
      <c r="AC94" s="127"/>
      <c r="AH94" s="190">
        <v>0</v>
      </c>
      <c r="AJ94" s="42"/>
      <c r="AK94" s="42"/>
      <c r="AL94" s="42"/>
    </row>
    <row r="95" spans="1:38" s="19" customFormat="1" x14ac:dyDescent="0.2">
      <c r="B95" s="112" t="s">
        <v>196</v>
      </c>
      <c r="C95" s="19" t="s">
        <v>101</v>
      </c>
      <c r="D95" s="19">
        <v>5</v>
      </c>
      <c r="E95" s="19" t="s">
        <v>197</v>
      </c>
      <c r="G95" s="37" t="s">
        <v>126</v>
      </c>
      <c r="I95" s="37"/>
      <c r="J95" s="144"/>
      <c r="K95" s="144"/>
      <c r="L95" s="144" t="s">
        <v>27</v>
      </c>
      <c r="M95" s="144" t="s">
        <v>27</v>
      </c>
      <c r="N95" s="145">
        <v>3</v>
      </c>
      <c r="O95" s="192">
        <v>0</v>
      </c>
      <c r="P95" s="192"/>
      <c r="Q95" s="192"/>
      <c r="R95" s="192"/>
      <c r="S95" s="369"/>
      <c r="T95" s="369"/>
      <c r="U95" s="369"/>
      <c r="V95" s="369"/>
      <c r="W95" s="227"/>
      <c r="X95" s="126"/>
      <c r="Y95" s="127"/>
      <c r="Z95" s="127"/>
      <c r="AA95" s="126"/>
      <c r="AB95" s="127"/>
      <c r="AC95" s="127"/>
      <c r="AH95" s="190">
        <v>0</v>
      </c>
      <c r="AJ95" s="42"/>
      <c r="AK95" s="42"/>
      <c r="AL95" s="42"/>
    </row>
    <row r="96" spans="1:38" s="19" customFormat="1" x14ac:dyDescent="0.2">
      <c r="B96" s="112" t="s">
        <v>198</v>
      </c>
      <c r="G96" s="37" t="s">
        <v>126</v>
      </c>
      <c r="I96" s="37"/>
      <c r="J96" s="144"/>
      <c r="K96" s="144"/>
      <c r="L96" s="144"/>
      <c r="M96" s="144"/>
      <c r="N96" s="144"/>
      <c r="O96" s="192">
        <v>0</v>
      </c>
      <c r="P96" s="192"/>
      <c r="Q96" s="192"/>
      <c r="R96" s="192"/>
      <c r="S96" s="369"/>
      <c r="T96" s="369"/>
      <c r="U96" s="369"/>
      <c r="V96" s="369"/>
      <c r="W96" s="227"/>
      <c r="X96" s="126"/>
      <c r="Y96" s="127"/>
      <c r="Z96" s="127"/>
      <c r="AA96" s="126"/>
      <c r="AB96" s="127"/>
      <c r="AC96" s="127"/>
      <c r="AH96" s="190">
        <v>0</v>
      </c>
      <c r="AJ96" s="42"/>
      <c r="AK96" s="42"/>
      <c r="AL96" s="42"/>
    </row>
    <row r="97" spans="1:41" s="19" customFormat="1" x14ac:dyDescent="0.2">
      <c r="A97" s="19" t="s">
        <v>27</v>
      </c>
      <c r="B97" s="112" t="s">
        <v>199</v>
      </c>
      <c r="G97" s="19" t="s">
        <v>126</v>
      </c>
      <c r="I97" s="37"/>
      <c r="J97" s="144"/>
      <c r="K97" s="144"/>
      <c r="L97" s="144"/>
      <c r="M97" s="144"/>
      <c r="N97" s="144"/>
      <c r="O97" s="192">
        <v>0</v>
      </c>
      <c r="P97" s="192"/>
      <c r="Q97" s="192"/>
      <c r="R97" s="192"/>
      <c r="S97" s="369"/>
      <c r="T97" s="369"/>
      <c r="U97" s="369"/>
      <c r="V97" s="369"/>
      <c r="W97" s="227"/>
      <c r="X97" s="126"/>
      <c r="Y97" s="127"/>
      <c r="Z97" s="127"/>
      <c r="AA97" s="126"/>
      <c r="AB97" s="127"/>
      <c r="AC97" s="127"/>
      <c r="AH97" s="190">
        <v>0</v>
      </c>
      <c r="AJ97" s="42"/>
      <c r="AK97" s="42"/>
      <c r="AL97" s="42"/>
    </row>
    <row r="98" spans="1:41" s="19" customFormat="1" x14ac:dyDescent="0.2">
      <c r="B98" s="112" t="s">
        <v>200</v>
      </c>
      <c r="G98" s="19" t="s">
        <v>126</v>
      </c>
      <c r="I98" s="37">
        <v>0</v>
      </c>
      <c r="J98" s="144"/>
      <c r="K98" s="144"/>
      <c r="L98" s="144">
        <v>1</v>
      </c>
      <c r="M98" s="144">
        <v>1</v>
      </c>
      <c r="N98" s="145">
        <v>7</v>
      </c>
      <c r="O98" s="192">
        <v>0</v>
      </c>
      <c r="P98" s="192"/>
      <c r="Q98" s="192"/>
      <c r="R98" s="192"/>
      <c r="S98" s="369">
        <f>SUM(O98:O104)/7</f>
        <v>0.2857142857142857</v>
      </c>
      <c r="T98" s="369"/>
      <c r="U98" s="369"/>
      <c r="V98" s="369"/>
      <c r="W98" s="227"/>
      <c r="X98" s="126"/>
      <c r="Y98" s="127"/>
      <c r="Z98" s="127"/>
      <c r="AA98" s="126"/>
      <c r="AB98" s="127"/>
      <c r="AC98" s="127"/>
      <c r="AH98" s="190">
        <v>0</v>
      </c>
      <c r="AJ98" s="42"/>
      <c r="AK98" s="42"/>
      <c r="AL98" s="42"/>
    </row>
    <row r="99" spans="1:41" s="19" customFormat="1" x14ac:dyDescent="0.2">
      <c r="B99" s="112" t="s">
        <v>201</v>
      </c>
      <c r="G99" s="19" t="s">
        <v>126</v>
      </c>
      <c r="I99" s="37">
        <v>0</v>
      </c>
      <c r="J99" s="144"/>
      <c r="K99" s="144"/>
      <c r="L99" s="144"/>
      <c r="M99" s="144"/>
      <c r="N99" s="144"/>
      <c r="O99" s="192">
        <v>0</v>
      </c>
      <c r="P99" s="192"/>
      <c r="Q99" s="192"/>
      <c r="R99" s="192"/>
      <c r="S99" s="369"/>
      <c r="T99" s="369"/>
      <c r="U99" s="369"/>
      <c r="V99" s="369"/>
      <c r="W99" s="227"/>
      <c r="X99" s="126"/>
      <c r="Y99" s="127"/>
      <c r="Z99" s="127"/>
      <c r="AA99" s="126"/>
      <c r="AB99" s="127"/>
      <c r="AC99" s="127"/>
      <c r="AH99" s="190">
        <v>0</v>
      </c>
      <c r="AJ99" s="42"/>
      <c r="AK99" s="42"/>
      <c r="AL99" s="42"/>
    </row>
    <row r="100" spans="1:41" s="19" customFormat="1" x14ac:dyDescent="0.2">
      <c r="B100" s="112" t="s">
        <v>202</v>
      </c>
      <c r="G100" s="19" t="s">
        <v>126</v>
      </c>
      <c r="I100" s="37">
        <v>0</v>
      </c>
      <c r="J100" s="144"/>
      <c r="K100" s="144"/>
      <c r="L100" s="144"/>
      <c r="M100" s="144"/>
      <c r="N100" s="144"/>
      <c r="O100" s="192">
        <v>0</v>
      </c>
      <c r="P100" s="192"/>
      <c r="Q100" s="192"/>
      <c r="R100" s="192"/>
      <c r="S100" s="369" t="s">
        <v>27</v>
      </c>
      <c r="T100" s="369"/>
      <c r="U100" s="369"/>
      <c r="V100" s="369"/>
      <c r="W100" s="227"/>
      <c r="X100" s="126"/>
      <c r="Y100" s="127"/>
      <c r="Z100" s="127"/>
      <c r="AA100" s="126"/>
      <c r="AB100" s="127"/>
      <c r="AC100" s="127"/>
      <c r="AH100" s="190">
        <v>0</v>
      </c>
      <c r="AJ100" s="42"/>
      <c r="AK100" s="42"/>
      <c r="AL100" s="42"/>
    </row>
    <row r="101" spans="1:41" s="19" customFormat="1" x14ac:dyDescent="0.2">
      <c r="B101" s="112" t="s">
        <v>203</v>
      </c>
      <c r="G101" s="19" t="s">
        <v>126</v>
      </c>
      <c r="I101" s="37">
        <v>0</v>
      </c>
      <c r="J101" s="144"/>
      <c r="K101" s="144"/>
      <c r="L101" s="144" t="s">
        <v>27</v>
      </c>
      <c r="M101" s="144" t="s">
        <v>27</v>
      </c>
      <c r="N101" s="145" t="s">
        <v>27</v>
      </c>
      <c r="O101" s="192">
        <v>0</v>
      </c>
      <c r="P101" s="192"/>
      <c r="Q101" s="192"/>
      <c r="R101" s="192"/>
      <c r="S101" s="369" t="s">
        <v>27</v>
      </c>
      <c r="T101" s="369"/>
      <c r="U101" s="369"/>
      <c r="V101" s="369"/>
      <c r="W101" s="227"/>
      <c r="X101" s="126"/>
      <c r="Y101" s="127"/>
      <c r="Z101" s="127"/>
      <c r="AA101" s="126"/>
      <c r="AB101" s="127"/>
      <c r="AC101" s="127"/>
      <c r="AH101" s="190">
        <v>0</v>
      </c>
      <c r="AJ101" s="42"/>
      <c r="AK101" s="42"/>
      <c r="AL101" s="42"/>
    </row>
    <row r="102" spans="1:41" s="19" customFormat="1" x14ac:dyDescent="0.2">
      <c r="B102" s="112" t="s">
        <v>204</v>
      </c>
      <c r="G102" s="19" t="s">
        <v>126</v>
      </c>
      <c r="I102" s="37">
        <v>0</v>
      </c>
      <c r="J102" s="144"/>
      <c r="K102" s="144"/>
      <c r="L102" s="144"/>
      <c r="M102" s="144"/>
      <c r="N102" s="144"/>
      <c r="O102" s="192">
        <v>0</v>
      </c>
      <c r="P102" s="192"/>
      <c r="Q102" s="192"/>
      <c r="R102" s="192"/>
      <c r="S102" s="369"/>
      <c r="T102" s="369"/>
      <c r="U102" s="369"/>
      <c r="V102" s="369"/>
      <c r="W102" s="227"/>
      <c r="X102" s="126"/>
      <c r="Y102" s="127"/>
      <c r="Z102" s="127"/>
      <c r="AA102" s="126"/>
      <c r="AB102" s="127"/>
      <c r="AC102" s="127"/>
      <c r="AH102" s="190">
        <v>0</v>
      </c>
      <c r="AJ102" s="42"/>
      <c r="AK102" s="42"/>
      <c r="AL102" s="42"/>
    </row>
    <row r="103" spans="1:41" s="19" customFormat="1" x14ac:dyDescent="0.2">
      <c r="B103" s="112" t="s">
        <v>205</v>
      </c>
      <c r="G103" s="19" t="s">
        <v>126</v>
      </c>
      <c r="I103" s="37">
        <v>0</v>
      </c>
      <c r="J103" s="144"/>
      <c r="K103" s="144"/>
      <c r="L103" s="144"/>
      <c r="M103" s="144"/>
      <c r="N103" s="144"/>
      <c r="O103" s="192">
        <v>1</v>
      </c>
      <c r="P103" s="192"/>
      <c r="Q103" s="192"/>
      <c r="R103" s="192"/>
      <c r="S103" s="372"/>
      <c r="T103" s="371"/>
      <c r="U103" s="371"/>
      <c r="V103" s="371"/>
      <c r="W103" s="227"/>
      <c r="X103" s="126"/>
      <c r="Y103" s="127"/>
      <c r="Z103" s="127"/>
      <c r="AA103" s="126"/>
      <c r="AB103" s="127"/>
      <c r="AC103" s="127"/>
      <c r="AH103" s="193">
        <v>0</v>
      </c>
      <c r="AJ103" s="42"/>
      <c r="AK103" s="42"/>
      <c r="AL103" s="42"/>
    </row>
    <row r="104" spans="1:41" s="19" customFormat="1" x14ac:dyDescent="0.2">
      <c r="B104" s="112" t="s">
        <v>206</v>
      </c>
      <c r="G104" s="19" t="s">
        <v>126</v>
      </c>
      <c r="I104" s="37">
        <v>0</v>
      </c>
      <c r="J104" s="144"/>
      <c r="K104" s="144"/>
      <c r="L104" s="144"/>
      <c r="M104" s="144"/>
      <c r="N104" s="144"/>
      <c r="O104" s="192">
        <v>1</v>
      </c>
      <c r="P104" s="192"/>
      <c r="Q104" s="192"/>
      <c r="R104" s="192"/>
      <c r="S104" s="369" t="s">
        <v>27</v>
      </c>
      <c r="T104" s="369"/>
      <c r="U104" s="369"/>
      <c r="V104" s="369"/>
      <c r="W104" s="227"/>
      <c r="X104" s="126"/>
      <c r="Y104" s="127"/>
      <c r="Z104" s="127"/>
      <c r="AA104" s="126"/>
      <c r="AB104" s="127"/>
      <c r="AC104" s="127"/>
      <c r="AH104" s="193">
        <v>0</v>
      </c>
      <c r="AJ104" s="42"/>
      <c r="AK104" s="42"/>
      <c r="AL104" s="42"/>
    </row>
    <row r="105" spans="1:41" x14ac:dyDescent="0.2">
      <c r="A105">
        <v>3</v>
      </c>
      <c r="B105" s="91" t="s">
        <v>207</v>
      </c>
      <c r="E105"/>
      <c r="F105"/>
      <c r="G105" s="37" t="s">
        <v>126</v>
      </c>
      <c r="H105"/>
      <c r="I105" s="37"/>
      <c r="J105" s="144"/>
      <c r="K105" s="139">
        <v>1</v>
      </c>
      <c r="L105" s="139">
        <v>1</v>
      </c>
      <c r="M105" s="139">
        <v>0</v>
      </c>
      <c r="N105" s="144">
        <v>2</v>
      </c>
      <c r="O105" s="190">
        <v>0</v>
      </c>
      <c r="S105" s="369">
        <v>0</v>
      </c>
      <c r="T105" s="369"/>
      <c r="U105" s="369"/>
      <c r="V105" s="369"/>
      <c r="W105" s="227"/>
      <c r="X105" s="126"/>
      <c r="Y105" s="127"/>
      <c r="Z105" s="127"/>
      <c r="AA105" s="126"/>
      <c r="AB105" s="127"/>
      <c r="AC105" s="127"/>
      <c r="AH105" s="193">
        <v>0</v>
      </c>
      <c r="AM105" s="18"/>
      <c r="AN105" s="18"/>
      <c r="AO105" s="18"/>
    </row>
    <row r="106" spans="1:41" x14ac:dyDescent="0.2">
      <c r="B106" s="91" t="s">
        <v>208</v>
      </c>
      <c r="E106"/>
      <c r="F106"/>
      <c r="G106" s="37" t="s">
        <v>126</v>
      </c>
      <c r="H106"/>
      <c r="I106" s="37"/>
      <c r="J106" s="144"/>
      <c r="K106" s="139"/>
      <c r="L106" s="139"/>
      <c r="O106" s="190">
        <v>0</v>
      </c>
      <c r="S106" s="369"/>
      <c r="T106" s="369"/>
      <c r="U106" s="369"/>
      <c r="V106" s="369"/>
      <c r="W106" s="227"/>
      <c r="X106" s="126"/>
      <c r="Y106" s="127"/>
      <c r="Z106" s="127"/>
      <c r="AA106" s="126"/>
      <c r="AB106" s="127"/>
      <c r="AC106" s="127"/>
      <c r="AH106" s="190">
        <v>0</v>
      </c>
      <c r="AM106" s="18"/>
      <c r="AN106" s="18"/>
      <c r="AO106" s="18"/>
    </row>
    <row r="107" spans="1:41" x14ac:dyDescent="0.2">
      <c r="A107">
        <v>4</v>
      </c>
      <c r="B107" s="91" t="s">
        <v>209</v>
      </c>
      <c r="E107"/>
      <c r="F107"/>
      <c r="G107" s="37" t="s">
        <v>126</v>
      </c>
      <c r="H107"/>
      <c r="I107" s="37"/>
      <c r="J107" s="144"/>
      <c r="K107" s="139">
        <v>1</v>
      </c>
      <c r="L107" s="139">
        <v>1</v>
      </c>
      <c r="M107" s="139">
        <v>0</v>
      </c>
      <c r="N107" s="144">
        <v>3</v>
      </c>
      <c r="O107" s="190">
        <v>0</v>
      </c>
      <c r="S107" s="369">
        <f>SUM(O107:O116)/SUM(N107:N113)</f>
        <v>0</v>
      </c>
      <c r="T107" s="369"/>
      <c r="U107" s="369"/>
      <c r="V107" s="369"/>
      <c r="W107" s="227"/>
      <c r="X107" s="126"/>
      <c r="Y107" s="127"/>
      <c r="Z107" s="127"/>
      <c r="AA107" s="126"/>
      <c r="AB107" s="127"/>
      <c r="AC107" s="127"/>
      <c r="AH107" s="190">
        <v>0</v>
      </c>
      <c r="AM107" s="18"/>
      <c r="AN107" s="18"/>
      <c r="AO107" s="18"/>
    </row>
    <row r="108" spans="1:41" x14ac:dyDescent="0.2">
      <c r="B108" s="91" t="s">
        <v>210</v>
      </c>
      <c r="E108"/>
      <c r="F108"/>
      <c r="G108" s="37" t="s">
        <v>126</v>
      </c>
      <c r="H108"/>
      <c r="I108" s="37"/>
      <c r="J108" s="144"/>
      <c r="K108" s="139"/>
      <c r="L108" s="139"/>
      <c r="O108" s="190">
        <v>0</v>
      </c>
      <c r="S108" s="369"/>
      <c r="T108" s="369"/>
      <c r="U108" s="369"/>
      <c r="V108" s="369"/>
      <c r="W108" s="227"/>
      <c r="X108" s="126"/>
      <c r="Y108" s="127"/>
      <c r="Z108" s="127"/>
      <c r="AA108" s="126"/>
      <c r="AB108" s="127"/>
      <c r="AC108" s="127"/>
      <c r="AH108" s="190">
        <v>0</v>
      </c>
      <c r="AM108" s="18"/>
      <c r="AN108" s="18"/>
      <c r="AO108" s="18"/>
    </row>
    <row r="109" spans="1:41" x14ac:dyDescent="0.2">
      <c r="B109" s="91" t="s">
        <v>211</v>
      </c>
      <c r="E109"/>
      <c r="F109"/>
      <c r="G109" s="37" t="s">
        <v>126</v>
      </c>
      <c r="H109"/>
      <c r="I109" s="37"/>
      <c r="J109" s="144"/>
      <c r="K109" s="139"/>
      <c r="L109" s="139"/>
      <c r="O109" s="190">
        <v>0</v>
      </c>
      <c r="S109" s="369"/>
      <c r="T109" s="369"/>
      <c r="U109" s="369"/>
      <c r="V109" s="369"/>
      <c r="W109" s="227"/>
      <c r="X109" s="127" t="s">
        <v>212</v>
      </c>
      <c r="Z109" s="127" t="s">
        <v>212</v>
      </c>
      <c r="AA109" s="127" t="s">
        <v>212</v>
      </c>
      <c r="AC109" s="127" t="s">
        <v>212</v>
      </c>
      <c r="AH109" s="190">
        <v>0</v>
      </c>
      <c r="AM109" s="18"/>
      <c r="AN109" s="18"/>
      <c r="AO109" s="18"/>
    </row>
    <row r="110" spans="1:41" x14ac:dyDescent="0.2">
      <c r="B110" s="91" t="s">
        <v>213</v>
      </c>
      <c r="E110"/>
      <c r="F110"/>
      <c r="G110" s="37" t="s">
        <v>126</v>
      </c>
      <c r="H110"/>
      <c r="I110" s="37"/>
      <c r="J110" s="144"/>
      <c r="K110" s="139"/>
      <c r="L110" s="139" t="s">
        <v>27</v>
      </c>
      <c r="M110" s="139" t="s">
        <v>27</v>
      </c>
      <c r="N110" s="139">
        <v>3</v>
      </c>
      <c r="O110" s="190">
        <v>0</v>
      </c>
      <c r="S110" s="369"/>
      <c r="T110" s="369"/>
      <c r="U110" s="369"/>
      <c r="V110" s="369"/>
      <c r="W110" s="227"/>
      <c r="X110" s="127"/>
      <c r="Z110" s="127"/>
      <c r="AA110" s="127"/>
      <c r="AC110" s="127"/>
      <c r="AH110" s="192">
        <v>0</v>
      </c>
      <c r="AM110" s="18"/>
      <c r="AN110" s="18"/>
      <c r="AO110" s="18"/>
    </row>
    <row r="111" spans="1:41" x14ac:dyDescent="0.2">
      <c r="B111" s="91" t="s">
        <v>214</v>
      </c>
      <c r="E111"/>
      <c r="F111"/>
      <c r="G111" s="37" t="s">
        <v>126</v>
      </c>
      <c r="H111"/>
      <c r="I111" s="37"/>
      <c r="J111" s="144"/>
      <c r="K111" s="139"/>
      <c r="L111" s="139"/>
      <c r="O111" s="190">
        <v>0</v>
      </c>
      <c r="S111" s="369"/>
      <c r="T111" s="369"/>
      <c r="U111" s="369"/>
      <c r="V111" s="369"/>
      <c r="W111" s="227"/>
      <c r="X111" s="127"/>
      <c r="Z111" s="127"/>
      <c r="AA111" s="127"/>
      <c r="AC111" s="127"/>
      <c r="AH111" s="192">
        <v>1</v>
      </c>
      <c r="AM111" s="18"/>
      <c r="AN111" s="18"/>
      <c r="AO111" s="18"/>
    </row>
    <row r="112" spans="1:41" x14ac:dyDescent="0.2">
      <c r="B112" s="91" t="s">
        <v>215</v>
      </c>
      <c r="E112"/>
      <c r="F112"/>
      <c r="G112" s="37" t="s">
        <v>126</v>
      </c>
      <c r="H112"/>
      <c r="I112" s="37"/>
      <c r="J112" s="144"/>
      <c r="K112" s="139"/>
      <c r="L112" s="139"/>
      <c r="O112" s="190">
        <v>0</v>
      </c>
      <c r="S112" s="369"/>
      <c r="T112" s="369"/>
      <c r="U112" s="369"/>
      <c r="V112" s="369"/>
      <c r="W112" s="227"/>
      <c r="X112" s="127"/>
      <c r="Z112" s="127"/>
      <c r="AA112" s="127"/>
      <c r="AC112" s="127"/>
      <c r="AH112" s="192">
        <v>1</v>
      </c>
      <c r="AM112" s="18"/>
      <c r="AN112" s="18"/>
      <c r="AO112" s="18"/>
    </row>
    <row r="113" spans="1:41" x14ac:dyDescent="0.2">
      <c r="B113" s="91" t="s">
        <v>216</v>
      </c>
      <c r="E113"/>
      <c r="F113"/>
      <c r="G113" s="37" t="s">
        <v>126</v>
      </c>
      <c r="H113"/>
      <c r="I113" s="37"/>
      <c r="J113" s="144"/>
      <c r="K113" s="139"/>
      <c r="L113" s="139" t="s">
        <v>27</v>
      </c>
      <c r="M113" s="139" t="s">
        <v>27</v>
      </c>
      <c r="N113" s="139">
        <v>4</v>
      </c>
      <c r="O113" s="190">
        <v>0</v>
      </c>
      <c r="S113" s="371"/>
      <c r="T113" s="371"/>
      <c r="U113" s="371"/>
      <c r="V113" s="371"/>
      <c r="W113" s="227"/>
      <c r="X113" s="127"/>
      <c r="Z113" s="127"/>
      <c r="AA113" s="127"/>
      <c r="AC113" s="127"/>
      <c r="AH113" s="192">
        <v>1</v>
      </c>
      <c r="AM113" s="18"/>
      <c r="AN113" s="18"/>
      <c r="AO113" s="18"/>
    </row>
    <row r="114" spans="1:41" x14ac:dyDescent="0.2">
      <c r="B114" s="91" t="s">
        <v>217</v>
      </c>
      <c r="E114"/>
      <c r="F114"/>
      <c r="G114" s="37" t="s">
        <v>126</v>
      </c>
      <c r="H114"/>
      <c r="I114" s="37"/>
      <c r="J114" s="144"/>
      <c r="K114" s="139"/>
      <c r="L114" s="139"/>
      <c r="O114" s="190">
        <v>0</v>
      </c>
      <c r="S114" s="371"/>
      <c r="T114" s="371"/>
      <c r="U114" s="371"/>
      <c r="V114" s="371"/>
      <c r="W114" s="227"/>
      <c r="X114" s="127"/>
      <c r="Z114" s="127"/>
      <c r="AA114" s="127"/>
      <c r="AC114" s="127"/>
      <c r="AH114" s="192">
        <v>1</v>
      </c>
      <c r="AM114" s="18"/>
      <c r="AN114" s="18"/>
      <c r="AO114" s="18"/>
    </row>
    <row r="115" spans="1:41" x14ac:dyDescent="0.2">
      <c r="B115" s="91" t="s">
        <v>218</v>
      </c>
      <c r="E115"/>
      <c r="F115"/>
      <c r="G115" s="37" t="s">
        <v>126</v>
      </c>
      <c r="H115"/>
      <c r="I115" s="37"/>
      <c r="J115" s="144"/>
      <c r="K115" s="139"/>
      <c r="L115" s="139"/>
      <c r="O115" s="190">
        <v>0</v>
      </c>
      <c r="S115" s="371"/>
      <c r="T115" s="371"/>
      <c r="U115" s="371"/>
      <c r="V115" s="371"/>
      <c r="W115" s="227"/>
      <c r="X115" s="127"/>
      <c r="Z115" s="127"/>
      <c r="AA115" s="127"/>
      <c r="AC115" s="127"/>
      <c r="AH115" s="192">
        <v>0</v>
      </c>
      <c r="AM115" s="18"/>
      <c r="AN115" s="18"/>
      <c r="AO115" s="18"/>
    </row>
    <row r="116" spans="1:41" x14ac:dyDescent="0.2">
      <c r="B116" s="91" t="s">
        <v>219</v>
      </c>
      <c r="E116"/>
      <c r="F116"/>
      <c r="G116" s="37" t="s">
        <v>126</v>
      </c>
      <c r="H116"/>
      <c r="I116" s="37"/>
      <c r="J116" s="144"/>
      <c r="K116" s="139"/>
      <c r="L116" s="139"/>
      <c r="O116" s="190">
        <v>0</v>
      </c>
      <c r="S116" s="371"/>
      <c r="T116" s="371"/>
      <c r="U116" s="371"/>
      <c r="V116" s="371"/>
      <c r="W116" s="227"/>
      <c r="X116" s="127"/>
      <c r="Z116" s="127"/>
      <c r="AA116" s="127"/>
      <c r="AC116" s="127"/>
      <c r="AH116" s="192">
        <v>0</v>
      </c>
      <c r="AM116" s="18"/>
      <c r="AN116" s="18"/>
      <c r="AO116" s="18"/>
    </row>
    <row r="117" spans="1:41" s="19" customFormat="1" x14ac:dyDescent="0.2">
      <c r="A117" s="48" t="s">
        <v>27</v>
      </c>
      <c r="B117" s="118" t="s">
        <v>220</v>
      </c>
      <c r="C117" s="32" t="s">
        <v>96</v>
      </c>
      <c r="D117" s="32">
        <v>5</v>
      </c>
      <c r="E117" s="32" t="s">
        <v>121</v>
      </c>
      <c r="F117" s="32"/>
      <c r="G117" s="32"/>
      <c r="H117" s="32"/>
      <c r="I117" s="37"/>
      <c r="J117" s="144"/>
      <c r="K117" s="147"/>
      <c r="L117" s="147">
        <v>1</v>
      </c>
      <c r="M117" s="144">
        <v>0</v>
      </c>
      <c r="N117" s="144">
        <v>3</v>
      </c>
      <c r="O117" s="193">
        <v>0</v>
      </c>
      <c r="P117" s="192"/>
      <c r="Q117" s="192"/>
      <c r="R117" s="192"/>
      <c r="S117" s="371">
        <v>0</v>
      </c>
      <c r="T117" s="371"/>
      <c r="U117" s="371"/>
      <c r="V117" s="371"/>
      <c r="W117" s="227"/>
      <c r="X117" s="127"/>
      <c r="Z117" s="127"/>
      <c r="AA117" s="127"/>
      <c r="AC117" s="127"/>
      <c r="AH117" s="192">
        <v>0</v>
      </c>
      <c r="AJ117" s="42"/>
      <c r="AK117" s="42"/>
      <c r="AL117" s="42"/>
    </row>
    <row r="118" spans="1:41" s="19" customFormat="1" x14ac:dyDescent="0.2">
      <c r="B118" s="118" t="s">
        <v>221</v>
      </c>
      <c r="C118" s="32" t="s">
        <v>96</v>
      </c>
      <c r="D118" s="32">
        <v>5</v>
      </c>
      <c r="E118" s="32" t="s">
        <v>121</v>
      </c>
      <c r="F118" s="32"/>
      <c r="G118" s="32"/>
      <c r="H118" s="32"/>
      <c r="I118" s="37"/>
      <c r="J118" s="144"/>
      <c r="K118" s="147"/>
      <c r="L118" s="147"/>
      <c r="M118" s="144"/>
      <c r="N118" s="144"/>
      <c r="O118" s="193">
        <v>0</v>
      </c>
      <c r="P118" s="192"/>
      <c r="Q118" s="192"/>
      <c r="R118" s="192"/>
      <c r="S118" s="371"/>
      <c r="T118" s="371"/>
      <c r="U118" s="371"/>
      <c r="V118" s="371"/>
      <c r="W118" s="227"/>
      <c r="X118" s="127"/>
      <c r="Z118" s="127"/>
      <c r="AA118" s="127"/>
      <c r="AC118" s="127"/>
      <c r="AH118" s="192">
        <v>1</v>
      </c>
      <c r="AJ118" s="42"/>
      <c r="AK118" s="42"/>
      <c r="AL118" s="42"/>
    </row>
    <row r="119" spans="1:41" s="19" customFormat="1" x14ac:dyDescent="0.2">
      <c r="B119" s="118" t="s">
        <v>222</v>
      </c>
      <c r="C119" s="32" t="s">
        <v>96</v>
      </c>
      <c r="D119" s="32">
        <v>5</v>
      </c>
      <c r="E119" s="32" t="s">
        <v>121</v>
      </c>
      <c r="F119" s="32"/>
      <c r="G119" s="32"/>
      <c r="H119" s="32"/>
      <c r="I119" s="37"/>
      <c r="J119" s="144"/>
      <c r="K119" s="147"/>
      <c r="L119" s="147"/>
      <c r="M119" s="144"/>
      <c r="N119" s="144"/>
      <c r="O119" s="193">
        <v>0</v>
      </c>
      <c r="P119" s="192"/>
      <c r="Q119" s="192"/>
      <c r="R119" s="192"/>
      <c r="S119" s="371"/>
      <c r="T119" s="371"/>
      <c r="U119" s="371"/>
      <c r="V119" s="371"/>
      <c r="W119" s="227"/>
      <c r="X119" s="127"/>
      <c r="Z119" s="127"/>
      <c r="AA119" s="127"/>
      <c r="AC119" s="127"/>
      <c r="AH119" s="192">
        <v>0</v>
      </c>
      <c r="AJ119" s="42"/>
      <c r="AK119" s="42"/>
      <c r="AL119" s="42"/>
    </row>
    <row r="120" spans="1:41" x14ac:dyDescent="0.2">
      <c r="B120" s="91" t="s">
        <v>223</v>
      </c>
      <c r="E120"/>
      <c r="F120"/>
      <c r="G120"/>
      <c r="H120"/>
      <c r="I120" s="37"/>
      <c r="J120" s="144"/>
      <c r="K120" s="139"/>
      <c r="L120" s="139">
        <v>1</v>
      </c>
      <c r="M120" s="139" t="s">
        <v>27</v>
      </c>
      <c r="N120" s="139">
        <v>4</v>
      </c>
      <c r="O120" s="190">
        <v>0</v>
      </c>
      <c r="S120" s="371">
        <v>0</v>
      </c>
      <c r="T120" s="371"/>
      <c r="U120" s="371"/>
      <c r="V120" s="371"/>
      <c r="W120" s="227"/>
      <c r="X120" s="127" t="s">
        <v>224</v>
      </c>
      <c r="Z120" s="127" t="s">
        <v>224</v>
      </c>
      <c r="AA120" s="127" t="s">
        <v>224</v>
      </c>
      <c r="AC120" s="127" t="s">
        <v>224</v>
      </c>
      <c r="AH120" s="192">
        <v>1</v>
      </c>
      <c r="AM120" s="18"/>
      <c r="AN120" s="18"/>
      <c r="AO120" s="18"/>
    </row>
    <row r="121" spans="1:41" x14ac:dyDescent="0.2">
      <c r="B121" s="91" t="s">
        <v>225</v>
      </c>
      <c r="E121"/>
      <c r="F121"/>
      <c r="G121"/>
      <c r="H121"/>
      <c r="I121" s="37"/>
      <c r="J121" s="139"/>
      <c r="K121" s="139"/>
      <c r="L121" s="139"/>
      <c r="O121" s="190">
        <v>0</v>
      </c>
      <c r="S121" s="371"/>
      <c r="T121" s="371"/>
      <c r="U121" s="371"/>
      <c r="V121" s="371"/>
      <c r="W121" s="227"/>
      <c r="X121" s="127" t="s">
        <v>224</v>
      </c>
      <c r="Z121" s="127" t="s">
        <v>224</v>
      </c>
      <c r="AA121" s="127" t="s">
        <v>224</v>
      </c>
      <c r="AC121" s="127" t="s">
        <v>224</v>
      </c>
      <c r="AH121" s="192">
        <v>1</v>
      </c>
      <c r="AM121" s="18"/>
      <c r="AN121" s="18"/>
      <c r="AO121" s="18"/>
    </row>
    <row r="122" spans="1:41" x14ac:dyDescent="0.2">
      <c r="B122" s="91" t="s">
        <v>226</v>
      </c>
      <c r="E122"/>
      <c r="F122"/>
      <c r="G122"/>
      <c r="H122"/>
      <c r="I122" s="37"/>
      <c r="J122" s="139"/>
      <c r="K122" s="139"/>
      <c r="L122" s="139"/>
      <c r="O122" s="190">
        <v>0</v>
      </c>
      <c r="S122" s="371"/>
      <c r="T122" s="371"/>
      <c r="U122" s="371"/>
      <c r="V122" s="371"/>
      <c r="W122" s="227"/>
      <c r="X122" s="127"/>
      <c r="Z122" s="127"/>
      <c r="AA122" s="126"/>
      <c r="AB122" s="127"/>
      <c r="AC122" s="127"/>
      <c r="AH122" s="192">
        <v>0</v>
      </c>
      <c r="AM122" s="18"/>
      <c r="AN122" s="18"/>
      <c r="AO122" s="18"/>
    </row>
    <row r="123" spans="1:41" x14ac:dyDescent="0.2">
      <c r="B123" s="91" t="s">
        <v>227</v>
      </c>
      <c r="E123"/>
      <c r="F123"/>
      <c r="G123"/>
      <c r="H123"/>
      <c r="I123" s="19"/>
      <c r="J123" s="139"/>
      <c r="K123" s="139"/>
      <c r="L123" s="139"/>
      <c r="O123" s="190">
        <v>0</v>
      </c>
      <c r="S123" s="371"/>
      <c r="T123" s="371"/>
      <c r="U123" s="371"/>
      <c r="V123" s="371"/>
      <c r="W123" s="227"/>
      <c r="X123" s="29"/>
      <c r="Y123" s="30"/>
      <c r="Z123" s="30"/>
      <c r="AA123" s="29"/>
      <c r="AB123" s="30"/>
      <c r="AC123" s="30"/>
      <c r="AH123" s="192">
        <v>0</v>
      </c>
      <c r="AM123" s="18"/>
      <c r="AN123" s="18"/>
      <c r="AO123" s="18"/>
    </row>
    <row r="124" spans="1:41" s="561" customFormat="1" x14ac:dyDescent="0.2">
      <c r="B124" s="561" t="s">
        <v>228</v>
      </c>
      <c r="G124" s="561" t="s">
        <v>126</v>
      </c>
      <c r="I124" s="206"/>
      <c r="J124" s="562"/>
      <c r="K124" s="562"/>
      <c r="L124" s="562"/>
      <c r="M124" s="562"/>
      <c r="N124" s="562"/>
      <c r="O124" s="562" t="s">
        <v>27</v>
      </c>
      <c r="P124" s="562"/>
      <c r="Q124" s="562"/>
      <c r="R124" s="562"/>
      <c r="S124" s="563"/>
      <c r="T124" s="563"/>
      <c r="U124" s="563"/>
      <c r="V124" s="563"/>
      <c r="W124" s="564"/>
      <c r="X124" s="209"/>
      <c r="Y124" s="210"/>
      <c r="Z124" s="210"/>
      <c r="AA124" s="209"/>
      <c r="AB124" s="210"/>
      <c r="AC124" s="210"/>
      <c r="AH124" s="565">
        <v>0</v>
      </c>
      <c r="AJ124" s="47">
        <v>1</v>
      </c>
      <c r="AK124" s="47">
        <v>1</v>
      </c>
      <c r="AL124" s="47">
        <v>0</v>
      </c>
      <c r="AM124" s="566"/>
      <c r="AN124" s="566"/>
      <c r="AO124" s="566"/>
    </row>
    <row r="125" spans="1:41" s="561" customFormat="1" x14ac:dyDescent="0.2">
      <c r="B125" s="561" t="s">
        <v>229</v>
      </c>
      <c r="G125" s="561" t="s">
        <v>126</v>
      </c>
      <c r="I125" s="206"/>
      <c r="J125" s="562"/>
      <c r="K125" s="562"/>
      <c r="L125" s="562"/>
      <c r="M125" s="562"/>
      <c r="N125" s="562"/>
      <c r="O125" s="562" t="s">
        <v>27</v>
      </c>
      <c r="P125" s="562"/>
      <c r="Q125" s="562"/>
      <c r="R125" s="562"/>
      <c r="S125" s="563"/>
      <c r="T125" s="563"/>
      <c r="U125" s="563"/>
      <c r="V125" s="563"/>
      <c r="W125" s="564"/>
      <c r="X125" s="209"/>
      <c r="Y125" s="210"/>
      <c r="Z125" s="210"/>
      <c r="AA125" s="209"/>
      <c r="AB125" s="210"/>
      <c r="AC125" s="210"/>
      <c r="AH125" s="565">
        <v>0</v>
      </c>
      <c r="AJ125" s="47">
        <v>1</v>
      </c>
      <c r="AK125" s="47">
        <v>1</v>
      </c>
      <c r="AL125" s="47">
        <v>0</v>
      </c>
      <c r="AM125" s="566"/>
      <c r="AN125" s="566"/>
      <c r="AO125" s="566"/>
    </row>
    <row r="126" spans="1:41" s="561" customFormat="1" x14ac:dyDescent="0.2">
      <c r="B126" s="561" t="s">
        <v>230</v>
      </c>
      <c r="I126" s="206"/>
      <c r="J126" s="562"/>
      <c r="K126" s="562"/>
      <c r="L126" s="562"/>
      <c r="M126" s="562"/>
      <c r="N126" s="562"/>
      <c r="O126" s="562"/>
      <c r="P126" s="562"/>
      <c r="Q126" s="562"/>
      <c r="R126" s="562"/>
      <c r="S126" s="563"/>
      <c r="T126" s="563"/>
      <c r="U126" s="563"/>
      <c r="V126" s="563"/>
      <c r="W126" s="564"/>
      <c r="X126" s="209"/>
      <c r="Y126" s="210"/>
      <c r="Z126" s="210"/>
      <c r="AA126" s="209"/>
      <c r="AB126" s="210"/>
      <c r="AC126" s="210"/>
      <c r="AH126" s="565">
        <v>0</v>
      </c>
      <c r="AJ126" s="47">
        <v>1</v>
      </c>
      <c r="AK126" s="47"/>
      <c r="AL126" s="47">
        <v>0</v>
      </c>
      <c r="AM126" s="567"/>
      <c r="AN126" s="567"/>
      <c r="AO126" s="567"/>
    </row>
    <row r="127" spans="1:41" s="561" customFormat="1" x14ac:dyDescent="0.2">
      <c r="B127" s="561" t="s">
        <v>231</v>
      </c>
      <c r="I127" s="206"/>
      <c r="J127" s="562"/>
      <c r="K127" s="562"/>
      <c r="L127" s="562"/>
      <c r="M127" s="562"/>
      <c r="N127" s="562"/>
      <c r="O127" s="562"/>
      <c r="P127" s="562"/>
      <c r="Q127" s="562"/>
      <c r="R127" s="562"/>
      <c r="S127" s="563"/>
      <c r="T127" s="563"/>
      <c r="U127" s="563"/>
      <c r="V127" s="563"/>
      <c r="W127" s="564"/>
      <c r="X127" s="209"/>
      <c r="Y127" s="210"/>
      <c r="Z127" s="210"/>
      <c r="AA127" s="209"/>
      <c r="AB127" s="210"/>
      <c r="AC127" s="210"/>
      <c r="AH127" s="565">
        <v>1</v>
      </c>
      <c r="AJ127" s="47">
        <v>1</v>
      </c>
      <c r="AK127" s="47"/>
      <c r="AL127" s="47">
        <v>0</v>
      </c>
      <c r="AM127" s="567"/>
      <c r="AN127" s="567"/>
      <c r="AO127" s="567"/>
    </row>
    <row r="128" spans="1:41" s="280" customFormat="1" x14ac:dyDescent="0.2">
      <c r="A128" s="280" t="s">
        <v>24</v>
      </c>
      <c r="B128" s="281" t="s">
        <v>25</v>
      </c>
      <c r="I128" s="273"/>
      <c r="J128" s="320">
        <f>COUNT(A129:A227)</f>
        <v>5</v>
      </c>
      <c r="K128" s="321">
        <f>COUNTIF(K129:K171,1)/J128</f>
        <v>0.8</v>
      </c>
      <c r="L128" s="320">
        <f>SUM(L129:L218)</f>
        <v>28</v>
      </c>
      <c r="M128" s="321">
        <f>COUNTIF(M129:M171,1)/L128</f>
        <v>0.32142857142857145</v>
      </c>
      <c r="N128" s="320">
        <f>SUM(N129:N215)</f>
        <v>88</v>
      </c>
      <c r="O128" s="321">
        <f>COUNTIF(O129:O218,1)/N128</f>
        <v>0.21590909090909091</v>
      </c>
      <c r="P128" s="558">
        <f>AVERAGE(O129:O218)</f>
        <v>0.21111111111111111</v>
      </c>
      <c r="Q128" s="558">
        <f>_xlfn.STDEV.P(O129:O218)</f>
        <v>0.40809705938237684</v>
      </c>
      <c r="R128" s="559">
        <f>STDEV(O129:O218)/(SQRT(COUNT(O129:O218)))</f>
        <v>4.3258201778214905E-2</v>
      </c>
      <c r="S128" s="373">
        <f>+((N129*S129)+(N135*S135)+(N139*S139)+(N146*S146)+(N144*S144)+(N148*S148)+(N151*S151)+(N155*S155)+(N159*S159)+(N162*S162)+(N165*S165)+(N168*S168)+(N171*S171)+(N174*S174)+(N177*S177)+(N180*S180)+(N183*S183)+(N187*S187)+(N190*S190)+(N193*S193)+(N196*S196)+(N199*S199)+(N202*S202)+(N205*S205)+(N208*S208)+(N211*S211)+(N214*S214)+(N217*S217))/N128</f>
        <v>0.2156818181818182</v>
      </c>
      <c r="T128" s="373"/>
      <c r="U128" s="373">
        <f>_xlfn.STDEV.P(T129:T153)</f>
        <v>0.3157713941023369</v>
      </c>
      <c r="V128" s="373">
        <f>+V154</f>
        <v>6.4456565909834895E-2</v>
      </c>
      <c r="W128" s="327"/>
      <c r="X128" s="277"/>
      <c r="Y128" s="278"/>
      <c r="Z128" s="278"/>
      <c r="AA128" s="277"/>
      <c r="AB128" s="278"/>
      <c r="AC128" s="278"/>
      <c r="AH128" s="560">
        <v>1</v>
      </c>
      <c r="AJ128" s="328"/>
      <c r="AK128" s="328"/>
      <c r="AL128" s="328"/>
    </row>
    <row r="129" spans="1:45" s="19" customFormat="1" x14ac:dyDescent="0.2">
      <c r="A129" s="19">
        <v>1</v>
      </c>
      <c r="B129" s="112" t="s">
        <v>232</v>
      </c>
      <c r="C129" s="19" t="s">
        <v>101</v>
      </c>
      <c r="D129" s="19">
        <v>5</v>
      </c>
      <c r="E129" s="37" t="s">
        <v>167</v>
      </c>
      <c r="J129" s="144"/>
      <c r="K129" s="144">
        <v>1</v>
      </c>
      <c r="L129" s="144">
        <v>1</v>
      </c>
      <c r="M129" s="144">
        <v>1</v>
      </c>
      <c r="N129" s="144">
        <v>6</v>
      </c>
      <c r="O129" s="192">
        <v>0</v>
      </c>
      <c r="P129" s="192"/>
      <c r="Q129" s="192"/>
      <c r="R129" s="192"/>
      <c r="S129" s="371">
        <f>SUM(O129:O134)/SUM(N129)</f>
        <v>0.66666666666666663</v>
      </c>
      <c r="T129" s="371">
        <f>+S129</f>
        <v>0.66666666666666663</v>
      </c>
      <c r="U129" s="371"/>
      <c r="V129" s="371"/>
      <c r="W129" s="227"/>
      <c r="X129" s="29"/>
      <c r="Y129" s="30"/>
      <c r="Z129" s="30"/>
      <c r="AA129" s="29"/>
      <c r="AB129" s="30"/>
      <c r="AC129" s="30"/>
      <c r="AH129" s="192">
        <v>1</v>
      </c>
      <c r="AJ129" s="42"/>
      <c r="AK129" s="42"/>
      <c r="AL129" s="42"/>
    </row>
    <row r="130" spans="1:45" s="19" customFormat="1" x14ac:dyDescent="0.2">
      <c r="B130" s="112" t="s">
        <v>233</v>
      </c>
      <c r="C130" s="19" t="s">
        <v>101</v>
      </c>
      <c r="D130" s="19">
        <v>5</v>
      </c>
      <c r="E130" s="37" t="s">
        <v>167</v>
      </c>
      <c r="G130" s="37" t="s">
        <v>126</v>
      </c>
      <c r="J130" s="144"/>
      <c r="K130" s="144"/>
      <c r="L130" s="144"/>
      <c r="M130" s="144"/>
      <c r="N130" s="144" t="s">
        <v>27</v>
      </c>
      <c r="O130" s="192">
        <v>1</v>
      </c>
      <c r="P130" s="192"/>
      <c r="Q130" s="192"/>
      <c r="R130" s="192"/>
      <c r="S130" s="371"/>
      <c r="T130" s="371">
        <f>+S135</f>
        <v>0.25</v>
      </c>
      <c r="U130" s="371"/>
      <c r="V130" s="371"/>
      <c r="W130" s="227"/>
      <c r="X130" s="30" t="s">
        <v>234</v>
      </c>
      <c r="Z130" s="30" t="s">
        <v>234</v>
      </c>
      <c r="AA130" s="30" t="s">
        <v>234</v>
      </c>
      <c r="AC130" s="30" t="s">
        <v>234</v>
      </c>
      <c r="AH130" s="192">
        <v>1</v>
      </c>
      <c r="AJ130" s="42"/>
      <c r="AK130" s="42"/>
      <c r="AL130" s="42"/>
    </row>
    <row r="131" spans="1:45" s="19" customFormat="1" x14ac:dyDescent="0.2">
      <c r="B131" s="112" t="s">
        <v>235</v>
      </c>
      <c r="C131" s="19" t="s">
        <v>101</v>
      </c>
      <c r="D131" s="19">
        <v>5</v>
      </c>
      <c r="E131" s="37" t="s">
        <v>167</v>
      </c>
      <c r="G131" s="37" t="s">
        <v>126</v>
      </c>
      <c r="J131" s="144"/>
      <c r="K131" s="144"/>
      <c r="L131" s="144"/>
      <c r="M131" s="144"/>
      <c r="N131" s="144"/>
      <c r="O131" s="192">
        <v>1</v>
      </c>
      <c r="P131" s="192"/>
      <c r="Q131" s="192"/>
      <c r="R131" s="192"/>
      <c r="S131" s="371"/>
      <c r="T131" s="371">
        <f>+S139</f>
        <v>0.4</v>
      </c>
      <c r="U131" s="371"/>
      <c r="V131" s="371"/>
      <c r="W131" s="227"/>
      <c r="X131" s="30" t="s">
        <v>234</v>
      </c>
      <c r="Z131" s="30" t="s">
        <v>234</v>
      </c>
      <c r="AA131" s="30" t="s">
        <v>234</v>
      </c>
      <c r="AC131" s="30" t="s">
        <v>234</v>
      </c>
      <c r="AH131" s="192">
        <v>1</v>
      </c>
      <c r="AJ131" s="42"/>
      <c r="AK131" s="42"/>
      <c r="AL131" s="42"/>
    </row>
    <row r="132" spans="1:45" s="19" customFormat="1" x14ac:dyDescent="0.2">
      <c r="B132" s="112" t="s">
        <v>236</v>
      </c>
      <c r="C132" s="19" t="s">
        <v>101</v>
      </c>
      <c r="D132" s="19">
        <v>5</v>
      </c>
      <c r="E132" s="37" t="s">
        <v>167</v>
      </c>
      <c r="G132" s="37" t="s">
        <v>126</v>
      </c>
      <c r="J132" s="144"/>
      <c r="K132" s="144"/>
      <c r="L132" s="144" t="s">
        <v>27</v>
      </c>
      <c r="M132" s="144"/>
      <c r="N132" s="144"/>
      <c r="O132" s="192">
        <v>1</v>
      </c>
      <c r="P132" s="192"/>
      <c r="Q132" s="192"/>
      <c r="R132" s="192"/>
      <c r="S132" s="371"/>
      <c r="T132" s="371">
        <f>+S144</f>
        <v>0</v>
      </c>
      <c r="U132" s="371"/>
      <c r="V132" s="371"/>
      <c r="W132" s="227"/>
      <c r="X132" s="29"/>
      <c r="Y132" s="30"/>
      <c r="Z132" s="30"/>
      <c r="AA132" s="29"/>
      <c r="AB132" s="30"/>
      <c r="AC132" s="30"/>
      <c r="AH132" s="192">
        <v>1</v>
      </c>
      <c r="AJ132" s="42"/>
      <c r="AK132" s="42"/>
      <c r="AL132" s="42"/>
    </row>
    <row r="133" spans="1:45" s="19" customFormat="1" x14ac:dyDescent="0.2">
      <c r="B133" s="112" t="s">
        <v>237</v>
      </c>
      <c r="C133" s="19" t="s">
        <v>101</v>
      </c>
      <c r="D133" s="19">
        <v>5</v>
      </c>
      <c r="E133" s="37" t="s">
        <v>167</v>
      </c>
      <c r="G133" s="37" t="s">
        <v>126</v>
      </c>
      <c r="J133" s="144"/>
      <c r="K133" s="144"/>
      <c r="L133" s="144"/>
      <c r="M133" s="144"/>
      <c r="N133" s="144"/>
      <c r="O133" s="192">
        <v>1</v>
      </c>
      <c r="P133" s="192"/>
      <c r="Q133" s="192"/>
      <c r="R133" s="192"/>
      <c r="S133" s="371"/>
      <c r="T133" s="371">
        <f>+S146</f>
        <v>1</v>
      </c>
      <c r="U133" s="371"/>
      <c r="V133" s="371"/>
      <c r="W133" s="227"/>
      <c r="X133" s="29"/>
      <c r="Y133" s="30"/>
      <c r="Z133" s="30"/>
      <c r="AA133" s="29"/>
      <c r="AB133" s="30"/>
      <c r="AC133" s="30"/>
      <c r="AH133" s="192">
        <v>1</v>
      </c>
      <c r="AJ133" s="42"/>
      <c r="AK133" s="42"/>
      <c r="AL133" s="42"/>
    </row>
    <row r="134" spans="1:45" s="19" customFormat="1" x14ac:dyDescent="0.2">
      <c r="B134" s="112" t="s">
        <v>238</v>
      </c>
      <c r="C134" s="37" t="s">
        <v>96</v>
      </c>
      <c r="D134" s="37">
        <v>5</v>
      </c>
      <c r="E134" s="37" t="s">
        <v>121</v>
      </c>
      <c r="G134" s="37" t="s">
        <v>239</v>
      </c>
      <c r="J134" s="144"/>
      <c r="K134" s="144"/>
      <c r="L134" s="144"/>
      <c r="M134" s="144"/>
      <c r="N134" s="144"/>
      <c r="O134" s="192">
        <v>0</v>
      </c>
      <c r="P134" s="192"/>
      <c r="Q134" s="192"/>
      <c r="R134" s="192"/>
      <c r="S134" s="371"/>
      <c r="T134" s="371">
        <f>+S148</f>
        <v>1</v>
      </c>
      <c r="U134" s="371"/>
      <c r="V134" s="371"/>
      <c r="W134" s="227"/>
      <c r="X134" s="29"/>
      <c r="Y134" s="30"/>
      <c r="Z134" s="30"/>
      <c r="AA134" s="29"/>
      <c r="AB134" s="30"/>
      <c r="AC134" s="30"/>
      <c r="AH134" s="192">
        <v>0</v>
      </c>
      <c r="AJ134" s="42"/>
      <c r="AK134" s="42"/>
      <c r="AL134" s="42"/>
    </row>
    <row r="135" spans="1:45" s="19" customFormat="1" x14ac:dyDescent="0.2">
      <c r="B135" s="112" t="s">
        <v>240</v>
      </c>
      <c r="C135" s="19" t="s">
        <v>101</v>
      </c>
      <c r="D135" s="19">
        <v>5</v>
      </c>
      <c r="E135" s="19" t="s">
        <v>102</v>
      </c>
      <c r="J135" s="144"/>
      <c r="K135" s="144"/>
      <c r="L135" s="144">
        <v>1</v>
      </c>
      <c r="M135" s="144">
        <v>1</v>
      </c>
      <c r="N135" s="144">
        <v>4</v>
      </c>
      <c r="O135" s="192">
        <v>0</v>
      </c>
      <c r="P135" s="192"/>
      <c r="Q135" s="192"/>
      <c r="R135" s="192"/>
      <c r="S135" s="371">
        <v>0.25</v>
      </c>
      <c r="T135" s="371">
        <f>+S151</f>
        <v>0.5</v>
      </c>
      <c r="U135" s="371"/>
      <c r="V135" s="371"/>
      <c r="W135" s="227"/>
      <c r="X135" s="29"/>
      <c r="Y135" s="30"/>
      <c r="Z135" s="30"/>
      <c r="AA135" s="29"/>
      <c r="AB135" s="30"/>
      <c r="AC135" s="30"/>
      <c r="AH135" s="192">
        <v>0</v>
      </c>
      <c r="AJ135" s="42"/>
      <c r="AK135" s="42"/>
      <c r="AL135" s="42"/>
    </row>
    <row r="136" spans="1:45" s="19" customFormat="1" x14ac:dyDescent="0.2">
      <c r="B136" s="112" t="s">
        <v>241</v>
      </c>
      <c r="C136" s="19" t="s">
        <v>101</v>
      </c>
      <c r="D136" s="19">
        <v>5</v>
      </c>
      <c r="E136" s="19" t="s">
        <v>102</v>
      </c>
      <c r="J136" s="144"/>
      <c r="K136" s="144"/>
      <c r="L136" s="144"/>
      <c r="M136" s="144"/>
      <c r="N136" s="144"/>
      <c r="O136" s="192">
        <v>0</v>
      </c>
      <c r="P136" s="192"/>
      <c r="Q136" s="192"/>
      <c r="R136" s="192"/>
      <c r="S136" s="371"/>
      <c r="T136" s="371">
        <f>+S155</f>
        <v>0</v>
      </c>
      <c r="U136" s="371"/>
      <c r="V136" s="371"/>
      <c r="W136" s="227"/>
      <c r="X136" s="29"/>
      <c r="Y136" s="30"/>
      <c r="Z136" s="30"/>
      <c r="AA136" s="29"/>
      <c r="AB136" s="30"/>
      <c r="AC136" s="30"/>
      <c r="AH136" s="192">
        <v>0</v>
      </c>
      <c r="AJ136" s="42"/>
      <c r="AK136" s="42"/>
      <c r="AL136" s="42"/>
    </row>
    <row r="137" spans="1:45" s="19" customFormat="1" x14ac:dyDescent="0.2">
      <c r="B137" s="112" t="s">
        <v>242</v>
      </c>
      <c r="C137" s="19" t="s">
        <v>101</v>
      </c>
      <c r="D137" s="19">
        <v>5</v>
      </c>
      <c r="E137" s="19" t="s">
        <v>102</v>
      </c>
      <c r="G137" s="37" t="s">
        <v>126</v>
      </c>
      <c r="I137" s="1"/>
      <c r="J137" s="144"/>
      <c r="K137" s="144"/>
      <c r="L137" s="144"/>
      <c r="M137" s="144"/>
      <c r="N137" s="144"/>
      <c r="O137" s="192">
        <v>1</v>
      </c>
      <c r="P137" s="192"/>
      <c r="Q137" s="192"/>
      <c r="R137" s="192"/>
      <c r="S137" s="371"/>
      <c r="T137" s="371">
        <f>+S159</f>
        <v>0</v>
      </c>
      <c r="U137" s="371"/>
      <c r="V137" s="371"/>
      <c r="W137" s="227"/>
      <c r="X137" s="71"/>
      <c r="Y137" s="70"/>
      <c r="Z137" s="70"/>
      <c r="AA137" s="71"/>
      <c r="AB137" s="70"/>
      <c r="AC137" s="70"/>
      <c r="AH137" s="192">
        <v>0</v>
      </c>
      <c r="AJ137" s="42"/>
      <c r="AK137" s="42"/>
      <c r="AL137" s="42"/>
    </row>
    <row r="138" spans="1:45" s="19" customFormat="1" x14ac:dyDescent="0.2">
      <c r="B138" s="112" t="s">
        <v>243</v>
      </c>
      <c r="C138" s="19" t="s">
        <v>101</v>
      </c>
      <c r="D138" s="19">
        <v>5</v>
      </c>
      <c r="E138" s="19" t="s">
        <v>121</v>
      </c>
      <c r="I138" s="1"/>
      <c r="J138" s="144"/>
      <c r="K138" s="144"/>
      <c r="L138" s="144"/>
      <c r="M138" s="144"/>
      <c r="N138" s="144"/>
      <c r="O138" s="192">
        <v>0</v>
      </c>
      <c r="P138" s="192"/>
      <c r="Q138" s="192"/>
      <c r="R138" s="192"/>
      <c r="S138" s="371" t="s">
        <v>27</v>
      </c>
      <c r="T138" s="371">
        <f>+S162</f>
        <v>0.33</v>
      </c>
      <c r="U138" s="371"/>
      <c r="V138" s="371"/>
      <c r="W138" s="227"/>
      <c r="X138" s="71"/>
      <c r="Y138" s="70"/>
      <c r="Z138" s="70"/>
      <c r="AA138" s="71"/>
      <c r="AB138" s="70"/>
      <c r="AC138" s="70"/>
      <c r="AH138" s="192">
        <v>0</v>
      </c>
      <c r="AJ138" s="42"/>
      <c r="AK138" s="42"/>
      <c r="AL138" s="42"/>
    </row>
    <row r="139" spans="1:45" s="19" customFormat="1" x14ac:dyDescent="0.2">
      <c r="A139" s="19">
        <v>2</v>
      </c>
      <c r="B139" s="112" t="s">
        <v>244</v>
      </c>
      <c r="C139" s="37" t="s">
        <v>96</v>
      </c>
      <c r="D139" s="37">
        <v>5</v>
      </c>
      <c r="E139" s="37" t="s">
        <v>121</v>
      </c>
      <c r="G139" s="37" t="s">
        <v>126</v>
      </c>
      <c r="J139" s="144"/>
      <c r="K139" s="144">
        <v>1</v>
      </c>
      <c r="L139" s="144">
        <v>1</v>
      </c>
      <c r="M139" s="144">
        <v>1</v>
      </c>
      <c r="N139" s="145">
        <v>5</v>
      </c>
      <c r="O139" s="192">
        <v>1</v>
      </c>
      <c r="P139" s="192"/>
      <c r="Q139" s="192"/>
      <c r="R139" s="192"/>
      <c r="S139" s="371">
        <f>SUM(O139:O143)/SUM(N139)</f>
        <v>0.4</v>
      </c>
      <c r="T139" s="371">
        <f>+S159</f>
        <v>0</v>
      </c>
      <c r="U139" s="371"/>
      <c r="V139" s="371"/>
      <c r="W139" s="227"/>
      <c r="X139" s="29"/>
      <c r="Y139" s="30"/>
      <c r="Z139" s="30"/>
      <c r="AA139" s="29"/>
      <c r="AB139" s="30"/>
      <c r="AC139" s="30"/>
      <c r="AH139" s="192">
        <v>0</v>
      </c>
      <c r="AJ139" s="42"/>
      <c r="AK139" s="42"/>
      <c r="AL139" s="42"/>
    </row>
    <row r="140" spans="1:45" s="19" customFormat="1" x14ac:dyDescent="0.2">
      <c r="B140" s="112" t="s">
        <v>245</v>
      </c>
      <c r="C140" s="19" t="s">
        <v>101</v>
      </c>
      <c r="D140" s="19">
        <v>5</v>
      </c>
      <c r="E140" s="37" t="s">
        <v>167</v>
      </c>
      <c r="G140" s="37" t="s">
        <v>126</v>
      </c>
      <c r="J140" s="144"/>
      <c r="K140" s="144"/>
      <c r="L140" s="144"/>
      <c r="M140" s="144"/>
      <c r="N140" s="144"/>
      <c r="O140" s="192">
        <v>1</v>
      </c>
      <c r="P140" s="192"/>
      <c r="Q140" s="192"/>
      <c r="R140" s="192"/>
      <c r="S140" s="371"/>
      <c r="T140" s="371">
        <f>+S168</f>
        <v>0.33</v>
      </c>
      <c r="U140" s="371"/>
      <c r="V140" s="371"/>
      <c r="W140" s="227"/>
      <c r="X140" s="29"/>
      <c r="Y140" s="30"/>
      <c r="Z140" s="30"/>
      <c r="AA140" s="29"/>
      <c r="AB140" s="30"/>
      <c r="AC140" s="30"/>
      <c r="AH140" s="192">
        <v>0</v>
      </c>
      <c r="AJ140" s="42"/>
      <c r="AK140" s="42"/>
      <c r="AL140" s="42"/>
    </row>
    <row r="141" spans="1:45" s="19" customFormat="1" x14ac:dyDescent="0.2">
      <c r="B141" s="112" t="s">
        <v>246</v>
      </c>
      <c r="C141" s="19" t="s">
        <v>101</v>
      </c>
      <c r="D141" s="19">
        <v>5</v>
      </c>
      <c r="E141" s="37" t="s">
        <v>121</v>
      </c>
      <c r="J141" s="144"/>
      <c r="K141" s="144"/>
      <c r="L141" s="144"/>
      <c r="M141" s="144"/>
      <c r="N141" s="144"/>
      <c r="O141" s="192">
        <v>0</v>
      </c>
      <c r="P141" s="192"/>
      <c r="Q141" s="192"/>
      <c r="R141" s="192"/>
      <c r="S141" s="371"/>
      <c r="T141" s="371">
        <f>+S171</f>
        <v>0.67</v>
      </c>
      <c r="U141" s="371"/>
      <c r="V141" s="371"/>
      <c r="W141" s="227"/>
      <c r="X141" s="29"/>
      <c r="Y141" s="30"/>
      <c r="Z141" s="30"/>
      <c r="AA141" s="29"/>
      <c r="AB141" s="30"/>
      <c r="AC141" s="30"/>
      <c r="AH141" s="192">
        <v>0</v>
      </c>
      <c r="AJ141" s="42"/>
      <c r="AK141" s="42"/>
      <c r="AL141" s="42"/>
    </row>
    <row r="142" spans="1:45" s="19" customFormat="1" x14ac:dyDescent="0.2">
      <c r="B142" s="112" t="s">
        <v>247</v>
      </c>
      <c r="C142" s="19" t="s">
        <v>101</v>
      </c>
      <c r="D142" s="19">
        <v>5</v>
      </c>
      <c r="E142" s="37" t="s">
        <v>121</v>
      </c>
      <c r="J142" s="144"/>
      <c r="K142" s="144"/>
      <c r="L142" s="144"/>
      <c r="M142" s="144"/>
      <c r="N142" s="144"/>
      <c r="O142" s="192">
        <v>0</v>
      </c>
      <c r="P142" s="192"/>
      <c r="Q142" s="192"/>
      <c r="R142" s="192"/>
      <c r="S142" s="371"/>
      <c r="T142" s="371">
        <f>+S174</f>
        <v>0.33</v>
      </c>
      <c r="U142" s="371"/>
      <c r="V142" s="371"/>
      <c r="W142" s="227"/>
      <c r="X142" s="29"/>
      <c r="Y142" s="30"/>
      <c r="Z142" s="30"/>
      <c r="AA142" s="29"/>
      <c r="AB142" s="30"/>
      <c r="AC142" s="30"/>
      <c r="AH142" s="192">
        <v>0</v>
      </c>
      <c r="AJ142" s="42"/>
      <c r="AK142" s="42"/>
      <c r="AL142" s="42"/>
    </row>
    <row r="143" spans="1:45" s="19" customFormat="1" x14ac:dyDescent="0.2">
      <c r="B143" s="112" t="s">
        <v>248</v>
      </c>
      <c r="C143" s="19" t="s">
        <v>101</v>
      </c>
      <c r="D143" s="19">
        <v>5</v>
      </c>
      <c r="E143" s="37" t="s">
        <v>121</v>
      </c>
      <c r="J143" s="144"/>
      <c r="K143" s="144"/>
      <c r="L143" s="144"/>
      <c r="M143" s="144"/>
      <c r="N143" s="144"/>
      <c r="O143" s="192">
        <v>0</v>
      </c>
      <c r="P143" s="192"/>
      <c r="Q143" s="192"/>
      <c r="R143" s="192"/>
      <c r="S143" s="371"/>
      <c r="T143" s="371">
        <f>+S177</f>
        <v>0</v>
      </c>
      <c r="U143" s="371"/>
      <c r="V143" s="371"/>
      <c r="W143" s="227"/>
      <c r="X143" s="29"/>
      <c r="Y143" s="30"/>
      <c r="Z143" s="30"/>
      <c r="AA143" s="29"/>
      <c r="AB143" s="30"/>
      <c r="AC143" s="30"/>
      <c r="AH143" s="192">
        <v>0</v>
      </c>
      <c r="AJ143" s="42"/>
      <c r="AK143" s="42"/>
      <c r="AL143" s="42"/>
    </row>
    <row r="144" spans="1:45" s="19" customFormat="1" x14ac:dyDescent="0.2">
      <c r="A144" s="19" t="s">
        <v>27</v>
      </c>
      <c r="B144" s="112" t="s">
        <v>249</v>
      </c>
      <c r="C144" s="19" t="s">
        <v>101</v>
      </c>
      <c r="D144" s="19">
        <v>5</v>
      </c>
      <c r="E144" s="19" t="s">
        <v>102</v>
      </c>
      <c r="J144" s="144"/>
      <c r="K144" s="144"/>
      <c r="L144" s="144">
        <v>1</v>
      </c>
      <c r="M144" s="144">
        <v>0</v>
      </c>
      <c r="N144" s="144">
        <v>2</v>
      </c>
      <c r="O144" s="192">
        <v>0</v>
      </c>
      <c r="P144" s="192"/>
      <c r="Q144" s="192"/>
      <c r="R144" s="192"/>
      <c r="S144" s="371">
        <v>0</v>
      </c>
      <c r="T144" s="371">
        <f>+S217</f>
        <v>0</v>
      </c>
      <c r="U144" s="371"/>
      <c r="V144" s="371"/>
      <c r="W144" s="227"/>
      <c r="X144" s="29"/>
      <c r="Y144" s="30"/>
      <c r="Z144" s="30"/>
      <c r="AA144" s="29"/>
      <c r="AB144" s="30"/>
      <c r="AC144" s="30"/>
      <c r="AH144" s="194">
        <v>0</v>
      </c>
      <c r="AJ144" s="42"/>
      <c r="AK144" s="42"/>
      <c r="AL144" s="42"/>
      <c r="AQ144" s="154" t="s">
        <v>250</v>
      </c>
      <c r="AR144" s="154"/>
      <c r="AS144" s="154"/>
    </row>
    <row r="145" spans="1:45" s="19" customFormat="1" x14ac:dyDescent="0.2">
      <c r="B145" s="112" t="s">
        <v>251</v>
      </c>
      <c r="C145" s="19" t="s">
        <v>101</v>
      </c>
      <c r="D145" s="19">
        <v>56</v>
      </c>
      <c r="E145" s="19" t="s">
        <v>102</v>
      </c>
      <c r="F145" s="37" t="s">
        <v>252</v>
      </c>
      <c r="G145" s="37"/>
      <c r="H145" s="37"/>
      <c r="J145" s="144"/>
      <c r="K145" s="144"/>
      <c r="L145" s="144"/>
      <c r="M145" s="144"/>
      <c r="N145" s="144"/>
      <c r="O145" s="192">
        <v>0</v>
      </c>
      <c r="P145" s="192"/>
      <c r="Q145" s="192"/>
      <c r="R145" s="192"/>
      <c r="S145" s="371" t="s">
        <v>27</v>
      </c>
      <c r="T145" s="371">
        <v>0</v>
      </c>
      <c r="U145" s="371"/>
      <c r="V145" s="371"/>
      <c r="W145" s="227"/>
      <c r="X145" s="29"/>
      <c r="Y145" s="30"/>
      <c r="Z145" s="30"/>
      <c r="AA145" s="29"/>
      <c r="AB145" s="30"/>
      <c r="AC145" s="30"/>
      <c r="AH145" s="194">
        <v>1</v>
      </c>
      <c r="AJ145" s="42"/>
      <c r="AK145" s="42"/>
      <c r="AL145" s="42"/>
      <c r="AQ145" s="154" t="s">
        <v>253</v>
      </c>
      <c r="AR145" s="154"/>
      <c r="AS145" s="154"/>
    </row>
    <row r="146" spans="1:45" s="19" customFormat="1" x14ac:dyDescent="0.2">
      <c r="A146" s="19" t="s">
        <v>27</v>
      </c>
      <c r="B146" s="112" t="s">
        <v>254</v>
      </c>
      <c r="C146" s="37" t="s">
        <v>120</v>
      </c>
      <c r="D146" s="37">
        <v>5</v>
      </c>
      <c r="E146" s="37" t="s">
        <v>167</v>
      </c>
      <c r="G146" s="37" t="s">
        <v>126</v>
      </c>
      <c r="J146" s="144"/>
      <c r="K146" s="144"/>
      <c r="L146" s="144">
        <v>1</v>
      </c>
      <c r="M146" s="144">
        <v>1</v>
      </c>
      <c r="N146" s="144">
        <v>2</v>
      </c>
      <c r="O146" s="192">
        <v>1</v>
      </c>
      <c r="P146" s="192"/>
      <c r="Q146" s="192"/>
      <c r="R146" s="192"/>
      <c r="S146" s="371">
        <v>1</v>
      </c>
      <c r="T146" s="371">
        <v>0</v>
      </c>
      <c r="U146" s="371"/>
      <c r="V146" s="371"/>
      <c r="W146" s="227"/>
      <c r="X146" s="29"/>
      <c r="Y146" s="30"/>
      <c r="Z146" s="30"/>
      <c r="AA146" s="29"/>
      <c r="AB146" s="30"/>
      <c r="AC146" s="30"/>
      <c r="AH146" s="194">
        <v>0</v>
      </c>
      <c r="AJ146" s="42"/>
      <c r="AK146" s="42"/>
      <c r="AL146" s="42"/>
      <c r="AQ146" s="154" t="s">
        <v>255</v>
      </c>
      <c r="AR146" s="154"/>
      <c r="AS146" s="154"/>
    </row>
    <row r="147" spans="1:45" s="19" customFormat="1" x14ac:dyDescent="0.2">
      <c r="B147" s="112" t="s">
        <v>256</v>
      </c>
      <c r="C147" s="37"/>
      <c r="D147" s="37"/>
      <c r="E147" s="37"/>
      <c r="G147" s="19" t="s">
        <v>126</v>
      </c>
      <c r="J147" s="144"/>
      <c r="K147" s="144"/>
      <c r="L147" s="144"/>
      <c r="M147" s="144" t="s">
        <v>27</v>
      </c>
      <c r="N147" s="144"/>
      <c r="O147" s="192">
        <v>1</v>
      </c>
      <c r="P147" s="192"/>
      <c r="Q147" s="192"/>
      <c r="R147" s="192"/>
      <c r="S147" s="371"/>
      <c r="T147" s="371">
        <f t="shared" ref="T147:T153" si="0">+S220</f>
        <v>0</v>
      </c>
      <c r="U147" s="371"/>
      <c r="V147" s="371"/>
      <c r="W147" s="227"/>
      <c r="X147" s="29"/>
      <c r="Y147" s="30"/>
      <c r="Z147" s="30"/>
      <c r="AA147" s="29"/>
      <c r="AB147" s="30"/>
      <c r="AC147" s="30"/>
      <c r="AH147" s="194">
        <v>0</v>
      </c>
      <c r="AJ147" s="42"/>
      <c r="AK147" s="42"/>
      <c r="AL147" s="42"/>
      <c r="AQ147" s="154"/>
      <c r="AR147" s="154"/>
      <c r="AS147" s="154"/>
    </row>
    <row r="148" spans="1:45" s="19" customFormat="1" x14ac:dyDescent="0.2">
      <c r="A148" s="19">
        <v>3</v>
      </c>
      <c r="B148" s="112" t="s">
        <v>257</v>
      </c>
      <c r="C148" s="19" t="s">
        <v>101</v>
      </c>
      <c r="D148" s="19">
        <v>5</v>
      </c>
      <c r="E148" s="37" t="s">
        <v>167</v>
      </c>
      <c r="G148" s="37" t="s">
        <v>126</v>
      </c>
      <c r="H148" s="119" t="s">
        <v>258</v>
      </c>
      <c r="J148" s="144"/>
      <c r="K148" s="144">
        <v>1</v>
      </c>
      <c r="L148" s="145">
        <v>1</v>
      </c>
      <c r="M148" s="145">
        <v>1</v>
      </c>
      <c r="N148" s="145">
        <v>3</v>
      </c>
      <c r="O148" s="192">
        <v>1</v>
      </c>
      <c r="P148" s="192"/>
      <c r="Q148" s="192"/>
      <c r="R148" s="192"/>
      <c r="S148" s="371">
        <v>1</v>
      </c>
      <c r="T148" s="371">
        <f t="shared" si="0"/>
        <v>0</v>
      </c>
      <c r="U148" s="371"/>
      <c r="V148" s="371"/>
      <c r="W148" s="227"/>
      <c r="X148" s="29"/>
      <c r="Y148" s="30"/>
      <c r="Z148" s="30"/>
      <c r="AA148" s="29"/>
      <c r="AB148" s="30"/>
      <c r="AC148" s="30"/>
      <c r="AH148" s="194">
        <v>0</v>
      </c>
      <c r="AJ148" s="42"/>
      <c r="AK148" s="42"/>
      <c r="AL148" s="42"/>
      <c r="AQ148" s="155" t="s">
        <v>259</v>
      </c>
      <c r="AR148" s="154"/>
      <c r="AS148" s="154"/>
    </row>
    <row r="149" spans="1:45" s="19" customFormat="1" x14ac:dyDescent="0.2">
      <c r="B149" s="112" t="s">
        <v>260</v>
      </c>
      <c r="C149" s="19" t="s">
        <v>101</v>
      </c>
      <c r="D149" s="19">
        <v>5</v>
      </c>
      <c r="E149" s="37" t="s">
        <v>167</v>
      </c>
      <c r="G149" s="37" t="s">
        <v>126</v>
      </c>
      <c r="H149" s="119" t="s">
        <v>258</v>
      </c>
      <c r="J149" s="144"/>
      <c r="K149" s="144"/>
      <c r="L149" s="144"/>
      <c r="M149" s="145" t="s">
        <v>27</v>
      </c>
      <c r="N149" s="144"/>
      <c r="O149" s="192">
        <v>1</v>
      </c>
      <c r="P149" s="192"/>
      <c r="Q149" s="192"/>
      <c r="R149" s="192"/>
      <c r="S149" s="371"/>
      <c r="T149" s="371">
        <f t="shared" si="0"/>
        <v>0</v>
      </c>
      <c r="U149" s="371"/>
      <c r="V149" s="371"/>
      <c r="W149" s="227">
        <v>1</v>
      </c>
      <c r="X149" s="29"/>
      <c r="Y149" s="30"/>
      <c r="Z149" s="30"/>
      <c r="AA149" s="29"/>
      <c r="AB149" s="30"/>
      <c r="AC149" s="30"/>
      <c r="AG149" s="19" t="s">
        <v>261</v>
      </c>
      <c r="AH149" s="194">
        <v>1</v>
      </c>
      <c r="AJ149" s="42"/>
      <c r="AK149" s="42"/>
      <c r="AL149" s="42"/>
      <c r="AQ149" s="155" t="s">
        <v>262</v>
      </c>
      <c r="AR149" s="154"/>
      <c r="AS149" s="154"/>
    </row>
    <row r="150" spans="1:45" s="19" customFormat="1" x14ac:dyDescent="0.2">
      <c r="B150" s="112" t="s">
        <v>263</v>
      </c>
      <c r="C150" s="19" t="s">
        <v>101</v>
      </c>
      <c r="D150" s="19">
        <v>5</v>
      </c>
      <c r="E150" s="37" t="s">
        <v>167</v>
      </c>
      <c r="G150" s="37" t="s">
        <v>126</v>
      </c>
      <c r="J150" s="144"/>
      <c r="K150" s="144"/>
      <c r="L150" s="144" t="s">
        <v>27</v>
      </c>
      <c r="M150" s="145" t="s">
        <v>27</v>
      </c>
      <c r="N150" s="144"/>
      <c r="O150" s="192">
        <v>1</v>
      </c>
      <c r="P150" s="192"/>
      <c r="Q150" s="192"/>
      <c r="R150" s="192"/>
      <c r="S150" s="371"/>
      <c r="T150" s="371">
        <f t="shared" si="0"/>
        <v>0</v>
      </c>
      <c r="U150" s="371"/>
      <c r="V150" s="371"/>
      <c r="W150" s="227"/>
      <c r="X150" s="29"/>
      <c r="Y150" s="30"/>
      <c r="Z150" s="30"/>
      <c r="AA150" s="29"/>
      <c r="AB150" s="30"/>
      <c r="AC150" s="30"/>
      <c r="AH150" s="192">
        <v>0</v>
      </c>
      <c r="AJ150" s="42"/>
      <c r="AK150" s="42"/>
      <c r="AL150" s="42"/>
      <c r="AQ150" s="155" t="s">
        <v>264</v>
      </c>
      <c r="AR150" s="154"/>
      <c r="AS150" s="154"/>
    </row>
    <row r="151" spans="1:45" s="19" customFormat="1" x14ac:dyDescent="0.2">
      <c r="B151" s="112" t="s">
        <v>265</v>
      </c>
      <c r="C151" s="19" t="s">
        <v>101</v>
      </c>
      <c r="D151" s="19">
        <v>5</v>
      </c>
      <c r="E151" s="37" t="s">
        <v>167</v>
      </c>
      <c r="G151" s="37" t="s">
        <v>126</v>
      </c>
      <c r="J151" s="144"/>
      <c r="K151" s="144"/>
      <c r="L151" s="144">
        <v>1</v>
      </c>
      <c r="M151" s="144">
        <v>1</v>
      </c>
      <c r="N151" s="144">
        <v>4</v>
      </c>
      <c r="O151" s="192">
        <v>1</v>
      </c>
      <c r="P151" s="192"/>
      <c r="Q151" s="192"/>
      <c r="R151" s="192"/>
      <c r="S151" s="371">
        <v>0.5</v>
      </c>
      <c r="T151" s="371">
        <f t="shared" si="0"/>
        <v>0</v>
      </c>
      <c r="U151" s="371"/>
      <c r="V151" s="371"/>
      <c r="W151" s="227"/>
      <c r="X151" s="29"/>
      <c r="Y151" s="30"/>
      <c r="Z151" s="30"/>
      <c r="AA151" s="29"/>
      <c r="AB151" s="30"/>
      <c r="AC151" s="30"/>
      <c r="AH151" s="192">
        <v>0</v>
      </c>
      <c r="AJ151" s="42"/>
      <c r="AK151" s="42"/>
      <c r="AL151" s="42"/>
      <c r="AQ151" s="154"/>
      <c r="AR151" s="154"/>
      <c r="AS151" s="154"/>
    </row>
    <row r="152" spans="1:45" s="19" customFormat="1" x14ac:dyDescent="0.2">
      <c r="B152" s="112" t="s">
        <v>266</v>
      </c>
      <c r="C152" s="19" t="s">
        <v>101</v>
      </c>
      <c r="D152" s="19">
        <v>5</v>
      </c>
      <c r="E152" s="37" t="s">
        <v>167</v>
      </c>
      <c r="G152" s="37" t="s">
        <v>126</v>
      </c>
      <c r="J152" s="144"/>
      <c r="K152" s="144"/>
      <c r="L152" s="144"/>
      <c r="M152" s="145" t="s">
        <v>27</v>
      </c>
      <c r="N152" s="144"/>
      <c r="O152" s="192">
        <v>1</v>
      </c>
      <c r="P152" s="192"/>
      <c r="Q152" s="192"/>
      <c r="R152" s="192"/>
      <c r="S152" s="371" t="s">
        <v>27</v>
      </c>
      <c r="T152" s="371">
        <f t="shared" si="0"/>
        <v>0</v>
      </c>
      <c r="U152" s="371"/>
      <c r="V152" s="371"/>
      <c r="W152" s="227"/>
      <c r="X152" s="29"/>
      <c r="Y152" s="30"/>
      <c r="Z152" s="30"/>
      <c r="AA152" s="29"/>
      <c r="AB152" s="30"/>
      <c r="AC152" s="30"/>
      <c r="AH152" s="192">
        <v>0</v>
      </c>
      <c r="AJ152" s="42"/>
      <c r="AK152" s="42"/>
      <c r="AL152" s="42"/>
    </row>
    <row r="153" spans="1:45" s="19" customFormat="1" x14ac:dyDescent="0.2">
      <c r="B153" s="112" t="s">
        <v>267</v>
      </c>
      <c r="C153" s="19" t="s">
        <v>101</v>
      </c>
      <c r="D153" s="19">
        <v>5</v>
      </c>
      <c r="E153" s="37" t="s">
        <v>121</v>
      </c>
      <c r="J153" s="144"/>
      <c r="K153" s="144"/>
      <c r="L153" s="144" t="s">
        <v>27</v>
      </c>
      <c r="M153" s="144"/>
      <c r="N153" s="144"/>
      <c r="O153" s="192">
        <v>0</v>
      </c>
      <c r="P153" s="192"/>
      <c r="Q153" s="192"/>
      <c r="R153" s="192"/>
      <c r="S153" s="371"/>
      <c r="T153" s="371">
        <f t="shared" si="0"/>
        <v>0</v>
      </c>
      <c r="U153" s="371"/>
      <c r="V153" s="371"/>
      <c r="W153" s="227"/>
      <c r="X153" s="29"/>
      <c r="Y153" s="30"/>
      <c r="Z153" s="30"/>
      <c r="AA153" s="29"/>
      <c r="AB153" s="30"/>
      <c r="AC153" s="30"/>
      <c r="AH153" s="192">
        <v>1</v>
      </c>
      <c r="AJ153" s="42"/>
      <c r="AK153" s="42"/>
      <c r="AL153" s="42"/>
    </row>
    <row r="154" spans="1:45" s="19" customFormat="1" x14ac:dyDescent="0.2">
      <c r="B154" s="112" t="s">
        <v>268</v>
      </c>
      <c r="C154" s="19" t="s">
        <v>101</v>
      </c>
      <c r="D154" s="19">
        <v>5</v>
      </c>
      <c r="E154" s="37" t="s">
        <v>121</v>
      </c>
      <c r="J154" s="144"/>
      <c r="K154" s="144"/>
      <c r="L154" s="144"/>
      <c r="M154" s="144"/>
      <c r="N154" s="144"/>
      <c r="O154" s="192">
        <v>0</v>
      </c>
      <c r="P154" s="192"/>
      <c r="Q154" s="192"/>
      <c r="R154" s="192"/>
      <c r="S154" s="371"/>
      <c r="T154" s="382">
        <f>AVERAGE(T129:T153)</f>
        <v>0.21906666666666666</v>
      </c>
      <c r="U154" s="382"/>
      <c r="V154" s="380">
        <f>STDEV(T129:T153)/(SQRT(COUNT(T129:T153)))</f>
        <v>6.4456565909834895E-2</v>
      </c>
      <c r="W154" s="227"/>
      <c r="X154" s="29"/>
      <c r="Y154" s="30"/>
      <c r="Z154" s="30"/>
      <c r="AA154" s="29"/>
      <c r="AB154" s="30"/>
      <c r="AC154" s="30"/>
      <c r="AH154" s="192">
        <v>1</v>
      </c>
      <c r="AJ154" s="42"/>
      <c r="AK154" s="42"/>
      <c r="AL154" s="42"/>
    </row>
    <row r="155" spans="1:45" s="19" customFormat="1" x14ac:dyDescent="0.2">
      <c r="B155" s="112" t="s">
        <v>269</v>
      </c>
      <c r="C155" s="19" t="s">
        <v>101</v>
      </c>
      <c r="D155" s="19">
        <v>5</v>
      </c>
      <c r="E155" s="37" t="s">
        <v>121</v>
      </c>
      <c r="J155" s="144"/>
      <c r="K155" s="144"/>
      <c r="L155" s="144">
        <v>1</v>
      </c>
      <c r="M155" s="144">
        <v>0</v>
      </c>
      <c r="N155" s="144">
        <v>4</v>
      </c>
      <c r="O155" s="192">
        <v>0</v>
      </c>
      <c r="P155" s="192"/>
      <c r="Q155" s="192"/>
      <c r="R155" s="192"/>
      <c r="S155" s="371">
        <v>0</v>
      </c>
      <c r="T155" s="371"/>
      <c r="U155" s="371"/>
      <c r="V155" s="371"/>
      <c r="W155" s="227"/>
      <c r="X155" s="29"/>
      <c r="Y155" s="30"/>
      <c r="Z155" s="30"/>
      <c r="AA155" s="29"/>
      <c r="AB155" s="30"/>
      <c r="AC155" s="30"/>
      <c r="AH155" s="192">
        <v>1</v>
      </c>
      <c r="AJ155" s="42"/>
      <c r="AK155" s="42"/>
      <c r="AL155" s="42"/>
    </row>
    <row r="156" spans="1:45" s="19" customFormat="1" x14ac:dyDescent="0.2">
      <c r="B156" s="112" t="s">
        <v>270</v>
      </c>
      <c r="C156" s="19" t="s">
        <v>96</v>
      </c>
      <c r="D156" s="19">
        <v>5</v>
      </c>
      <c r="E156" s="37" t="s">
        <v>121</v>
      </c>
      <c r="J156" s="144"/>
      <c r="K156" s="144"/>
      <c r="L156" s="144" t="s">
        <v>27</v>
      </c>
      <c r="M156" s="144"/>
      <c r="N156" s="144"/>
      <c r="O156" s="192">
        <v>0</v>
      </c>
      <c r="P156" s="192"/>
      <c r="Q156" s="192"/>
      <c r="R156" s="192"/>
      <c r="S156" s="371"/>
      <c r="T156" s="371"/>
      <c r="U156" s="371"/>
      <c r="V156" s="371"/>
      <c r="W156" s="227"/>
      <c r="X156" s="29"/>
      <c r="Y156" s="30"/>
      <c r="Z156" s="30"/>
      <c r="AA156" s="29"/>
      <c r="AB156" s="30"/>
      <c r="AC156" s="30"/>
      <c r="AH156" s="192">
        <v>0</v>
      </c>
      <c r="AJ156" s="42"/>
      <c r="AK156" s="42"/>
      <c r="AL156" s="42"/>
    </row>
    <row r="157" spans="1:45" s="19" customFormat="1" x14ac:dyDescent="0.2">
      <c r="B157" s="112" t="s">
        <v>271</v>
      </c>
      <c r="C157" s="19" t="s">
        <v>96</v>
      </c>
      <c r="D157" s="19">
        <v>5</v>
      </c>
      <c r="E157" s="37" t="s">
        <v>121</v>
      </c>
      <c r="J157" s="144"/>
      <c r="K157" s="144"/>
      <c r="L157" s="144"/>
      <c r="M157" s="144"/>
      <c r="N157" s="144"/>
      <c r="O157" s="192">
        <v>0</v>
      </c>
      <c r="P157" s="192"/>
      <c r="Q157" s="192"/>
      <c r="R157" s="192"/>
      <c r="S157" s="371"/>
      <c r="T157" s="371"/>
      <c r="U157" s="371"/>
      <c r="V157" s="371"/>
      <c r="W157" s="227"/>
      <c r="X157" s="29"/>
      <c r="Y157" s="30"/>
      <c r="Z157" s="30"/>
      <c r="AA157" s="29"/>
      <c r="AB157" s="30"/>
      <c r="AC157" s="30"/>
      <c r="AH157" s="192">
        <v>0</v>
      </c>
      <c r="AJ157" s="42"/>
      <c r="AK157" s="42"/>
      <c r="AL157" s="42"/>
    </row>
    <row r="158" spans="1:45" s="19" customFormat="1" x14ac:dyDescent="0.2">
      <c r="B158" s="112" t="s">
        <v>272</v>
      </c>
      <c r="C158" s="19" t="s">
        <v>96</v>
      </c>
      <c r="D158" s="19">
        <v>5</v>
      </c>
      <c r="E158" s="37" t="s">
        <v>121</v>
      </c>
      <c r="J158" s="144"/>
      <c r="K158" s="144"/>
      <c r="L158" s="144"/>
      <c r="M158" s="144"/>
      <c r="N158" s="144"/>
      <c r="O158" s="192">
        <v>0</v>
      </c>
      <c r="P158" s="192"/>
      <c r="Q158" s="192"/>
      <c r="R158" s="192"/>
      <c r="S158" s="371"/>
      <c r="T158" s="371"/>
      <c r="U158" s="371"/>
      <c r="V158" s="371"/>
      <c r="W158" s="227"/>
      <c r="X158" s="29"/>
      <c r="Y158" s="30"/>
      <c r="Z158" s="30"/>
      <c r="AA158" s="29"/>
      <c r="AB158" s="30"/>
      <c r="AC158" s="30"/>
      <c r="AH158" s="192">
        <v>0</v>
      </c>
      <c r="AJ158" s="42"/>
      <c r="AK158" s="42"/>
      <c r="AL158" s="42"/>
    </row>
    <row r="159" spans="1:45" s="19" customFormat="1" x14ac:dyDescent="0.2">
      <c r="B159" s="112" t="s">
        <v>273</v>
      </c>
      <c r="C159" s="19" t="s">
        <v>96</v>
      </c>
      <c r="D159" s="19">
        <v>5</v>
      </c>
      <c r="E159" s="37" t="s">
        <v>121</v>
      </c>
      <c r="J159" s="144"/>
      <c r="K159" s="144"/>
      <c r="L159" s="144">
        <v>1</v>
      </c>
      <c r="M159" s="144">
        <v>0</v>
      </c>
      <c r="N159" s="144">
        <v>3</v>
      </c>
      <c r="O159" s="192">
        <v>0</v>
      </c>
      <c r="P159" s="192"/>
      <c r="Q159" s="192"/>
      <c r="R159" s="192"/>
      <c r="S159" s="371">
        <v>0</v>
      </c>
      <c r="T159" s="371"/>
      <c r="U159" s="371"/>
      <c r="V159" s="371"/>
      <c r="W159" s="227"/>
      <c r="X159" s="29"/>
      <c r="Y159" s="30"/>
      <c r="Z159" s="30"/>
      <c r="AA159" s="29"/>
      <c r="AB159" s="30"/>
      <c r="AC159" s="30"/>
      <c r="AH159" s="192">
        <v>0</v>
      </c>
      <c r="AJ159" s="42"/>
      <c r="AK159" s="42"/>
      <c r="AL159" s="42"/>
    </row>
    <row r="160" spans="1:45" s="19" customFormat="1" x14ac:dyDescent="0.2">
      <c r="B160" s="112" t="s">
        <v>274</v>
      </c>
      <c r="C160" s="19" t="s">
        <v>96</v>
      </c>
      <c r="D160" s="19">
        <v>5</v>
      </c>
      <c r="E160" s="37" t="s">
        <v>121</v>
      </c>
      <c r="J160" s="144"/>
      <c r="K160" s="144"/>
      <c r="L160" s="144"/>
      <c r="M160" s="144"/>
      <c r="N160" s="144"/>
      <c r="O160" s="192">
        <v>0</v>
      </c>
      <c r="P160" s="192"/>
      <c r="Q160" s="192"/>
      <c r="R160" s="192"/>
      <c r="S160" s="371" t="s">
        <v>27</v>
      </c>
      <c r="T160" s="371"/>
      <c r="U160" s="371"/>
      <c r="V160" s="371"/>
      <c r="W160" s="227"/>
      <c r="X160" s="29"/>
      <c r="Y160" s="30"/>
      <c r="Z160" s="30"/>
      <c r="AA160" s="29"/>
      <c r="AB160" s="30"/>
      <c r="AC160" s="30"/>
      <c r="AH160" s="192">
        <v>0</v>
      </c>
      <c r="AJ160" s="42"/>
      <c r="AK160" s="42"/>
      <c r="AL160" s="42"/>
    </row>
    <row r="161" spans="1:38" s="19" customFormat="1" x14ac:dyDescent="0.2">
      <c r="B161" s="112" t="s">
        <v>275</v>
      </c>
      <c r="C161" s="19" t="s">
        <v>96</v>
      </c>
      <c r="D161" s="19">
        <v>5</v>
      </c>
      <c r="E161" s="37" t="s">
        <v>121</v>
      </c>
      <c r="J161" s="144"/>
      <c r="K161" s="144"/>
      <c r="L161" s="144"/>
      <c r="M161" s="144"/>
      <c r="N161" s="144"/>
      <c r="O161" s="192">
        <v>0</v>
      </c>
      <c r="P161" s="192"/>
      <c r="Q161" s="192"/>
      <c r="R161" s="192"/>
      <c r="S161" s="371"/>
      <c r="T161" s="371"/>
      <c r="U161" s="371"/>
      <c r="V161" s="371"/>
      <c r="W161" s="227"/>
      <c r="X161" s="29"/>
      <c r="Y161" s="30"/>
      <c r="Z161" s="30"/>
      <c r="AA161" s="29"/>
      <c r="AB161" s="30"/>
      <c r="AC161" s="30"/>
      <c r="AH161" s="192">
        <v>0</v>
      </c>
      <c r="AJ161" s="42"/>
      <c r="AK161" s="42"/>
      <c r="AL161" s="42"/>
    </row>
    <row r="162" spans="1:38" s="19" customFormat="1" x14ac:dyDescent="0.2">
      <c r="A162" s="19">
        <v>4</v>
      </c>
      <c r="B162" s="112" t="s">
        <v>276</v>
      </c>
      <c r="C162" s="19" t="s">
        <v>101</v>
      </c>
      <c r="D162" s="19">
        <v>5</v>
      </c>
      <c r="E162" s="19" t="s">
        <v>277</v>
      </c>
      <c r="J162" s="144"/>
      <c r="K162" s="144">
        <v>1</v>
      </c>
      <c r="L162" s="144">
        <v>1</v>
      </c>
      <c r="M162" s="145">
        <v>1</v>
      </c>
      <c r="N162" s="144">
        <v>3</v>
      </c>
      <c r="O162" s="192">
        <v>0</v>
      </c>
      <c r="P162" s="192"/>
      <c r="Q162" s="192"/>
      <c r="R162" s="192"/>
      <c r="S162" s="371">
        <v>0.33</v>
      </c>
      <c r="T162" s="371"/>
      <c r="U162" s="371"/>
      <c r="V162" s="371"/>
      <c r="W162" s="227"/>
      <c r="X162" s="29"/>
      <c r="Y162" s="30"/>
      <c r="Z162" s="30"/>
      <c r="AA162" s="29"/>
      <c r="AB162" s="30"/>
      <c r="AC162" s="30"/>
      <c r="AH162" s="192">
        <v>0</v>
      </c>
      <c r="AJ162" s="42"/>
      <c r="AK162" s="42"/>
      <c r="AL162" s="42"/>
    </row>
    <row r="163" spans="1:38" s="19" customFormat="1" x14ac:dyDescent="0.2">
      <c r="B163" s="112" t="s">
        <v>278</v>
      </c>
      <c r="C163" s="37" t="s">
        <v>120</v>
      </c>
      <c r="D163" s="37">
        <v>5</v>
      </c>
      <c r="E163" s="37" t="s">
        <v>279</v>
      </c>
      <c r="F163" s="23" t="s">
        <v>103</v>
      </c>
      <c r="G163" s="23"/>
      <c r="H163" s="23"/>
      <c r="J163" s="148"/>
      <c r="K163" s="148"/>
      <c r="L163" s="148"/>
      <c r="M163" s="148"/>
      <c r="N163" s="144"/>
      <c r="O163" s="194">
        <v>0</v>
      </c>
      <c r="P163" s="194"/>
      <c r="Q163" s="194"/>
      <c r="R163" s="194"/>
      <c r="S163" s="371"/>
      <c r="T163" s="371"/>
      <c r="U163" s="371"/>
      <c r="V163" s="371"/>
      <c r="W163" s="227"/>
      <c r="X163" s="29"/>
      <c r="Y163" s="30"/>
      <c r="Z163" s="30"/>
      <c r="AA163" s="29"/>
      <c r="AB163" s="30"/>
      <c r="AC163" s="30"/>
      <c r="AH163" s="192">
        <v>0</v>
      </c>
      <c r="AJ163" s="42"/>
      <c r="AK163" s="42"/>
      <c r="AL163" s="42"/>
    </row>
    <row r="164" spans="1:38" s="19" customFormat="1" x14ac:dyDescent="0.2">
      <c r="B164" s="112" t="s">
        <v>280</v>
      </c>
      <c r="C164" s="37"/>
      <c r="D164" s="37"/>
      <c r="E164" s="37"/>
      <c r="F164" s="23"/>
      <c r="G164" s="23" t="s">
        <v>126</v>
      </c>
      <c r="H164" s="23"/>
      <c r="J164" s="148"/>
      <c r="K164" s="148"/>
      <c r="L164" s="148"/>
      <c r="M164" s="148" t="s">
        <v>27</v>
      </c>
      <c r="N164" s="144"/>
      <c r="O164" s="194">
        <v>1</v>
      </c>
      <c r="P164" s="194"/>
      <c r="Q164" s="194"/>
      <c r="R164" s="194"/>
      <c r="S164" s="371"/>
      <c r="T164" s="371"/>
      <c r="U164" s="371"/>
      <c r="V164" s="371"/>
      <c r="W164" s="227"/>
      <c r="X164" s="29"/>
      <c r="Y164" s="30"/>
      <c r="Z164" s="30"/>
      <c r="AA164" s="29"/>
      <c r="AB164" s="30"/>
      <c r="AC164" s="30"/>
      <c r="AH164" s="192">
        <v>0</v>
      </c>
      <c r="AJ164" s="42"/>
      <c r="AK164" s="42"/>
      <c r="AL164" s="42"/>
    </row>
    <row r="165" spans="1:38" s="19" customFormat="1" x14ac:dyDescent="0.2">
      <c r="B165" s="112" t="s">
        <v>281</v>
      </c>
      <c r="C165" s="37" t="s">
        <v>120</v>
      </c>
      <c r="D165" s="37">
        <v>10</v>
      </c>
      <c r="E165" s="37" t="s">
        <v>121</v>
      </c>
      <c r="F165" s="23" t="s">
        <v>27</v>
      </c>
      <c r="G165" s="23"/>
      <c r="H165" s="23"/>
      <c r="J165" s="148"/>
      <c r="K165" s="148"/>
      <c r="L165" s="148">
        <v>1</v>
      </c>
      <c r="M165" s="148">
        <v>0</v>
      </c>
      <c r="N165" s="144">
        <v>3</v>
      </c>
      <c r="O165" s="194">
        <v>0</v>
      </c>
      <c r="P165" s="194"/>
      <c r="Q165" s="194"/>
      <c r="R165" s="194"/>
      <c r="S165" s="371">
        <v>0</v>
      </c>
      <c r="T165" s="371"/>
      <c r="U165" s="371"/>
      <c r="V165" s="371"/>
      <c r="W165" s="227"/>
      <c r="X165" s="29"/>
      <c r="Y165" s="30"/>
      <c r="Z165" s="30"/>
      <c r="AA165" s="29"/>
      <c r="AB165" s="30"/>
      <c r="AC165" s="30"/>
      <c r="AH165" s="192">
        <v>0</v>
      </c>
      <c r="AJ165" s="42"/>
      <c r="AK165" s="42"/>
      <c r="AL165" s="42"/>
    </row>
    <row r="166" spans="1:38" s="19" customFormat="1" x14ac:dyDescent="0.2">
      <c r="B166" s="112" t="s">
        <v>282</v>
      </c>
      <c r="C166" s="37" t="s">
        <v>120</v>
      </c>
      <c r="D166" s="37">
        <v>10</v>
      </c>
      <c r="E166" s="19" t="s">
        <v>277</v>
      </c>
      <c r="F166" s="23" t="s">
        <v>27</v>
      </c>
      <c r="G166" s="23"/>
      <c r="H166" s="23"/>
      <c r="J166" s="148"/>
      <c r="K166" s="148"/>
      <c r="L166" s="148"/>
      <c r="M166" s="148"/>
      <c r="N166" s="144"/>
      <c r="O166" s="194">
        <v>0</v>
      </c>
      <c r="P166" s="194"/>
      <c r="Q166" s="194"/>
      <c r="R166" s="194"/>
      <c r="S166" s="371"/>
      <c r="T166" s="371"/>
      <c r="U166" s="371"/>
      <c r="V166" s="371"/>
      <c r="W166" s="227"/>
      <c r="X166" s="29"/>
      <c r="Y166" s="30"/>
      <c r="Z166" s="30"/>
      <c r="AA166" s="29"/>
      <c r="AB166" s="30"/>
      <c r="AC166" s="30"/>
      <c r="AH166" s="192">
        <v>0</v>
      </c>
      <c r="AJ166" s="42"/>
      <c r="AK166" s="42"/>
      <c r="AL166" s="42"/>
    </row>
    <row r="167" spans="1:38" s="19" customFormat="1" x14ac:dyDescent="0.2">
      <c r="B167" s="112" t="s">
        <v>283</v>
      </c>
      <c r="C167" s="37" t="s">
        <v>120</v>
      </c>
      <c r="D167" s="37">
        <v>5</v>
      </c>
      <c r="E167" s="19" t="s">
        <v>277</v>
      </c>
      <c r="F167" s="23"/>
      <c r="G167" s="23"/>
      <c r="H167" s="23"/>
      <c r="J167" s="148"/>
      <c r="K167" s="148"/>
      <c r="L167" s="148" t="s">
        <v>27</v>
      </c>
      <c r="M167" s="148"/>
      <c r="N167" s="144"/>
      <c r="O167" s="194">
        <v>0</v>
      </c>
      <c r="P167" s="194"/>
      <c r="Q167" s="194"/>
      <c r="R167" s="194"/>
      <c r="S167" s="371"/>
      <c r="T167" s="371"/>
      <c r="U167" s="371"/>
      <c r="V167" s="371"/>
      <c r="W167" s="227"/>
      <c r="X167" s="29"/>
      <c r="Y167" s="30"/>
      <c r="Z167" s="30"/>
      <c r="AA167" s="29"/>
      <c r="AB167" s="30"/>
      <c r="AC167" s="30"/>
      <c r="AH167" s="192">
        <v>0</v>
      </c>
      <c r="AJ167" s="42"/>
      <c r="AK167" s="42"/>
      <c r="AL167" s="42"/>
    </row>
    <row r="168" spans="1:38" s="19" customFormat="1" x14ac:dyDescent="0.2">
      <c r="B168" s="112" t="s">
        <v>284</v>
      </c>
      <c r="C168" s="37" t="s">
        <v>120</v>
      </c>
      <c r="D168" s="37">
        <v>5</v>
      </c>
      <c r="E168" s="19" t="s">
        <v>277</v>
      </c>
      <c r="F168" s="23"/>
      <c r="G168" s="23" t="s">
        <v>126</v>
      </c>
      <c r="H168" s="23"/>
      <c r="J168" s="148"/>
      <c r="K168" s="148"/>
      <c r="L168" s="148">
        <v>1</v>
      </c>
      <c r="M168" s="148">
        <v>1</v>
      </c>
      <c r="N168" s="144">
        <v>3</v>
      </c>
      <c r="O168" s="194">
        <v>1</v>
      </c>
      <c r="P168" s="194"/>
      <c r="Q168" s="194"/>
      <c r="R168" s="194"/>
      <c r="S168" s="371">
        <v>0.33</v>
      </c>
      <c r="T168" s="371"/>
      <c r="U168" s="371"/>
      <c r="V168" s="371"/>
      <c r="W168" s="227"/>
      <c r="X168" s="29"/>
      <c r="Y168" s="30"/>
      <c r="Z168" s="30"/>
      <c r="AA168" s="29"/>
      <c r="AB168" s="30"/>
      <c r="AC168" s="30"/>
      <c r="AH168" s="192">
        <v>0</v>
      </c>
      <c r="AJ168" s="42"/>
      <c r="AK168" s="42"/>
      <c r="AL168" s="42"/>
    </row>
    <row r="169" spans="1:38" s="19" customFormat="1" x14ac:dyDescent="0.2">
      <c r="B169" s="112" t="s">
        <v>285</v>
      </c>
      <c r="C169" s="37" t="s">
        <v>96</v>
      </c>
      <c r="D169" s="37">
        <v>5</v>
      </c>
      <c r="E169" s="37" t="s">
        <v>121</v>
      </c>
      <c r="J169" s="144"/>
      <c r="K169" s="144"/>
      <c r="L169" s="144"/>
      <c r="M169" s="144"/>
      <c r="N169" s="144"/>
      <c r="O169" s="192">
        <v>0</v>
      </c>
      <c r="P169" s="192"/>
      <c r="Q169" s="192"/>
      <c r="R169" s="192"/>
      <c r="S169" s="371" t="s">
        <v>27</v>
      </c>
      <c r="T169" s="371"/>
      <c r="U169" s="371"/>
      <c r="V169" s="371"/>
      <c r="W169" s="227"/>
      <c r="X169" s="29"/>
      <c r="Y169" s="30"/>
      <c r="Z169" s="30"/>
      <c r="AA169" s="29"/>
      <c r="AB169" s="30"/>
      <c r="AC169" s="30"/>
      <c r="AH169" s="192">
        <v>0</v>
      </c>
      <c r="AJ169" s="42"/>
      <c r="AK169" s="42"/>
      <c r="AL169" s="42"/>
    </row>
    <row r="170" spans="1:38" s="19" customFormat="1" x14ac:dyDescent="0.2">
      <c r="B170" s="112" t="s">
        <v>286</v>
      </c>
      <c r="C170" s="37" t="s">
        <v>96</v>
      </c>
      <c r="D170" s="37">
        <v>5</v>
      </c>
      <c r="E170" s="37" t="s">
        <v>121</v>
      </c>
      <c r="J170" s="144"/>
      <c r="K170" s="144"/>
      <c r="L170" s="144"/>
      <c r="M170" s="144"/>
      <c r="N170" s="144"/>
      <c r="O170" s="192">
        <v>0</v>
      </c>
      <c r="P170" s="192"/>
      <c r="Q170" s="192"/>
      <c r="R170" s="192"/>
      <c r="S170" s="371"/>
      <c r="T170" s="371"/>
      <c r="U170" s="371"/>
      <c r="V170" s="371"/>
      <c r="W170" s="227"/>
      <c r="X170" s="29"/>
      <c r="Y170" s="30"/>
      <c r="Z170" s="30"/>
      <c r="AA170" s="29"/>
      <c r="AB170" s="30"/>
      <c r="AC170" s="30"/>
      <c r="AH170" s="192">
        <v>0</v>
      </c>
      <c r="AJ170" s="42"/>
      <c r="AK170" s="42"/>
      <c r="AL170" s="42"/>
    </row>
    <row r="171" spans="1:38" s="19" customFormat="1" x14ac:dyDescent="0.2">
      <c r="B171" s="112" t="s">
        <v>287</v>
      </c>
      <c r="C171" s="37" t="s">
        <v>96</v>
      </c>
      <c r="D171" s="37">
        <v>5</v>
      </c>
      <c r="E171" s="37" t="s">
        <v>121</v>
      </c>
      <c r="G171" s="37" t="s">
        <v>126</v>
      </c>
      <c r="J171" s="144"/>
      <c r="K171" s="144"/>
      <c r="L171" s="144">
        <v>1</v>
      </c>
      <c r="M171" s="144">
        <v>1</v>
      </c>
      <c r="N171" s="144">
        <v>3</v>
      </c>
      <c r="O171" s="192">
        <v>0</v>
      </c>
      <c r="P171" s="192"/>
      <c r="Q171" s="192"/>
      <c r="R171" s="192"/>
      <c r="S171" s="371">
        <v>0.67</v>
      </c>
      <c r="T171" s="371"/>
      <c r="U171" s="371"/>
      <c r="V171" s="371"/>
      <c r="W171" s="227"/>
      <c r="X171" s="29"/>
      <c r="Y171" s="30"/>
      <c r="Z171" s="30"/>
      <c r="AA171" s="29"/>
      <c r="AB171" s="30"/>
      <c r="AC171" s="30"/>
      <c r="AH171" s="192">
        <v>0</v>
      </c>
      <c r="AJ171" s="42"/>
      <c r="AK171" s="42"/>
      <c r="AL171" s="42"/>
    </row>
    <row r="172" spans="1:38" s="19" customFormat="1" x14ac:dyDescent="0.2">
      <c r="B172" s="112" t="s">
        <v>288</v>
      </c>
      <c r="C172" s="37" t="s">
        <v>96</v>
      </c>
      <c r="D172" s="37">
        <v>5</v>
      </c>
      <c r="E172" s="37" t="s">
        <v>121</v>
      </c>
      <c r="G172" s="19" t="s">
        <v>126</v>
      </c>
      <c r="J172" s="144"/>
      <c r="K172" s="144"/>
      <c r="L172" s="144"/>
      <c r="M172" s="144"/>
      <c r="N172" s="144"/>
      <c r="O172" s="192">
        <v>1</v>
      </c>
      <c r="P172" s="192"/>
      <c r="Q172" s="192"/>
      <c r="R172" s="192"/>
      <c r="S172" s="371"/>
      <c r="T172" s="371"/>
      <c r="U172" s="371"/>
      <c r="V172" s="371"/>
      <c r="W172" s="227"/>
      <c r="X172" s="29"/>
      <c r="Y172" s="30"/>
      <c r="Z172" s="30"/>
      <c r="AA172" s="29"/>
      <c r="AB172" s="30"/>
      <c r="AC172" s="30"/>
      <c r="AH172" s="192">
        <v>0</v>
      </c>
      <c r="AJ172" s="42"/>
      <c r="AK172" s="42"/>
      <c r="AL172" s="42"/>
    </row>
    <row r="173" spans="1:38" s="19" customFormat="1" x14ac:dyDescent="0.2">
      <c r="B173" s="112" t="s">
        <v>289</v>
      </c>
      <c r="C173" s="37" t="s">
        <v>96</v>
      </c>
      <c r="D173" s="37">
        <v>5</v>
      </c>
      <c r="E173" s="37" t="s">
        <v>121</v>
      </c>
      <c r="G173" s="19" t="s">
        <v>126</v>
      </c>
      <c r="J173" s="144"/>
      <c r="K173" s="144"/>
      <c r="L173" s="144"/>
      <c r="M173" s="144"/>
      <c r="N173" s="144"/>
      <c r="O173" s="192">
        <v>1</v>
      </c>
      <c r="P173" s="192"/>
      <c r="Q173" s="192"/>
      <c r="R173" s="192"/>
      <c r="S173" s="371"/>
      <c r="T173" s="371"/>
      <c r="U173" s="371"/>
      <c r="V173" s="371"/>
      <c r="W173" s="227"/>
      <c r="X173" s="29"/>
      <c r="Y173" s="30"/>
      <c r="Z173" s="30"/>
      <c r="AA173" s="29"/>
      <c r="AB173" s="30"/>
      <c r="AC173" s="30"/>
      <c r="AH173" s="192">
        <v>0</v>
      </c>
      <c r="AJ173" s="42"/>
      <c r="AK173" s="42"/>
      <c r="AL173" s="42"/>
    </row>
    <row r="174" spans="1:38" s="19" customFormat="1" x14ac:dyDescent="0.2">
      <c r="B174" s="112" t="s">
        <v>290</v>
      </c>
      <c r="C174" s="37" t="s">
        <v>96</v>
      </c>
      <c r="D174" s="37">
        <v>5</v>
      </c>
      <c r="E174" s="37" t="s">
        <v>121</v>
      </c>
      <c r="G174" s="37" t="s">
        <v>126</v>
      </c>
      <c r="J174" s="144"/>
      <c r="K174" s="144"/>
      <c r="L174" s="144">
        <v>1</v>
      </c>
      <c r="M174" s="144">
        <v>1</v>
      </c>
      <c r="N174" s="144">
        <v>3</v>
      </c>
      <c r="O174" s="192">
        <v>1</v>
      </c>
      <c r="P174" s="192"/>
      <c r="Q174" s="192"/>
      <c r="R174" s="192"/>
      <c r="S174" s="371">
        <v>0.33</v>
      </c>
      <c r="T174" s="371"/>
      <c r="U174" s="371"/>
      <c r="V174" s="371"/>
      <c r="W174" s="227"/>
      <c r="X174" s="29"/>
      <c r="Y174" s="30"/>
      <c r="Z174" s="30"/>
      <c r="AA174" s="29"/>
      <c r="AB174" s="30"/>
      <c r="AC174" s="30"/>
      <c r="AH174" s="192">
        <v>0</v>
      </c>
      <c r="AJ174" s="42"/>
      <c r="AK174" s="42"/>
      <c r="AL174" s="42"/>
    </row>
    <row r="175" spans="1:38" s="19" customFormat="1" x14ac:dyDescent="0.2">
      <c r="B175" s="112" t="s">
        <v>291</v>
      </c>
      <c r="C175" s="37" t="s">
        <v>96</v>
      </c>
      <c r="D175" s="37">
        <v>5</v>
      </c>
      <c r="E175" s="37" t="s">
        <v>292</v>
      </c>
      <c r="J175" s="144"/>
      <c r="K175" s="144"/>
      <c r="L175" s="144"/>
      <c r="M175" s="144"/>
      <c r="N175" s="144"/>
      <c r="O175" s="192">
        <v>0</v>
      </c>
      <c r="P175" s="192"/>
      <c r="Q175" s="192"/>
      <c r="R175" s="192"/>
      <c r="S175" s="371" t="s">
        <v>27</v>
      </c>
      <c r="T175" s="371"/>
      <c r="U175" s="371"/>
      <c r="V175" s="371"/>
      <c r="W175" s="227"/>
      <c r="X175" s="29"/>
      <c r="Y175" s="30"/>
      <c r="Z175" s="30"/>
      <c r="AA175" s="29"/>
      <c r="AB175" s="30"/>
      <c r="AC175" s="30"/>
      <c r="AH175" s="192">
        <v>0</v>
      </c>
      <c r="AJ175" s="42"/>
      <c r="AK175" s="42"/>
      <c r="AL175" s="42"/>
    </row>
    <row r="176" spans="1:38" s="19" customFormat="1" x14ac:dyDescent="0.2">
      <c r="B176" s="112" t="s">
        <v>293</v>
      </c>
      <c r="C176" s="37" t="s">
        <v>96</v>
      </c>
      <c r="D176" s="37">
        <v>5</v>
      </c>
      <c r="E176" s="37" t="s">
        <v>292</v>
      </c>
      <c r="J176" s="144"/>
      <c r="K176" s="144"/>
      <c r="L176" s="144"/>
      <c r="M176" s="144"/>
      <c r="N176" s="144"/>
      <c r="O176" s="192">
        <v>0</v>
      </c>
      <c r="P176" s="192"/>
      <c r="Q176" s="192"/>
      <c r="R176" s="192"/>
      <c r="S176" s="371"/>
      <c r="T176" s="371"/>
      <c r="U176" s="371"/>
      <c r="V176" s="371"/>
      <c r="W176" s="227"/>
      <c r="X176" s="29"/>
      <c r="Y176" s="30"/>
      <c r="Z176" s="30"/>
      <c r="AA176" s="29"/>
      <c r="AB176" s="30"/>
      <c r="AC176" s="30"/>
      <c r="AH176" s="192">
        <v>0</v>
      </c>
      <c r="AJ176" s="42"/>
      <c r="AK176" s="42"/>
      <c r="AL176" s="42"/>
    </row>
    <row r="177" spans="1:38" s="19" customFormat="1" x14ac:dyDescent="0.2">
      <c r="B177" s="112" t="s">
        <v>294</v>
      </c>
      <c r="C177" s="37" t="s">
        <v>96</v>
      </c>
      <c r="D177" s="37">
        <v>5</v>
      </c>
      <c r="E177" s="37" t="s">
        <v>121</v>
      </c>
      <c r="G177" s="37" t="s">
        <v>126</v>
      </c>
      <c r="J177" s="144"/>
      <c r="K177" s="144"/>
      <c r="L177" s="144">
        <v>1</v>
      </c>
      <c r="M177" s="144">
        <v>0</v>
      </c>
      <c r="N177" s="144">
        <v>3</v>
      </c>
      <c r="O177" s="192">
        <v>0</v>
      </c>
      <c r="P177" s="192"/>
      <c r="Q177" s="192"/>
      <c r="R177" s="192"/>
      <c r="S177" s="371">
        <v>0</v>
      </c>
      <c r="T177" s="371"/>
      <c r="U177" s="371"/>
      <c r="V177" s="371"/>
      <c r="W177" s="227"/>
      <c r="X177" s="29"/>
      <c r="Y177" s="30"/>
      <c r="Z177" s="30"/>
      <c r="AA177" s="29"/>
      <c r="AB177" s="30"/>
      <c r="AC177" s="30"/>
      <c r="AH177" s="192">
        <v>0</v>
      </c>
      <c r="AJ177" s="42"/>
      <c r="AK177" s="42"/>
      <c r="AL177" s="42"/>
    </row>
    <row r="178" spans="1:38" s="19" customFormat="1" x14ac:dyDescent="0.2">
      <c r="B178" s="112" t="s">
        <v>295</v>
      </c>
      <c r="C178" s="37" t="s">
        <v>96</v>
      </c>
      <c r="D178" s="37">
        <v>5</v>
      </c>
      <c r="E178" s="37" t="s">
        <v>121</v>
      </c>
      <c r="G178" s="37" t="s">
        <v>126</v>
      </c>
      <c r="J178" s="144"/>
      <c r="K178" s="144"/>
      <c r="L178" s="144"/>
      <c r="M178" s="144"/>
      <c r="N178" s="144"/>
      <c r="O178" s="192">
        <v>0</v>
      </c>
      <c r="P178" s="192"/>
      <c r="Q178" s="192"/>
      <c r="R178" s="192"/>
      <c r="S178" s="371"/>
      <c r="T178" s="371"/>
      <c r="U178" s="371"/>
      <c r="V178" s="371"/>
      <c r="W178" s="227"/>
      <c r="X178" s="29"/>
      <c r="Y178" s="30"/>
      <c r="Z178" s="30"/>
      <c r="AA178" s="29"/>
      <c r="AB178" s="30"/>
      <c r="AC178" s="30"/>
      <c r="AH178" s="192">
        <v>0</v>
      </c>
      <c r="AJ178" s="42"/>
      <c r="AK178" s="42"/>
      <c r="AL178" s="42"/>
    </row>
    <row r="179" spans="1:38" s="19" customFormat="1" x14ac:dyDescent="0.2">
      <c r="B179" s="112" t="s">
        <v>296</v>
      </c>
      <c r="C179" s="37" t="s">
        <v>96</v>
      </c>
      <c r="D179" s="37">
        <v>5</v>
      </c>
      <c r="E179" s="37" t="s">
        <v>121</v>
      </c>
      <c r="J179" s="144"/>
      <c r="K179" s="144"/>
      <c r="L179" s="144"/>
      <c r="M179" s="144"/>
      <c r="N179" s="144"/>
      <c r="O179" s="192">
        <v>0</v>
      </c>
      <c r="P179" s="192"/>
      <c r="Q179" s="192"/>
      <c r="R179" s="192"/>
      <c r="S179" s="371"/>
      <c r="T179" s="371"/>
      <c r="U179" s="371"/>
      <c r="V179" s="371"/>
      <c r="W179" s="227"/>
      <c r="X179" s="29"/>
      <c r="Y179" s="30"/>
      <c r="Z179" s="30"/>
      <c r="AA179" s="29"/>
      <c r="AB179" s="30"/>
      <c r="AC179" s="30"/>
      <c r="AH179" s="192">
        <v>0</v>
      </c>
      <c r="AJ179" s="42"/>
      <c r="AK179" s="42"/>
      <c r="AL179" s="42"/>
    </row>
    <row r="180" spans="1:38" s="19" customFormat="1" x14ac:dyDescent="0.2">
      <c r="B180" s="112" t="s">
        <v>297</v>
      </c>
      <c r="C180" s="37" t="s">
        <v>96</v>
      </c>
      <c r="D180" s="37">
        <v>5</v>
      </c>
      <c r="E180" s="37" t="s">
        <v>121</v>
      </c>
      <c r="J180" s="144"/>
      <c r="K180" s="144"/>
      <c r="L180" s="144">
        <v>1</v>
      </c>
      <c r="M180" s="144">
        <v>0</v>
      </c>
      <c r="N180" s="144">
        <v>3</v>
      </c>
      <c r="O180" s="192">
        <v>0</v>
      </c>
      <c r="P180" s="192"/>
      <c r="Q180" s="192"/>
      <c r="R180" s="192"/>
      <c r="S180" s="371">
        <v>0</v>
      </c>
      <c r="T180" s="371"/>
      <c r="U180" s="371"/>
      <c r="V180" s="371"/>
      <c r="W180" s="227"/>
      <c r="X180" s="29"/>
      <c r="Y180" s="30"/>
      <c r="Z180" s="30"/>
      <c r="AA180" s="29"/>
      <c r="AB180" s="30"/>
      <c r="AC180" s="30"/>
      <c r="AH180" s="192">
        <v>0</v>
      </c>
      <c r="AJ180" s="42"/>
      <c r="AK180" s="42"/>
      <c r="AL180" s="42"/>
    </row>
    <row r="181" spans="1:38" s="19" customFormat="1" x14ac:dyDescent="0.2">
      <c r="B181" s="112" t="s">
        <v>298</v>
      </c>
      <c r="C181" s="37" t="s">
        <v>96</v>
      </c>
      <c r="D181" s="37">
        <v>5</v>
      </c>
      <c r="E181" s="37" t="s">
        <v>121</v>
      </c>
      <c r="J181" s="144"/>
      <c r="K181" s="144"/>
      <c r="L181" s="144"/>
      <c r="M181" s="144"/>
      <c r="N181" s="144"/>
      <c r="O181" s="192">
        <v>0</v>
      </c>
      <c r="P181" s="192"/>
      <c r="Q181" s="192"/>
      <c r="R181" s="192"/>
      <c r="S181" s="371"/>
      <c r="T181" s="371"/>
      <c r="U181" s="371"/>
      <c r="V181" s="371"/>
      <c r="W181" s="227"/>
      <c r="X181" s="29"/>
      <c r="Y181" s="30"/>
      <c r="Z181" s="30"/>
      <c r="AA181" s="29"/>
      <c r="AB181" s="30"/>
      <c r="AC181" s="30"/>
      <c r="AH181" s="192">
        <v>0</v>
      </c>
      <c r="AJ181" s="42"/>
      <c r="AK181" s="42"/>
      <c r="AL181" s="42"/>
    </row>
    <row r="182" spans="1:38" s="19" customFormat="1" x14ac:dyDescent="0.2">
      <c r="B182" s="112" t="s">
        <v>299</v>
      </c>
      <c r="C182" s="37" t="s">
        <v>96</v>
      </c>
      <c r="D182" s="37">
        <v>5</v>
      </c>
      <c r="E182" s="37" t="s">
        <v>121</v>
      </c>
      <c r="G182" s="19" t="s">
        <v>126</v>
      </c>
      <c r="J182" s="144"/>
      <c r="K182" s="144"/>
      <c r="L182" s="144"/>
      <c r="M182" s="144" t="s">
        <v>27</v>
      </c>
      <c r="N182" s="144"/>
      <c r="O182" s="192">
        <v>0</v>
      </c>
      <c r="P182" s="192"/>
      <c r="Q182" s="192"/>
      <c r="R182" s="192"/>
      <c r="S182" s="371"/>
      <c r="T182" s="371"/>
      <c r="U182" s="371"/>
      <c r="V182" s="371"/>
      <c r="W182" s="227"/>
      <c r="X182" s="29"/>
      <c r="Y182" s="30"/>
      <c r="Z182" s="30"/>
      <c r="AA182" s="29"/>
      <c r="AB182" s="30"/>
      <c r="AC182" s="30"/>
      <c r="AH182" s="192">
        <v>0</v>
      </c>
      <c r="AJ182" s="42"/>
      <c r="AK182" s="42"/>
      <c r="AL182" s="42"/>
    </row>
    <row r="183" spans="1:38" s="19" customFormat="1" x14ac:dyDescent="0.2">
      <c r="B183" s="112" t="s">
        <v>300</v>
      </c>
      <c r="C183" s="37" t="s">
        <v>96</v>
      </c>
      <c r="D183" s="37">
        <v>5</v>
      </c>
      <c r="E183" s="37" t="s">
        <v>121</v>
      </c>
      <c r="G183" s="37" t="s">
        <v>126</v>
      </c>
      <c r="J183" s="144"/>
      <c r="K183" s="144"/>
      <c r="L183" s="144">
        <v>1</v>
      </c>
      <c r="M183" s="144">
        <v>0</v>
      </c>
      <c r="N183" s="144">
        <v>4</v>
      </c>
      <c r="O183" s="192">
        <v>0</v>
      </c>
      <c r="P183" s="192"/>
      <c r="Q183" s="192"/>
      <c r="R183" s="192"/>
      <c r="S183" s="371">
        <v>0</v>
      </c>
      <c r="T183" s="371"/>
      <c r="U183" s="371"/>
      <c r="V183" s="371"/>
      <c r="W183" s="227"/>
      <c r="X183" s="29"/>
      <c r="Y183" s="30"/>
      <c r="Z183" s="30"/>
      <c r="AA183" s="29"/>
      <c r="AB183" s="30"/>
      <c r="AC183" s="30"/>
      <c r="AH183" s="192">
        <v>0</v>
      </c>
      <c r="AJ183" s="42"/>
      <c r="AK183" s="42"/>
      <c r="AL183" s="42"/>
    </row>
    <row r="184" spans="1:38" s="19" customFormat="1" x14ac:dyDescent="0.2">
      <c r="B184" s="112" t="s">
        <v>301</v>
      </c>
      <c r="C184" s="37" t="s">
        <v>96</v>
      </c>
      <c r="D184" s="37">
        <v>5</v>
      </c>
      <c r="E184" s="37" t="s">
        <v>121</v>
      </c>
      <c r="G184" s="37" t="s">
        <v>126</v>
      </c>
      <c r="J184" s="144"/>
      <c r="K184" s="144"/>
      <c r="L184" s="144"/>
      <c r="M184" s="145" t="s">
        <v>27</v>
      </c>
      <c r="N184" s="144"/>
      <c r="O184" s="192">
        <v>0</v>
      </c>
      <c r="P184" s="192"/>
      <c r="Q184" s="192"/>
      <c r="R184" s="192"/>
      <c r="S184" s="371"/>
      <c r="T184" s="371"/>
      <c r="U184" s="371"/>
      <c r="V184" s="371"/>
      <c r="W184" s="227"/>
      <c r="X184" s="29"/>
      <c r="Y184" s="30"/>
      <c r="Z184" s="30"/>
      <c r="AA184" s="29"/>
      <c r="AB184" s="30"/>
      <c r="AC184" s="30"/>
      <c r="AH184" s="192">
        <v>0</v>
      </c>
      <c r="AJ184" s="42"/>
      <c r="AK184" s="42"/>
      <c r="AL184" s="42"/>
    </row>
    <row r="185" spans="1:38" s="19" customFormat="1" x14ac:dyDescent="0.2">
      <c r="B185" s="112" t="s">
        <v>302</v>
      </c>
      <c r="C185" s="37"/>
      <c r="D185" s="37"/>
      <c r="E185" s="37"/>
      <c r="J185" s="144"/>
      <c r="K185" s="144"/>
      <c r="L185" s="144"/>
      <c r="M185" s="144"/>
      <c r="N185" s="144"/>
      <c r="O185" s="192">
        <v>0</v>
      </c>
      <c r="P185" s="192"/>
      <c r="Q185" s="192"/>
      <c r="R185" s="192"/>
      <c r="S185" s="371"/>
      <c r="T185" s="371"/>
      <c r="U185" s="371"/>
      <c r="V185" s="371"/>
      <c r="W185" s="227"/>
      <c r="X185" s="29"/>
      <c r="Y185" s="30"/>
      <c r="Z185" s="30"/>
      <c r="AA185" s="29"/>
      <c r="AB185" s="30"/>
      <c r="AC185" s="30"/>
      <c r="AH185" s="192">
        <v>0</v>
      </c>
      <c r="AJ185" s="42"/>
      <c r="AK185" s="42"/>
      <c r="AL185" s="42"/>
    </row>
    <row r="186" spans="1:38" s="19" customFormat="1" x14ac:dyDescent="0.2">
      <c r="B186" s="112" t="s">
        <v>303</v>
      </c>
      <c r="C186" s="37"/>
      <c r="D186" s="37"/>
      <c r="E186" s="37"/>
      <c r="J186" s="144"/>
      <c r="K186" s="144"/>
      <c r="L186" s="144" t="s">
        <v>27</v>
      </c>
      <c r="M186" s="144"/>
      <c r="N186" s="144"/>
      <c r="O186" s="192">
        <v>0</v>
      </c>
      <c r="P186" s="192"/>
      <c r="Q186" s="192"/>
      <c r="R186" s="192"/>
      <c r="S186" s="371" t="s">
        <v>27</v>
      </c>
      <c r="T186" s="371"/>
      <c r="U186" s="371"/>
      <c r="V186" s="371"/>
      <c r="W186" s="227"/>
      <c r="X186" s="29"/>
      <c r="Y186" s="30"/>
      <c r="Z186" s="30"/>
      <c r="AA186" s="29"/>
      <c r="AB186" s="30"/>
      <c r="AC186" s="30"/>
      <c r="AH186" s="192">
        <v>0</v>
      </c>
      <c r="AJ186" s="42"/>
      <c r="AK186" s="42"/>
      <c r="AL186" s="42"/>
    </row>
    <row r="187" spans="1:38" s="19" customFormat="1" x14ac:dyDescent="0.2">
      <c r="A187" s="19">
        <v>5</v>
      </c>
      <c r="B187" s="112" t="s">
        <v>304</v>
      </c>
      <c r="C187" s="37" t="s">
        <v>96</v>
      </c>
      <c r="D187" s="37">
        <v>5</v>
      </c>
      <c r="E187" s="37" t="s">
        <v>292</v>
      </c>
      <c r="G187" s="37" t="s">
        <v>126</v>
      </c>
      <c r="J187" s="144"/>
      <c r="K187" s="144">
        <v>0</v>
      </c>
      <c r="L187" s="144">
        <v>1</v>
      </c>
      <c r="M187" s="144">
        <v>0</v>
      </c>
      <c r="N187" s="144">
        <v>3</v>
      </c>
      <c r="O187" s="192">
        <v>0</v>
      </c>
      <c r="P187" s="192"/>
      <c r="Q187" s="192"/>
      <c r="R187" s="192"/>
      <c r="S187" s="371">
        <v>0</v>
      </c>
      <c r="T187" s="371"/>
      <c r="U187" s="371"/>
      <c r="V187" s="371"/>
      <c r="W187" s="227"/>
      <c r="X187" s="29"/>
      <c r="Y187" s="30"/>
      <c r="Z187" s="30"/>
      <c r="AA187" s="29"/>
      <c r="AB187" s="30"/>
      <c r="AC187" s="30"/>
      <c r="AH187" s="192">
        <v>0</v>
      </c>
      <c r="AJ187" s="42"/>
      <c r="AK187" s="42"/>
      <c r="AL187" s="42"/>
    </row>
    <row r="188" spans="1:38" s="19" customFormat="1" x14ac:dyDescent="0.2">
      <c r="B188" s="112" t="s">
        <v>305</v>
      </c>
      <c r="C188" s="37" t="s">
        <v>96</v>
      </c>
      <c r="D188" s="37">
        <v>5</v>
      </c>
      <c r="E188" s="37" t="s">
        <v>292</v>
      </c>
      <c r="G188" s="37" t="s">
        <v>126</v>
      </c>
      <c r="J188" s="144"/>
      <c r="K188" s="144"/>
      <c r="L188" s="144"/>
      <c r="M188" s="144"/>
      <c r="N188" s="144"/>
      <c r="O188" s="192">
        <v>0</v>
      </c>
      <c r="P188" s="192"/>
      <c r="Q188" s="192"/>
      <c r="R188" s="192"/>
      <c r="S188" s="371"/>
      <c r="T188" s="371"/>
      <c r="U188" s="371"/>
      <c r="V188" s="371"/>
      <c r="W188" s="227"/>
      <c r="X188" s="29"/>
      <c r="Y188" s="30"/>
      <c r="Z188" s="30"/>
      <c r="AA188" s="29"/>
      <c r="AB188" s="30"/>
      <c r="AC188" s="30"/>
      <c r="AH188" s="192">
        <v>0</v>
      </c>
      <c r="AJ188" s="42"/>
      <c r="AK188" s="42"/>
      <c r="AL188" s="42"/>
    </row>
    <row r="189" spans="1:38" s="19" customFormat="1" x14ac:dyDescent="0.2">
      <c r="B189" s="112" t="s">
        <v>306</v>
      </c>
      <c r="C189" s="37" t="s">
        <v>96</v>
      </c>
      <c r="D189" s="37">
        <v>5</v>
      </c>
      <c r="E189" s="37" t="s">
        <v>292</v>
      </c>
      <c r="J189" s="144"/>
      <c r="K189" s="144"/>
      <c r="L189" s="144"/>
      <c r="M189" s="144"/>
      <c r="N189" s="144"/>
      <c r="O189" s="192">
        <v>0</v>
      </c>
      <c r="P189" s="192"/>
      <c r="Q189" s="192"/>
      <c r="R189" s="192"/>
      <c r="S189" s="371"/>
      <c r="T189" s="371"/>
      <c r="U189" s="371"/>
      <c r="V189" s="371"/>
      <c r="W189" s="227"/>
      <c r="X189" s="29"/>
      <c r="Y189" s="30"/>
      <c r="Z189" s="30"/>
      <c r="AA189" s="29"/>
      <c r="AB189" s="30"/>
      <c r="AC189" s="30"/>
      <c r="AH189" s="192">
        <v>0</v>
      </c>
      <c r="AJ189" s="42"/>
      <c r="AK189" s="42"/>
      <c r="AL189" s="42"/>
    </row>
    <row r="190" spans="1:38" s="19" customFormat="1" x14ac:dyDescent="0.2">
      <c r="B190" s="112" t="s">
        <v>307</v>
      </c>
      <c r="C190" s="37" t="s">
        <v>96</v>
      </c>
      <c r="D190" s="37">
        <v>5</v>
      </c>
      <c r="E190" s="37" t="s">
        <v>292</v>
      </c>
      <c r="J190" s="144"/>
      <c r="K190" s="144"/>
      <c r="L190" s="144">
        <v>1</v>
      </c>
      <c r="M190" s="144">
        <v>0</v>
      </c>
      <c r="N190" s="144">
        <v>3</v>
      </c>
      <c r="O190" s="192">
        <v>0</v>
      </c>
      <c r="P190" s="192"/>
      <c r="Q190" s="192"/>
      <c r="R190" s="192"/>
      <c r="S190" s="371">
        <v>0</v>
      </c>
      <c r="T190" s="371"/>
      <c r="U190" s="371"/>
      <c r="V190" s="371"/>
      <c r="W190" s="227"/>
      <c r="X190" s="29"/>
      <c r="Y190" s="30"/>
      <c r="Z190" s="30"/>
      <c r="AA190" s="29"/>
      <c r="AB190" s="30"/>
      <c r="AC190" s="30"/>
      <c r="AH190" s="192">
        <v>0</v>
      </c>
      <c r="AJ190" s="42"/>
      <c r="AK190" s="42"/>
      <c r="AL190" s="42"/>
    </row>
    <row r="191" spans="1:38" s="19" customFormat="1" x14ac:dyDescent="0.2">
      <c r="B191" s="112" t="s">
        <v>308</v>
      </c>
      <c r="C191" s="37" t="s">
        <v>96</v>
      </c>
      <c r="D191" s="37">
        <v>5</v>
      </c>
      <c r="E191" s="37" t="s">
        <v>292</v>
      </c>
      <c r="I191" s="37"/>
      <c r="J191" s="144"/>
      <c r="K191" s="144"/>
      <c r="L191" s="144"/>
      <c r="M191" s="144"/>
      <c r="N191" s="144"/>
      <c r="O191" s="192">
        <v>0</v>
      </c>
      <c r="P191" s="192"/>
      <c r="Q191" s="192"/>
      <c r="R191" s="192"/>
      <c r="S191" s="371"/>
      <c r="T191" s="371"/>
      <c r="U191" s="371"/>
      <c r="V191" s="371"/>
      <c r="W191" s="227"/>
      <c r="X191" s="126"/>
      <c r="Y191" s="127"/>
      <c r="Z191" s="127"/>
      <c r="AA191" s="126"/>
      <c r="AB191" s="127"/>
      <c r="AC191" s="127"/>
      <c r="AH191" s="192">
        <v>0</v>
      </c>
      <c r="AJ191" s="42"/>
      <c r="AK191" s="42"/>
      <c r="AL191" s="42"/>
    </row>
    <row r="192" spans="1:38" s="19" customFormat="1" x14ac:dyDescent="0.2">
      <c r="B192" s="112" t="s">
        <v>309</v>
      </c>
      <c r="C192" s="37" t="s">
        <v>96</v>
      </c>
      <c r="D192" s="37">
        <v>5</v>
      </c>
      <c r="E192" s="37" t="s">
        <v>292</v>
      </c>
      <c r="I192" s="37"/>
      <c r="J192" s="144"/>
      <c r="K192" s="144"/>
      <c r="L192" s="144"/>
      <c r="M192" s="144"/>
      <c r="N192" s="144"/>
      <c r="O192" s="192">
        <v>0</v>
      </c>
      <c r="P192" s="192"/>
      <c r="Q192" s="192"/>
      <c r="R192" s="192"/>
      <c r="S192" s="371"/>
      <c r="T192" s="371"/>
      <c r="U192" s="371"/>
      <c r="V192" s="371"/>
      <c r="W192" s="227"/>
      <c r="X192" s="126"/>
      <c r="Y192" s="127"/>
      <c r="Z192" s="127"/>
      <c r="AA192" s="126"/>
      <c r="AB192" s="127"/>
      <c r="AC192" s="127"/>
      <c r="AH192" s="192">
        <v>0</v>
      </c>
      <c r="AJ192" s="42"/>
      <c r="AK192" s="42"/>
      <c r="AL192" s="42"/>
    </row>
    <row r="193" spans="1:38" s="19" customFormat="1" x14ac:dyDescent="0.2">
      <c r="B193" s="112" t="s">
        <v>310</v>
      </c>
      <c r="C193" s="37" t="s">
        <v>96</v>
      </c>
      <c r="D193" s="37">
        <v>5</v>
      </c>
      <c r="E193" s="37" t="s">
        <v>108</v>
      </c>
      <c r="J193" s="144"/>
      <c r="K193" s="144"/>
      <c r="L193" s="144">
        <v>1</v>
      </c>
      <c r="M193" s="144">
        <v>0</v>
      </c>
      <c r="N193" s="144">
        <v>3</v>
      </c>
      <c r="O193" s="192">
        <v>0</v>
      </c>
      <c r="P193" s="192"/>
      <c r="Q193" s="192"/>
      <c r="R193" s="192"/>
      <c r="S193" s="371">
        <v>0</v>
      </c>
      <c r="T193" s="371"/>
      <c r="U193" s="371"/>
      <c r="V193" s="371"/>
      <c r="W193" s="227"/>
      <c r="X193" s="30" t="s">
        <v>224</v>
      </c>
      <c r="Z193" s="30" t="s">
        <v>224</v>
      </c>
      <c r="AA193" s="30" t="s">
        <v>224</v>
      </c>
      <c r="AC193" s="30" t="s">
        <v>224</v>
      </c>
      <c r="AH193" s="192">
        <v>0</v>
      </c>
      <c r="AJ193" s="42"/>
      <c r="AK193" s="42"/>
      <c r="AL193" s="42"/>
    </row>
    <row r="194" spans="1:38" s="19" customFormat="1" x14ac:dyDescent="0.2">
      <c r="B194" s="112" t="s">
        <v>311</v>
      </c>
      <c r="C194" s="37" t="s">
        <v>96</v>
      </c>
      <c r="D194" s="37">
        <v>5</v>
      </c>
      <c r="E194" s="37" t="s">
        <v>108</v>
      </c>
      <c r="J194" s="144"/>
      <c r="K194" s="144"/>
      <c r="L194" s="144"/>
      <c r="M194" s="144"/>
      <c r="N194" s="144"/>
      <c r="O194" s="192">
        <v>0</v>
      </c>
      <c r="P194" s="192"/>
      <c r="Q194" s="192"/>
      <c r="R194" s="192"/>
      <c r="S194" s="371"/>
      <c r="T194" s="371"/>
      <c r="U194" s="371"/>
      <c r="V194" s="371"/>
      <c r="W194" s="227"/>
      <c r="X194" s="30" t="s">
        <v>224</v>
      </c>
      <c r="Z194" s="30" t="s">
        <v>224</v>
      </c>
      <c r="AA194" s="30" t="s">
        <v>224</v>
      </c>
      <c r="AC194" s="30" t="s">
        <v>224</v>
      </c>
      <c r="AH194" s="192">
        <v>0</v>
      </c>
      <c r="AJ194" s="42"/>
      <c r="AK194" s="42"/>
      <c r="AL194" s="42"/>
    </row>
    <row r="195" spans="1:38" s="19" customFormat="1" x14ac:dyDescent="0.2">
      <c r="B195" s="112" t="s">
        <v>312</v>
      </c>
      <c r="C195" s="37" t="s">
        <v>96</v>
      </c>
      <c r="D195" s="37">
        <v>5</v>
      </c>
      <c r="E195" s="37" t="s">
        <v>108</v>
      </c>
      <c r="J195" s="144"/>
      <c r="K195" s="144"/>
      <c r="L195" s="144"/>
      <c r="M195" s="144"/>
      <c r="N195" s="144"/>
      <c r="O195" s="192">
        <v>0</v>
      </c>
      <c r="P195" s="192"/>
      <c r="Q195" s="192"/>
      <c r="R195" s="192"/>
      <c r="S195" s="371"/>
      <c r="T195" s="371"/>
      <c r="U195" s="371"/>
      <c r="V195" s="371"/>
      <c r="W195" s="227"/>
      <c r="X195" s="30"/>
      <c r="Z195" s="30"/>
      <c r="AA195" s="30"/>
      <c r="AC195" s="30"/>
      <c r="AH195" s="192">
        <v>0</v>
      </c>
      <c r="AJ195" s="42"/>
      <c r="AK195" s="42"/>
      <c r="AL195" s="42"/>
    </row>
    <row r="196" spans="1:38" s="19" customFormat="1" x14ac:dyDescent="0.2">
      <c r="B196" s="112" t="s">
        <v>313</v>
      </c>
      <c r="C196" s="37" t="s">
        <v>96</v>
      </c>
      <c r="D196" s="37">
        <v>5</v>
      </c>
      <c r="E196" s="37" t="s">
        <v>108</v>
      </c>
      <c r="J196" s="144"/>
      <c r="K196" s="144"/>
      <c r="L196" s="144">
        <v>1</v>
      </c>
      <c r="M196" s="144">
        <v>0</v>
      </c>
      <c r="N196" s="144">
        <v>3</v>
      </c>
      <c r="O196" s="192">
        <v>0</v>
      </c>
      <c r="P196" s="192"/>
      <c r="Q196" s="192"/>
      <c r="R196" s="192"/>
      <c r="S196" s="371">
        <v>0</v>
      </c>
      <c r="T196" s="371"/>
      <c r="U196" s="371"/>
      <c r="V196" s="371"/>
      <c r="W196" s="227"/>
      <c r="X196" s="30"/>
      <c r="Z196" s="30"/>
      <c r="AA196" s="30"/>
      <c r="AC196" s="30"/>
      <c r="AH196" s="192">
        <v>0</v>
      </c>
      <c r="AJ196" s="42"/>
      <c r="AK196" s="42"/>
      <c r="AL196" s="42"/>
    </row>
    <row r="197" spans="1:38" s="19" customFormat="1" x14ac:dyDescent="0.2">
      <c r="B197" s="112" t="s">
        <v>314</v>
      </c>
      <c r="C197" s="37" t="s">
        <v>96</v>
      </c>
      <c r="D197" s="37">
        <v>5</v>
      </c>
      <c r="E197" s="37" t="s">
        <v>108</v>
      </c>
      <c r="J197" s="144"/>
      <c r="K197" s="144"/>
      <c r="L197" s="144"/>
      <c r="M197" s="144"/>
      <c r="N197" s="144"/>
      <c r="O197" s="192">
        <v>0</v>
      </c>
      <c r="P197" s="192"/>
      <c r="Q197" s="192"/>
      <c r="R197" s="192"/>
      <c r="S197" s="371"/>
      <c r="T197" s="371"/>
      <c r="U197" s="371"/>
      <c r="V197" s="371"/>
      <c r="W197" s="227"/>
      <c r="X197" s="30"/>
      <c r="Z197" s="30"/>
      <c r="AA197" s="30"/>
      <c r="AC197" s="30"/>
      <c r="AH197" s="192">
        <v>0</v>
      </c>
      <c r="AJ197" s="42"/>
      <c r="AK197" s="42"/>
      <c r="AL197" s="42"/>
    </row>
    <row r="198" spans="1:38" s="19" customFormat="1" x14ac:dyDescent="0.2">
      <c r="B198" s="112" t="s">
        <v>315</v>
      </c>
      <c r="C198" s="37" t="s">
        <v>96</v>
      </c>
      <c r="D198" s="37">
        <v>5</v>
      </c>
      <c r="E198" s="37" t="s">
        <v>108</v>
      </c>
      <c r="J198" s="144"/>
      <c r="K198" s="144"/>
      <c r="L198" s="144"/>
      <c r="M198" s="144"/>
      <c r="N198" s="144"/>
      <c r="O198" s="192">
        <v>0</v>
      </c>
      <c r="P198" s="192"/>
      <c r="Q198" s="192"/>
      <c r="R198" s="192"/>
      <c r="S198" s="371" t="s">
        <v>27</v>
      </c>
      <c r="T198" s="371"/>
      <c r="U198" s="371"/>
      <c r="V198" s="371"/>
      <c r="W198" s="227"/>
      <c r="X198" s="30" t="s">
        <v>224</v>
      </c>
      <c r="Z198" s="30" t="s">
        <v>224</v>
      </c>
      <c r="AA198" s="30" t="s">
        <v>224</v>
      </c>
      <c r="AC198" s="30" t="s">
        <v>224</v>
      </c>
      <c r="AH198" s="192">
        <v>0</v>
      </c>
      <c r="AJ198" s="42"/>
      <c r="AK198" s="42"/>
      <c r="AL198" s="42"/>
    </row>
    <row r="199" spans="1:38" s="19" customFormat="1" x14ac:dyDescent="0.2">
      <c r="A199" s="19" t="s">
        <v>27</v>
      </c>
      <c r="B199" s="112" t="s">
        <v>316</v>
      </c>
      <c r="C199" s="37" t="s">
        <v>101</v>
      </c>
      <c r="D199" s="37">
        <v>5</v>
      </c>
      <c r="E199" s="37" t="s">
        <v>108</v>
      </c>
      <c r="J199" s="144"/>
      <c r="K199" s="144">
        <v>0</v>
      </c>
      <c r="L199" s="144">
        <v>1</v>
      </c>
      <c r="M199" s="144">
        <v>0</v>
      </c>
      <c r="N199" s="144">
        <v>3</v>
      </c>
      <c r="O199" s="192">
        <v>0</v>
      </c>
      <c r="P199" s="192"/>
      <c r="Q199" s="192"/>
      <c r="R199" s="192"/>
      <c r="S199" s="371">
        <v>0</v>
      </c>
      <c r="T199" s="371"/>
      <c r="U199" s="371"/>
      <c r="V199" s="371"/>
      <c r="W199" s="227"/>
      <c r="X199" s="30"/>
      <c r="Z199" s="30"/>
      <c r="AA199" s="30"/>
      <c r="AC199" s="30"/>
      <c r="AH199" s="192">
        <v>0</v>
      </c>
      <c r="AJ199" s="42"/>
      <c r="AK199" s="42"/>
      <c r="AL199" s="42"/>
    </row>
    <row r="200" spans="1:38" s="19" customFormat="1" x14ac:dyDescent="0.2">
      <c r="B200" s="112" t="s">
        <v>317</v>
      </c>
      <c r="C200" s="37" t="s">
        <v>96</v>
      </c>
      <c r="D200" s="37">
        <v>5</v>
      </c>
      <c r="E200" s="37" t="s">
        <v>97</v>
      </c>
      <c r="J200" s="144"/>
      <c r="K200" s="144"/>
      <c r="L200" s="144"/>
      <c r="M200" s="144"/>
      <c r="N200" s="144"/>
      <c r="O200" s="192">
        <v>0</v>
      </c>
      <c r="P200" s="192"/>
      <c r="Q200" s="192"/>
      <c r="R200" s="192"/>
      <c r="S200" s="371"/>
      <c r="T200" s="371"/>
      <c r="U200" s="371"/>
      <c r="V200" s="371"/>
      <c r="W200" s="227"/>
      <c r="X200" s="30" t="s">
        <v>224</v>
      </c>
      <c r="Z200" s="30" t="s">
        <v>224</v>
      </c>
      <c r="AA200" s="30" t="s">
        <v>224</v>
      </c>
      <c r="AC200" s="30" t="s">
        <v>224</v>
      </c>
      <c r="AH200" s="190">
        <v>0</v>
      </c>
      <c r="AJ200" s="42"/>
      <c r="AK200" s="42"/>
      <c r="AL200" s="42"/>
    </row>
    <row r="201" spans="1:38" s="19" customFormat="1" x14ac:dyDescent="0.2">
      <c r="B201" s="112" t="s">
        <v>318</v>
      </c>
      <c r="C201" s="37" t="s">
        <v>96</v>
      </c>
      <c r="D201" s="37">
        <v>5</v>
      </c>
      <c r="E201" s="37" t="s">
        <v>97</v>
      </c>
      <c r="J201" s="144"/>
      <c r="K201" s="144"/>
      <c r="L201" s="144"/>
      <c r="M201" s="144"/>
      <c r="N201" s="144"/>
      <c r="O201" s="192">
        <v>0</v>
      </c>
      <c r="P201" s="192"/>
      <c r="Q201" s="192"/>
      <c r="R201" s="192"/>
      <c r="S201" s="371"/>
      <c r="T201" s="371"/>
      <c r="U201" s="371"/>
      <c r="V201" s="371"/>
      <c r="W201" s="227"/>
      <c r="X201" s="30"/>
      <c r="Z201" s="30"/>
      <c r="AA201" s="30"/>
      <c r="AC201" s="30"/>
      <c r="AH201" s="190">
        <v>0</v>
      </c>
      <c r="AJ201" s="42"/>
      <c r="AK201" s="42"/>
      <c r="AL201" s="42"/>
    </row>
    <row r="202" spans="1:38" s="19" customFormat="1" x14ac:dyDescent="0.2">
      <c r="B202" s="112" t="s">
        <v>319</v>
      </c>
      <c r="C202" s="37" t="s">
        <v>96</v>
      </c>
      <c r="D202" s="37">
        <v>5</v>
      </c>
      <c r="E202" s="37" t="s">
        <v>97</v>
      </c>
      <c r="J202" s="144"/>
      <c r="K202" s="144"/>
      <c r="L202" s="144">
        <v>1</v>
      </c>
      <c r="M202" s="144">
        <v>0</v>
      </c>
      <c r="N202" s="144">
        <v>3</v>
      </c>
      <c r="O202" s="192">
        <v>0</v>
      </c>
      <c r="P202" s="192"/>
      <c r="Q202" s="192"/>
      <c r="R202" s="192"/>
      <c r="S202" s="371">
        <v>0</v>
      </c>
      <c r="T202" s="371"/>
      <c r="U202" s="371"/>
      <c r="V202" s="371"/>
      <c r="W202" s="227"/>
      <c r="X202" s="30"/>
      <c r="Z202" s="30"/>
      <c r="AA202" s="30"/>
      <c r="AC202" s="30"/>
      <c r="AH202" s="190">
        <v>0</v>
      </c>
      <c r="AJ202" s="42"/>
      <c r="AK202" s="42"/>
      <c r="AL202" s="42"/>
    </row>
    <row r="203" spans="1:38" s="19" customFormat="1" x14ac:dyDescent="0.2">
      <c r="B203" s="112" t="s">
        <v>320</v>
      </c>
      <c r="C203" s="37" t="s">
        <v>96</v>
      </c>
      <c r="D203" s="37">
        <v>5</v>
      </c>
      <c r="E203" s="37" t="s">
        <v>97</v>
      </c>
      <c r="J203" s="144"/>
      <c r="K203" s="144"/>
      <c r="L203" s="144"/>
      <c r="M203" s="144"/>
      <c r="N203" s="144"/>
      <c r="O203" s="192">
        <v>0</v>
      </c>
      <c r="P203" s="192"/>
      <c r="Q203" s="192"/>
      <c r="R203" s="192"/>
      <c r="S203" s="371"/>
      <c r="T203" s="371"/>
      <c r="U203" s="371"/>
      <c r="V203" s="371"/>
      <c r="W203" s="227"/>
      <c r="X203" s="30"/>
      <c r="Z203" s="30"/>
      <c r="AA203" s="30"/>
      <c r="AC203" s="30"/>
      <c r="AH203" s="190">
        <v>0</v>
      </c>
      <c r="AJ203" s="42"/>
      <c r="AK203" s="42"/>
      <c r="AL203" s="42"/>
    </row>
    <row r="204" spans="1:38" s="19" customFormat="1" x14ac:dyDescent="0.2">
      <c r="B204" s="112" t="s">
        <v>321</v>
      </c>
      <c r="C204" s="37" t="s">
        <v>96</v>
      </c>
      <c r="D204" s="37">
        <v>5</v>
      </c>
      <c r="E204" s="37" t="s">
        <v>97</v>
      </c>
      <c r="J204" s="144"/>
      <c r="K204" s="144"/>
      <c r="L204" s="144"/>
      <c r="M204" s="144"/>
      <c r="N204" s="144"/>
      <c r="O204" s="192">
        <v>0</v>
      </c>
      <c r="P204" s="192"/>
      <c r="Q204" s="192"/>
      <c r="R204" s="192"/>
      <c r="S204" s="371"/>
      <c r="T204" s="371"/>
      <c r="U204" s="371"/>
      <c r="V204" s="371"/>
      <c r="W204" s="227"/>
      <c r="X204" s="30"/>
      <c r="Z204" s="30"/>
      <c r="AA204" s="30"/>
      <c r="AC204" s="30"/>
      <c r="AH204" s="190">
        <v>0</v>
      </c>
      <c r="AJ204" s="42"/>
      <c r="AK204" s="42"/>
      <c r="AL204" s="42"/>
    </row>
    <row r="205" spans="1:38" s="19" customFormat="1" x14ac:dyDescent="0.2">
      <c r="A205" s="19" t="s">
        <v>27</v>
      </c>
      <c r="B205" s="112" t="s">
        <v>322</v>
      </c>
      <c r="C205" s="37" t="s">
        <v>96</v>
      </c>
      <c r="D205" s="37">
        <v>5</v>
      </c>
      <c r="E205" s="37" t="s">
        <v>121</v>
      </c>
      <c r="F205" s="37" t="s">
        <v>252</v>
      </c>
      <c r="G205" s="37"/>
      <c r="H205" s="119" t="s">
        <v>258</v>
      </c>
      <c r="J205" s="144"/>
      <c r="K205" s="144">
        <v>0</v>
      </c>
      <c r="L205" s="144">
        <v>1</v>
      </c>
      <c r="M205" s="144">
        <v>0</v>
      </c>
      <c r="N205" s="144">
        <v>3</v>
      </c>
      <c r="O205" s="192">
        <v>0</v>
      </c>
      <c r="P205" s="192"/>
      <c r="Q205" s="192"/>
      <c r="R205" s="192"/>
      <c r="S205" s="371">
        <v>0</v>
      </c>
      <c r="T205" s="371"/>
      <c r="U205" s="371"/>
      <c r="V205" s="371"/>
      <c r="W205" s="227"/>
      <c r="X205" s="30" t="s">
        <v>224</v>
      </c>
      <c r="Z205" s="30" t="s">
        <v>224</v>
      </c>
      <c r="AA205" s="30" t="s">
        <v>224</v>
      </c>
      <c r="AC205" s="30" t="s">
        <v>224</v>
      </c>
      <c r="AH205" s="190">
        <v>1</v>
      </c>
      <c r="AJ205" s="42"/>
      <c r="AK205" s="42"/>
      <c r="AL205" s="42"/>
    </row>
    <row r="206" spans="1:38" s="19" customFormat="1" x14ac:dyDescent="0.2">
      <c r="B206" s="112" t="s">
        <v>323</v>
      </c>
      <c r="C206" s="37" t="s">
        <v>96</v>
      </c>
      <c r="D206" s="37">
        <v>5</v>
      </c>
      <c r="E206" s="37" t="s">
        <v>121</v>
      </c>
      <c r="H206" s="119" t="s">
        <v>258</v>
      </c>
      <c r="J206" s="144"/>
      <c r="K206" s="144"/>
      <c r="L206" s="144"/>
      <c r="M206" s="144"/>
      <c r="N206" s="144"/>
      <c r="O206" s="192">
        <v>0</v>
      </c>
      <c r="P206" s="192"/>
      <c r="Q206" s="192"/>
      <c r="R206" s="192"/>
      <c r="S206" s="371"/>
      <c r="T206" s="371"/>
      <c r="U206" s="371"/>
      <c r="V206" s="371"/>
      <c r="W206" s="227"/>
      <c r="X206" s="30" t="s">
        <v>224</v>
      </c>
      <c r="Z206" s="30" t="s">
        <v>224</v>
      </c>
      <c r="AA206" s="30" t="s">
        <v>224</v>
      </c>
      <c r="AC206" s="30" t="s">
        <v>224</v>
      </c>
      <c r="AH206" s="190">
        <v>1</v>
      </c>
      <c r="AJ206" s="42"/>
      <c r="AK206" s="42"/>
      <c r="AL206" s="42"/>
    </row>
    <row r="207" spans="1:38" s="19" customFormat="1" x14ac:dyDescent="0.2">
      <c r="B207" s="112" t="s">
        <v>324</v>
      </c>
      <c r="C207" s="37" t="s">
        <v>96</v>
      </c>
      <c r="D207" s="37">
        <v>5</v>
      </c>
      <c r="E207" s="37" t="s">
        <v>121</v>
      </c>
      <c r="J207" s="144"/>
      <c r="K207" s="144"/>
      <c r="L207" s="144"/>
      <c r="M207" s="144"/>
      <c r="N207" s="144"/>
      <c r="O207" s="192">
        <v>0</v>
      </c>
      <c r="P207" s="192"/>
      <c r="Q207" s="192"/>
      <c r="R207" s="192"/>
      <c r="S207" s="318" t="s">
        <v>27</v>
      </c>
      <c r="T207" s="318"/>
      <c r="U207" s="318"/>
      <c r="V207" s="318"/>
      <c r="W207" s="227"/>
      <c r="X207" s="30"/>
      <c r="Z207" s="30"/>
      <c r="AA207" s="30"/>
      <c r="AC207" s="30"/>
      <c r="AH207" s="190">
        <v>1</v>
      </c>
      <c r="AJ207" s="42"/>
      <c r="AK207" s="42"/>
      <c r="AL207" s="42"/>
    </row>
    <row r="208" spans="1:38" s="19" customFormat="1" x14ac:dyDescent="0.2">
      <c r="B208" s="112" t="s">
        <v>325</v>
      </c>
      <c r="C208" s="37" t="s">
        <v>96</v>
      </c>
      <c r="D208" s="37">
        <v>5</v>
      </c>
      <c r="E208" s="37" t="s">
        <v>121</v>
      </c>
      <c r="J208" s="144"/>
      <c r="K208" s="144"/>
      <c r="L208" s="144">
        <v>1</v>
      </c>
      <c r="M208" s="144">
        <v>0</v>
      </c>
      <c r="N208" s="144">
        <v>3</v>
      </c>
      <c r="O208" s="192">
        <v>0</v>
      </c>
      <c r="P208" s="192"/>
      <c r="Q208" s="192"/>
      <c r="R208" s="192"/>
      <c r="S208" s="318">
        <v>0</v>
      </c>
      <c r="T208" s="318"/>
      <c r="U208" s="318"/>
      <c r="V208" s="318"/>
      <c r="W208" s="227"/>
      <c r="X208" s="30" t="s">
        <v>224</v>
      </c>
      <c r="Z208" s="30" t="s">
        <v>224</v>
      </c>
      <c r="AA208" s="30" t="s">
        <v>224</v>
      </c>
      <c r="AC208" s="30" t="s">
        <v>224</v>
      </c>
      <c r="AH208" s="190">
        <v>1</v>
      </c>
      <c r="AJ208" s="42"/>
      <c r="AK208" s="42"/>
      <c r="AL208" s="42"/>
    </row>
    <row r="209" spans="1:38" s="19" customFormat="1" x14ac:dyDescent="0.2">
      <c r="B209" s="112" t="s">
        <v>326</v>
      </c>
      <c r="C209" s="37" t="s">
        <v>96</v>
      </c>
      <c r="D209" s="37">
        <v>5</v>
      </c>
      <c r="E209" s="37" t="s">
        <v>121</v>
      </c>
      <c r="J209" s="144"/>
      <c r="K209" s="144"/>
      <c r="L209" s="144"/>
      <c r="M209" s="144"/>
      <c r="N209" s="144"/>
      <c r="O209" s="192">
        <v>0</v>
      </c>
      <c r="P209" s="192"/>
      <c r="Q209" s="192"/>
      <c r="R209" s="192"/>
      <c r="S209" s="318" t="s">
        <v>27</v>
      </c>
      <c r="T209" s="318"/>
      <c r="U209" s="318"/>
      <c r="V209" s="318"/>
      <c r="W209" s="227"/>
      <c r="X209" s="30" t="s">
        <v>224</v>
      </c>
      <c r="Z209" s="30" t="s">
        <v>224</v>
      </c>
      <c r="AA209" s="30" t="s">
        <v>224</v>
      </c>
      <c r="AC209" s="30" t="s">
        <v>224</v>
      </c>
      <c r="AH209" s="190">
        <v>1</v>
      </c>
      <c r="AJ209" s="42"/>
      <c r="AK209" s="42"/>
      <c r="AL209" s="42"/>
    </row>
    <row r="210" spans="1:38" s="19" customFormat="1" x14ac:dyDescent="0.2">
      <c r="B210" s="112" t="s">
        <v>327</v>
      </c>
      <c r="C210" s="37" t="s">
        <v>96</v>
      </c>
      <c r="D210" s="37">
        <v>5</v>
      </c>
      <c r="E210" s="37" t="s">
        <v>121</v>
      </c>
      <c r="J210" s="144"/>
      <c r="K210" s="144"/>
      <c r="L210" s="144"/>
      <c r="M210" s="144"/>
      <c r="N210" s="144"/>
      <c r="O210" s="192">
        <v>0</v>
      </c>
      <c r="P210" s="192"/>
      <c r="Q210" s="192"/>
      <c r="R210" s="192"/>
      <c r="S210" s="318"/>
      <c r="T210" s="318"/>
      <c r="U210" s="318"/>
      <c r="V210" s="318"/>
      <c r="W210" s="227"/>
      <c r="X210" s="30" t="s">
        <v>224</v>
      </c>
      <c r="Z210" s="30" t="s">
        <v>224</v>
      </c>
      <c r="AA210" s="30" t="s">
        <v>224</v>
      </c>
      <c r="AC210" s="30" t="s">
        <v>224</v>
      </c>
      <c r="AH210" s="190">
        <v>1</v>
      </c>
      <c r="AJ210" s="42"/>
      <c r="AK210" s="42"/>
      <c r="AL210" s="42"/>
    </row>
    <row r="211" spans="1:38" s="19" customFormat="1" x14ac:dyDescent="0.2">
      <c r="B211" s="112" t="s">
        <v>328</v>
      </c>
      <c r="C211" s="37" t="s">
        <v>96</v>
      </c>
      <c r="D211" s="37">
        <v>5</v>
      </c>
      <c r="E211" s="37" t="s">
        <v>121</v>
      </c>
      <c r="J211" s="144"/>
      <c r="K211" s="144"/>
      <c r="L211" s="144">
        <v>1</v>
      </c>
      <c r="M211" s="144">
        <v>0</v>
      </c>
      <c r="N211" s="144">
        <v>3</v>
      </c>
      <c r="O211" s="192">
        <v>0</v>
      </c>
      <c r="P211" s="192"/>
      <c r="Q211" s="192"/>
      <c r="R211" s="192"/>
      <c r="S211" s="318">
        <v>0</v>
      </c>
      <c r="T211" s="318"/>
      <c r="U211" s="318"/>
      <c r="V211" s="318"/>
      <c r="W211" s="227"/>
      <c r="X211" s="30"/>
      <c r="Z211" s="30"/>
      <c r="AA211" s="29"/>
      <c r="AB211" s="30"/>
      <c r="AC211" s="30"/>
      <c r="AH211" s="190" t="s">
        <v>48</v>
      </c>
      <c r="AJ211" s="42"/>
      <c r="AK211" s="42"/>
      <c r="AL211" s="42"/>
    </row>
    <row r="212" spans="1:38" s="19" customFormat="1" x14ac:dyDescent="0.2">
      <c r="B212" s="112" t="s">
        <v>329</v>
      </c>
      <c r="C212" s="37" t="s">
        <v>96</v>
      </c>
      <c r="D212" s="37">
        <v>5</v>
      </c>
      <c r="E212" s="37" t="s">
        <v>121</v>
      </c>
      <c r="J212" s="144"/>
      <c r="K212" s="144"/>
      <c r="L212" s="144"/>
      <c r="M212" s="144"/>
      <c r="N212" s="144"/>
      <c r="O212" s="192">
        <v>0</v>
      </c>
      <c r="P212" s="192"/>
      <c r="Q212" s="192"/>
      <c r="R212" s="192"/>
      <c r="S212" s="318"/>
      <c r="T212" s="318"/>
      <c r="U212" s="318"/>
      <c r="V212" s="318"/>
      <c r="W212" s="227"/>
      <c r="X212" s="30"/>
      <c r="Z212" s="30"/>
      <c r="AA212" s="29"/>
      <c r="AB212" s="30"/>
      <c r="AC212" s="30"/>
      <c r="AH212" s="190">
        <v>1</v>
      </c>
      <c r="AJ212" s="42"/>
      <c r="AK212" s="42"/>
      <c r="AL212" s="42"/>
    </row>
    <row r="213" spans="1:38" s="19" customFormat="1" x14ac:dyDescent="0.2">
      <c r="B213" s="112" t="s">
        <v>330</v>
      </c>
      <c r="C213" s="37" t="s">
        <v>96</v>
      </c>
      <c r="D213" s="37">
        <v>5</v>
      </c>
      <c r="E213" s="37" t="s">
        <v>121</v>
      </c>
      <c r="J213" s="144"/>
      <c r="K213" s="144"/>
      <c r="L213" s="144"/>
      <c r="M213" s="144"/>
      <c r="N213" s="144"/>
      <c r="O213" s="192">
        <v>0</v>
      </c>
      <c r="P213" s="192"/>
      <c r="Q213" s="192"/>
      <c r="R213" s="192"/>
      <c r="S213" s="318"/>
      <c r="T213" s="318"/>
      <c r="U213" s="318"/>
      <c r="V213" s="318"/>
      <c r="W213" s="227"/>
      <c r="X213" s="30"/>
      <c r="Z213" s="30"/>
      <c r="AA213" s="29"/>
      <c r="AB213" s="30"/>
      <c r="AC213" s="30"/>
      <c r="AH213" s="190">
        <v>1</v>
      </c>
      <c r="AJ213" s="42"/>
      <c r="AK213" s="42"/>
      <c r="AL213" s="42"/>
    </row>
    <row r="214" spans="1:38" s="19" customFormat="1" x14ac:dyDescent="0.2">
      <c r="B214" s="112" t="s">
        <v>331</v>
      </c>
      <c r="C214" s="37" t="s">
        <v>96</v>
      </c>
      <c r="D214" s="37">
        <v>5</v>
      </c>
      <c r="E214" s="37" t="s">
        <v>121</v>
      </c>
      <c r="J214" s="144"/>
      <c r="K214" s="144"/>
      <c r="L214" s="144">
        <v>1</v>
      </c>
      <c r="M214" s="144">
        <v>0</v>
      </c>
      <c r="N214" s="144">
        <v>3</v>
      </c>
      <c r="O214" s="192">
        <v>0</v>
      </c>
      <c r="P214" s="192"/>
      <c r="Q214" s="192"/>
      <c r="R214" s="192"/>
      <c r="S214" s="318">
        <v>0</v>
      </c>
      <c r="T214" s="318"/>
      <c r="U214" s="318"/>
      <c r="V214" s="318"/>
      <c r="W214" s="227"/>
      <c r="X214" s="30"/>
      <c r="Z214" s="30"/>
      <c r="AA214" s="29"/>
      <c r="AB214" s="30"/>
      <c r="AC214" s="30"/>
      <c r="AH214" s="190">
        <v>1</v>
      </c>
      <c r="AJ214" s="42"/>
      <c r="AK214" s="42"/>
      <c r="AL214" s="42"/>
    </row>
    <row r="215" spans="1:38" s="19" customFormat="1" x14ac:dyDescent="0.2">
      <c r="B215" s="112" t="s">
        <v>332</v>
      </c>
      <c r="C215" s="37" t="s">
        <v>96</v>
      </c>
      <c r="D215" s="37">
        <v>5</v>
      </c>
      <c r="E215" s="37" t="s">
        <v>121</v>
      </c>
      <c r="J215" s="144"/>
      <c r="K215" s="144"/>
      <c r="L215" s="144"/>
      <c r="M215" s="144"/>
      <c r="N215" s="144"/>
      <c r="O215" s="192">
        <v>0</v>
      </c>
      <c r="P215" s="192"/>
      <c r="Q215" s="192"/>
      <c r="R215" s="192"/>
      <c r="S215" s="318"/>
      <c r="T215" s="318"/>
      <c r="U215" s="318"/>
      <c r="V215" s="318"/>
      <c r="W215" s="227"/>
      <c r="X215" s="29"/>
      <c r="Y215" s="30"/>
      <c r="Z215" s="30"/>
      <c r="AA215" s="29"/>
      <c r="AB215" s="30"/>
      <c r="AC215" s="30"/>
      <c r="AH215" s="190">
        <v>1</v>
      </c>
      <c r="AJ215" s="42"/>
      <c r="AK215" s="42"/>
      <c r="AL215" s="42"/>
    </row>
    <row r="216" spans="1:38" s="19" customFormat="1" x14ac:dyDescent="0.2">
      <c r="B216" s="112" t="s">
        <v>333</v>
      </c>
      <c r="C216" s="37"/>
      <c r="D216" s="37"/>
      <c r="E216" s="37"/>
      <c r="J216" s="144"/>
      <c r="K216" s="144"/>
      <c r="L216" s="144"/>
      <c r="M216" s="144"/>
      <c r="N216" s="144"/>
      <c r="O216" s="192">
        <v>0</v>
      </c>
      <c r="P216" s="192"/>
      <c r="Q216" s="192"/>
      <c r="R216" s="192"/>
      <c r="S216" s="318"/>
      <c r="T216" s="318"/>
      <c r="U216" s="318"/>
      <c r="V216" s="318"/>
      <c r="W216" s="227"/>
      <c r="X216" s="29"/>
      <c r="Y216" s="30"/>
      <c r="Z216" s="30"/>
      <c r="AA216" s="29"/>
      <c r="AB216" s="30"/>
      <c r="AC216" s="30"/>
      <c r="AH216" s="190">
        <v>0</v>
      </c>
      <c r="AJ216" s="42"/>
      <c r="AK216" s="42"/>
      <c r="AL216" s="42"/>
    </row>
    <row r="217" spans="1:38" s="19" customFormat="1" x14ac:dyDescent="0.2">
      <c r="B217" s="112" t="s">
        <v>334</v>
      </c>
      <c r="C217" s="37"/>
      <c r="D217" s="37"/>
      <c r="E217" s="37"/>
      <c r="J217" s="144"/>
      <c r="K217" s="144"/>
      <c r="L217" s="144">
        <v>1</v>
      </c>
      <c r="M217" s="144">
        <v>0</v>
      </c>
      <c r="N217" s="144">
        <v>2</v>
      </c>
      <c r="O217" s="192">
        <v>0</v>
      </c>
      <c r="P217" s="192"/>
      <c r="Q217" s="192"/>
      <c r="R217" s="192"/>
      <c r="S217" s="318">
        <v>0</v>
      </c>
      <c r="T217" s="318"/>
      <c r="U217" s="318"/>
      <c r="V217" s="318"/>
      <c r="W217" s="227"/>
      <c r="X217" s="29"/>
      <c r="Y217" s="30"/>
      <c r="Z217" s="30"/>
      <c r="AA217" s="29"/>
      <c r="AB217" s="30"/>
      <c r="AC217" s="30"/>
      <c r="AH217" s="190">
        <v>0</v>
      </c>
      <c r="AJ217" s="42"/>
      <c r="AK217" s="42"/>
      <c r="AL217" s="42"/>
    </row>
    <row r="218" spans="1:38" s="19" customFormat="1" x14ac:dyDescent="0.2">
      <c r="B218" s="112" t="s">
        <v>335</v>
      </c>
      <c r="C218" s="37"/>
      <c r="D218" s="37"/>
      <c r="E218" s="37"/>
      <c r="J218" s="144"/>
      <c r="K218" s="144"/>
      <c r="L218" s="144"/>
      <c r="M218" s="144"/>
      <c r="N218" s="144"/>
      <c r="O218" s="192">
        <v>0</v>
      </c>
      <c r="P218" s="192"/>
      <c r="Q218" s="192"/>
      <c r="R218" s="192"/>
      <c r="S218" s="318"/>
      <c r="T218" s="318"/>
      <c r="U218" s="318"/>
      <c r="V218" s="318"/>
      <c r="W218" s="227"/>
      <c r="X218" s="29"/>
      <c r="Y218" s="30"/>
      <c r="Z218" s="30"/>
      <c r="AA218" s="29"/>
      <c r="AB218" s="30"/>
      <c r="AC218" s="30"/>
      <c r="AH218" s="190">
        <v>1</v>
      </c>
      <c r="AJ218" s="42"/>
      <c r="AK218" s="42"/>
      <c r="AL218" s="42"/>
    </row>
    <row r="219" spans="1:38" s="206" customFormat="1" x14ac:dyDescent="0.2">
      <c r="B219" s="206" t="s">
        <v>336</v>
      </c>
      <c r="C219" s="206" t="s">
        <v>96</v>
      </c>
      <c r="D219" s="206">
        <v>5</v>
      </c>
      <c r="E219" s="206" t="s">
        <v>121</v>
      </c>
      <c r="F219" s="569"/>
      <c r="G219" s="569" t="s">
        <v>126</v>
      </c>
      <c r="H219" s="569"/>
      <c r="J219" s="570"/>
      <c r="K219" s="570"/>
      <c r="L219" s="570"/>
      <c r="M219" s="570"/>
      <c r="N219" s="570"/>
      <c r="O219" s="570"/>
      <c r="P219" s="570"/>
      <c r="Q219" s="570"/>
      <c r="R219" s="570"/>
      <c r="S219" s="571" t="s">
        <v>27</v>
      </c>
      <c r="T219" s="571"/>
      <c r="U219" s="571"/>
      <c r="V219" s="571"/>
      <c r="W219" s="564"/>
      <c r="X219" s="209"/>
      <c r="Y219" s="210"/>
      <c r="Z219" s="210"/>
      <c r="AA219" s="209"/>
      <c r="AB219" s="210"/>
      <c r="AC219" s="210"/>
      <c r="AH219" s="562">
        <v>1</v>
      </c>
      <c r="AJ219" s="44">
        <v>0</v>
      </c>
      <c r="AK219" s="44"/>
      <c r="AL219" s="44">
        <v>1</v>
      </c>
    </row>
    <row r="220" spans="1:38" s="206" customFormat="1" x14ac:dyDescent="0.2">
      <c r="B220" s="206" t="s">
        <v>337</v>
      </c>
      <c r="C220" s="206" t="s">
        <v>96</v>
      </c>
      <c r="D220" s="206">
        <v>5</v>
      </c>
      <c r="E220" s="206" t="s">
        <v>121</v>
      </c>
      <c r="F220" s="569"/>
      <c r="G220" s="569" t="s">
        <v>126</v>
      </c>
      <c r="H220" s="569"/>
      <c r="J220" s="570"/>
      <c r="K220" s="570"/>
      <c r="L220" s="570"/>
      <c r="M220" s="570"/>
      <c r="N220" s="570"/>
      <c r="O220" s="570"/>
      <c r="P220" s="570"/>
      <c r="Q220" s="570"/>
      <c r="R220" s="570"/>
      <c r="S220" s="571"/>
      <c r="T220" s="571"/>
      <c r="U220" s="571"/>
      <c r="V220" s="571"/>
      <c r="W220" s="564"/>
      <c r="X220" s="209"/>
      <c r="Y220" s="210"/>
      <c r="Z220" s="210"/>
      <c r="AA220" s="209"/>
      <c r="AB220" s="210"/>
      <c r="AC220" s="210"/>
      <c r="AH220" s="562">
        <v>1</v>
      </c>
      <c r="AJ220" s="44">
        <v>0</v>
      </c>
      <c r="AK220" s="44"/>
      <c r="AL220" s="44">
        <v>1</v>
      </c>
    </row>
    <row r="221" spans="1:38" s="206" customFormat="1" x14ac:dyDescent="0.2">
      <c r="B221" s="206" t="s">
        <v>338</v>
      </c>
      <c r="F221" s="569"/>
      <c r="G221" s="569" t="s">
        <v>126</v>
      </c>
      <c r="H221" s="569"/>
      <c r="J221" s="570"/>
      <c r="K221" s="570"/>
      <c r="L221" s="570"/>
      <c r="M221" s="570"/>
      <c r="N221" s="570"/>
      <c r="O221" s="570"/>
      <c r="P221" s="570"/>
      <c r="Q221" s="570"/>
      <c r="R221" s="570"/>
      <c r="S221" s="571"/>
      <c r="T221" s="571"/>
      <c r="U221" s="571"/>
      <c r="V221" s="571"/>
      <c r="W221" s="564"/>
      <c r="X221" s="209"/>
      <c r="Y221" s="210"/>
      <c r="Z221" s="210"/>
      <c r="AA221" s="209"/>
      <c r="AB221" s="210"/>
      <c r="AC221" s="210"/>
      <c r="AH221" s="562">
        <v>0</v>
      </c>
      <c r="AJ221" s="44">
        <v>0</v>
      </c>
      <c r="AK221" s="44"/>
      <c r="AL221" s="44">
        <v>1</v>
      </c>
    </row>
    <row r="222" spans="1:38" s="206" customFormat="1" x14ac:dyDescent="0.2">
      <c r="A222" s="206" t="s">
        <v>339</v>
      </c>
      <c r="B222" s="206" t="s">
        <v>340</v>
      </c>
      <c r="C222" s="206" t="s">
        <v>96</v>
      </c>
      <c r="D222" s="206">
        <v>5</v>
      </c>
      <c r="E222" s="206" t="s">
        <v>97</v>
      </c>
      <c r="F222" s="206" t="s">
        <v>252</v>
      </c>
      <c r="J222" s="570"/>
      <c r="K222" s="570"/>
      <c r="L222" s="570"/>
      <c r="M222" s="570"/>
      <c r="N222" s="570"/>
      <c r="O222" s="570"/>
      <c r="P222" s="570"/>
      <c r="Q222" s="570"/>
      <c r="R222" s="570"/>
      <c r="S222" s="571"/>
      <c r="T222" s="571"/>
      <c r="U222" s="571"/>
      <c r="V222" s="571"/>
      <c r="W222" s="564"/>
      <c r="X222" s="209"/>
      <c r="Y222" s="210"/>
      <c r="Z222" s="210"/>
      <c r="AA222" s="209"/>
      <c r="AB222" s="210"/>
      <c r="AC222" s="210"/>
      <c r="AH222" s="562">
        <v>0</v>
      </c>
      <c r="AJ222" s="44">
        <v>0</v>
      </c>
      <c r="AK222" s="44"/>
      <c r="AL222" s="44"/>
    </row>
    <row r="223" spans="1:38" s="206" customFormat="1" x14ac:dyDescent="0.2">
      <c r="B223" s="206" t="s">
        <v>341</v>
      </c>
      <c r="C223" s="206" t="s">
        <v>96</v>
      </c>
      <c r="D223" s="206">
        <v>5</v>
      </c>
      <c r="E223" s="206" t="s">
        <v>97</v>
      </c>
      <c r="F223" s="206" t="s">
        <v>252</v>
      </c>
      <c r="J223" s="570"/>
      <c r="K223" s="570"/>
      <c r="L223" s="570"/>
      <c r="M223" s="570"/>
      <c r="N223" s="570"/>
      <c r="O223" s="570"/>
      <c r="P223" s="570"/>
      <c r="Q223" s="570"/>
      <c r="R223" s="570"/>
      <c r="S223" s="571"/>
      <c r="T223" s="571"/>
      <c r="U223" s="571"/>
      <c r="V223" s="571"/>
      <c r="W223" s="564"/>
      <c r="X223" s="209"/>
      <c r="Y223" s="210"/>
      <c r="Z223" s="210"/>
      <c r="AA223" s="209"/>
      <c r="AB223" s="210"/>
      <c r="AC223" s="210"/>
      <c r="AH223" s="562">
        <v>0</v>
      </c>
      <c r="AJ223" s="44">
        <v>0</v>
      </c>
      <c r="AK223" s="44"/>
      <c r="AL223" s="44"/>
    </row>
    <row r="224" spans="1:38" s="206" customFormat="1" x14ac:dyDescent="0.2">
      <c r="B224" s="206" t="s">
        <v>342</v>
      </c>
      <c r="C224" s="206" t="s">
        <v>96</v>
      </c>
      <c r="D224" s="206">
        <v>5</v>
      </c>
      <c r="E224" s="206" t="s">
        <v>121</v>
      </c>
      <c r="F224" s="206" t="s">
        <v>252</v>
      </c>
      <c r="G224" s="206" t="s">
        <v>126</v>
      </c>
      <c r="J224" s="570"/>
      <c r="K224" s="570"/>
      <c r="L224" s="570"/>
      <c r="M224" s="570"/>
      <c r="N224" s="570"/>
      <c r="O224" s="570"/>
      <c r="P224" s="570"/>
      <c r="Q224" s="570"/>
      <c r="R224" s="570"/>
      <c r="S224" s="571"/>
      <c r="T224" s="571"/>
      <c r="U224" s="571"/>
      <c r="V224" s="571"/>
      <c r="W224" s="564"/>
      <c r="X224" s="209"/>
      <c r="Y224" s="210"/>
      <c r="Z224" s="210"/>
      <c r="AA224" s="209"/>
      <c r="AB224" s="210"/>
      <c r="AC224" s="210"/>
      <c r="AH224" s="562">
        <v>1</v>
      </c>
      <c r="AJ224" s="44">
        <v>0</v>
      </c>
      <c r="AK224" s="44"/>
      <c r="AL224" s="44">
        <v>0</v>
      </c>
    </row>
    <row r="225" spans="1:38" s="206" customFormat="1" x14ac:dyDescent="0.2">
      <c r="B225" s="206" t="s">
        <v>343</v>
      </c>
      <c r="C225" s="206" t="s">
        <v>96</v>
      </c>
      <c r="D225" s="206">
        <v>5</v>
      </c>
      <c r="E225" s="206" t="s">
        <v>121</v>
      </c>
      <c r="F225" s="569"/>
      <c r="G225" s="569" t="s">
        <v>126</v>
      </c>
      <c r="H225" s="569"/>
      <c r="J225" s="570"/>
      <c r="K225" s="570"/>
      <c r="L225" s="570"/>
      <c r="M225" s="570"/>
      <c r="N225" s="570"/>
      <c r="O225" s="570"/>
      <c r="P225" s="570"/>
      <c r="Q225" s="570"/>
      <c r="R225" s="570"/>
      <c r="S225" s="571"/>
      <c r="T225" s="571"/>
      <c r="U225" s="571"/>
      <c r="V225" s="571"/>
      <c r="W225" s="564"/>
      <c r="X225" s="209"/>
      <c r="Y225" s="210"/>
      <c r="Z225" s="210"/>
      <c r="AA225" s="209"/>
      <c r="AB225" s="210"/>
      <c r="AC225" s="210"/>
      <c r="AH225" s="562">
        <v>0</v>
      </c>
      <c r="AJ225" s="44">
        <v>1</v>
      </c>
      <c r="AK225" s="44"/>
      <c r="AL225" s="44">
        <v>0</v>
      </c>
    </row>
    <row r="226" spans="1:38" s="569" customFormat="1" x14ac:dyDescent="0.2">
      <c r="B226" s="206" t="s">
        <v>344</v>
      </c>
      <c r="C226" s="206" t="s">
        <v>120</v>
      </c>
      <c r="D226" s="206">
        <v>5</v>
      </c>
      <c r="E226" s="206" t="s">
        <v>277</v>
      </c>
      <c r="I226" s="206"/>
      <c r="J226" s="570"/>
      <c r="K226" s="570"/>
      <c r="L226" s="570"/>
      <c r="M226" s="570"/>
      <c r="N226" s="570"/>
      <c r="O226" s="570"/>
      <c r="P226" s="570"/>
      <c r="Q226" s="570"/>
      <c r="R226" s="570"/>
      <c r="S226" s="563"/>
      <c r="T226" s="563"/>
      <c r="U226" s="563"/>
      <c r="V226" s="563"/>
      <c r="W226" s="564"/>
      <c r="X226" s="209"/>
      <c r="Y226" s="210"/>
      <c r="Z226" s="210"/>
      <c r="AA226" s="209"/>
      <c r="AB226" s="210"/>
      <c r="AC226" s="210"/>
      <c r="AH226" s="562">
        <v>1</v>
      </c>
      <c r="AJ226" s="44">
        <v>1</v>
      </c>
      <c r="AK226" s="44"/>
      <c r="AL226" s="44"/>
    </row>
    <row r="227" spans="1:38" s="569" customFormat="1" x14ac:dyDescent="0.2">
      <c r="B227" s="206" t="s">
        <v>345</v>
      </c>
      <c r="C227" s="206" t="s">
        <v>120</v>
      </c>
      <c r="D227" s="206">
        <v>5</v>
      </c>
      <c r="E227" s="206" t="s">
        <v>277</v>
      </c>
      <c r="I227" s="206"/>
      <c r="J227" s="570"/>
      <c r="K227" s="570"/>
      <c r="L227" s="570"/>
      <c r="M227" s="570"/>
      <c r="N227" s="570"/>
      <c r="O227" s="570"/>
      <c r="P227" s="570"/>
      <c r="Q227" s="570"/>
      <c r="R227" s="570"/>
      <c r="S227" s="563"/>
      <c r="T227" s="563"/>
      <c r="U227" s="563"/>
      <c r="V227" s="563"/>
      <c r="W227" s="564"/>
      <c r="X227" s="209"/>
      <c r="Y227" s="210"/>
      <c r="Z227" s="210"/>
      <c r="AA227" s="209"/>
      <c r="AB227" s="210"/>
      <c r="AC227" s="210"/>
      <c r="AH227" s="562">
        <v>1</v>
      </c>
      <c r="AJ227" s="44">
        <v>1</v>
      </c>
      <c r="AK227" s="44"/>
      <c r="AL227" s="44"/>
    </row>
    <row r="228" spans="1:38" s="213" customFormat="1" x14ac:dyDescent="0.2">
      <c r="A228" s="213" t="s">
        <v>339</v>
      </c>
      <c r="B228" s="211" t="s">
        <v>346</v>
      </c>
      <c r="C228" s="211" t="s">
        <v>101</v>
      </c>
      <c r="D228" s="211">
        <v>5</v>
      </c>
      <c r="E228" s="211" t="s">
        <v>121</v>
      </c>
      <c r="I228" s="19"/>
      <c r="J228" s="214"/>
      <c r="K228" s="214"/>
      <c r="L228" s="214"/>
      <c r="M228" s="214"/>
      <c r="N228" s="214"/>
      <c r="O228" s="214"/>
      <c r="P228" s="214"/>
      <c r="Q228" s="214"/>
      <c r="R228" s="214"/>
      <c r="S228" s="371"/>
      <c r="T228" s="371"/>
      <c r="U228" s="371"/>
      <c r="V228" s="371"/>
      <c r="W228" s="227"/>
      <c r="X228" s="29"/>
      <c r="Y228" s="30"/>
      <c r="Z228" s="30"/>
      <c r="AA228" s="29"/>
      <c r="AB228" s="30"/>
      <c r="AC228" s="30"/>
      <c r="AH228" s="190">
        <v>1</v>
      </c>
      <c r="AJ228" s="212">
        <v>0</v>
      </c>
      <c r="AK228" s="212">
        <v>1</v>
      </c>
      <c r="AL228" s="212" t="s">
        <v>347</v>
      </c>
    </row>
    <row r="229" spans="1:38" s="136" customFormat="1" x14ac:dyDescent="0.2">
      <c r="B229" s="134" t="s">
        <v>348</v>
      </c>
      <c r="C229" s="134" t="s">
        <v>101</v>
      </c>
      <c r="D229" s="134">
        <v>5</v>
      </c>
      <c r="E229" s="134" t="s">
        <v>121</v>
      </c>
      <c r="I229" s="19"/>
      <c r="J229" s="149"/>
      <c r="K229" s="149"/>
      <c r="L229" s="149"/>
      <c r="M229" s="149"/>
      <c r="N229" s="149"/>
      <c r="O229" s="194"/>
      <c r="P229" s="194"/>
      <c r="Q229" s="194"/>
      <c r="R229" s="194"/>
      <c r="S229" s="371"/>
      <c r="T229" s="371"/>
      <c r="U229" s="371"/>
      <c r="V229" s="371"/>
      <c r="W229" s="227"/>
      <c r="X229" s="29"/>
      <c r="Y229" s="30"/>
      <c r="Z229" s="30"/>
      <c r="AA229" s="29"/>
      <c r="AB229" s="30"/>
      <c r="AC229" s="30"/>
      <c r="AH229" s="190">
        <v>1</v>
      </c>
      <c r="AJ229" s="137">
        <v>0</v>
      </c>
      <c r="AK229" s="137"/>
      <c r="AL229" s="137"/>
    </row>
    <row r="230" spans="1:38" s="213" customFormat="1" x14ac:dyDescent="0.2">
      <c r="A230" s="213" t="s">
        <v>339</v>
      </c>
      <c r="B230" s="211" t="s">
        <v>349</v>
      </c>
      <c r="C230" s="211" t="s">
        <v>101</v>
      </c>
      <c r="D230" s="211">
        <v>5</v>
      </c>
      <c r="E230" s="211" t="s">
        <v>121</v>
      </c>
      <c r="G230" s="213" t="s">
        <v>126</v>
      </c>
      <c r="I230" s="19"/>
      <c r="J230" s="214"/>
      <c r="K230" s="214"/>
      <c r="L230" s="214"/>
      <c r="M230" s="214"/>
      <c r="N230" s="214"/>
      <c r="O230" s="214"/>
      <c r="P230" s="214"/>
      <c r="Q230" s="214"/>
      <c r="R230" s="214"/>
      <c r="S230" s="371"/>
      <c r="T230" s="371"/>
      <c r="U230" s="371"/>
      <c r="V230" s="371"/>
      <c r="W230" s="227"/>
      <c r="X230" s="29"/>
      <c r="Y230" s="30"/>
      <c r="Z230" s="30"/>
      <c r="AA230" s="29"/>
      <c r="AB230" s="30"/>
      <c r="AC230" s="30"/>
      <c r="AH230" s="190">
        <v>0</v>
      </c>
      <c r="AJ230" s="212">
        <v>0</v>
      </c>
      <c r="AK230" s="212"/>
      <c r="AL230" s="212">
        <v>1</v>
      </c>
    </row>
    <row r="231" spans="1:38" s="136" customFormat="1" x14ac:dyDescent="0.2">
      <c r="B231" s="134" t="s">
        <v>350</v>
      </c>
      <c r="C231" s="134"/>
      <c r="D231" s="134"/>
      <c r="E231" s="134"/>
      <c r="G231" s="136" t="s">
        <v>126</v>
      </c>
      <c r="I231" s="19"/>
      <c r="J231" s="149"/>
      <c r="K231" s="149"/>
      <c r="L231" s="149"/>
      <c r="M231" s="149"/>
      <c r="N231" s="149"/>
      <c r="O231" s="194"/>
      <c r="P231" s="194"/>
      <c r="Q231" s="194"/>
      <c r="R231" s="194"/>
      <c r="S231" s="318"/>
      <c r="T231" s="318"/>
      <c r="U231" s="318"/>
      <c r="V231" s="318"/>
      <c r="W231" s="227"/>
      <c r="X231" s="29"/>
      <c r="Y231" s="30"/>
      <c r="Z231" s="30"/>
      <c r="AA231" s="29"/>
      <c r="AB231" s="30"/>
      <c r="AC231" s="30"/>
      <c r="AH231" s="190">
        <v>1</v>
      </c>
      <c r="AJ231" s="137">
        <v>0</v>
      </c>
      <c r="AK231" s="137"/>
      <c r="AL231" s="137">
        <v>1</v>
      </c>
    </row>
    <row r="232" spans="1:38" s="213" customFormat="1" x14ac:dyDescent="0.2">
      <c r="A232" s="213" t="s">
        <v>339</v>
      </c>
      <c r="B232" s="211" t="s">
        <v>351</v>
      </c>
      <c r="C232" s="211" t="s">
        <v>96</v>
      </c>
      <c r="D232" s="211">
        <v>5</v>
      </c>
      <c r="E232" s="211" t="s">
        <v>121</v>
      </c>
      <c r="G232" s="213" t="s">
        <v>126</v>
      </c>
      <c r="I232" s="19"/>
      <c r="J232" s="214"/>
      <c r="K232" s="214"/>
      <c r="L232" s="214"/>
      <c r="M232" s="214"/>
      <c r="N232" s="214"/>
      <c r="O232" s="214"/>
      <c r="P232" s="214"/>
      <c r="Q232" s="214"/>
      <c r="R232" s="214"/>
      <c r="S232" s="318"/>
      <c r="T232" s="318"/>
      <c r="U232" s="318"/>
      <c r="V232" s="318"/>
      <c r="W232" s="227"/>
      <c r="X232" s="29"/>
      <c r="Y232" s="30"/>
      <c r="Z232" s="30"/>
      <c r="AA232" s="29"/>
      <c r="AB232" s="30"/>
      <c r="AC232" s="30"/>
      <c r="AH232" s="190">
        <v>1</v>
      </c>
      <c r="AJ232" s="212">
        <v>0</v>
      </c>
      <c r="AK232" s="212">
        <v>1</v>
      </c>
      <c r="AL232" s="212">
        <v>1</v>
      </c>
    </row>
    <row r="233" spans="1:38" s="280" customFormat="1" x14ac:dyDescent="0.2">
      <c r="A233" s="280" t="s">
        <v>28</v>
      </c>
      <c r="B233" s="280" t="s">
        <v>29</v>
      </c>
      <c r="I233" s="273"/>
      <c r="J233" s="320">
        <f>COUNT(A234:A311)</f>
        <v>1</v>
      </c>
      <c r="K233" s="321">
        <f>COUNTIF(K234:K311,1)/J233</f>
        <v>1</v>
      </c>
      <c r="L233" s="320">
        <f>SUM(L234:L311)</f>
        <v>19</v>
      </c>
      <c r="M233" s="321">
        <f>COUNTIF(M234:M311,1)/L233</f>
        <v>0.68421052631578949</v>
      </c>
      <c r="N233" s="320">
        <f>SUM(N234:N311)</f>
        <v>77</v>
      </c>
      <c r="O233" s="321">
        <f>COUNTIF(O234:O311,1)/N233</f>
        <v>0.50649350649350644</v>
      </c>
      <c r="P233" s="524">
        <f>AVERAGE(O234:O311)</f>
        <v>0.50649350649350644</v>
      </c>
      <c r="Q233" s="524">
        <f>_xlfn.STDEV.P(O234:O311)</f>
        <v>0.49995783259532878</v>
      </c>
      <c r="R233" s="525">
        <f>STDEV(O234:O311)/(SQRT(COUNT(O234:O311)))</f>
        <v>5.7349096534596411E-2</v>
      </c>
      <c r="S233" s="374">
        <f>((S234*N234)+(S239*N239)+(S245*N245)+(S252*N252)+(S258*N258)+(S263*N263)+(S266*N266)+(S270*N270)+(S274*N274)+(S280*N280)+(S284*N284)+(S287*N287)+(S290*N290)+(S291*N291)+(S295*N295)+(S299*N299)+(S303*N303)+(S306*N306)+(S309*N309))/N233</f>
        <v>0.50649350649350655</v>
      </c>
      <c r="T233" s="374"/>
      <c r="U233" s="374">
        <f>_xlfn.STDEV.P(T234:T252)</f>
        <v>0.3436934793624003</v>
      </c>
      <c r="V233" s="374">
        <f>+V253</f>
        <v>8.1009329968917312E-2</v>
      </c>
      <c r="W233" s="327"/>
      <c r="X233" s="277"/>
      <c r="Y233" s="278"/>
      <c r="Z233" s="278"/>
      <c r="AA233" s="277"/>
      <c r="AB233" s="278"/>
      <c r="AC233" s="278"/>
      <c r="AH233" s="190">
        <v>0</v>
      </c>
      <c r="AJ233" s="328"/>
      <c r="AK233" s="328"/>
      <c r="AL233" s="328"/>
    </row>
    <row r="234" spans="1:38" s="20" customFormat="1" x14ac:dyDescent="0.2">
      <c r="A234" s="20">
        <v>1</v>
      </c>
      <c r="B234" s="91" t="s">
        <v>352</v>
      </c>
      <c r="I234" s="19"/>
      <c r="J234" s="139"/>
      <c r="K234" s="139" t="s">
        <v>27</v>
      </c>
      <c r="L234" s="139">
        <v>1</v>
      </c>
      <c r="M234" s="139">
        <v>0</v>
      </c>
      <c r="N234" s="144">
        <v>5</v>
      </c>
      <c r="O234" s="190">
        <v>0</v>
      </c>
      <c r="P234" s="190"/>
      <c r="Q234" s="190"/>
      <c r="R234" s="190"/>
      <c r="S234" s="318">
        <v>0</v>
      </c>
      <c r="T234" s="318">
        <f>+S234</f>
        <v>0</v>
      </c>
      <c r="U234" s="318"/>
      <c r="V234" s="318"/>
      <c r="W234" s="227"/>
      <c r="X234" s="29"/>
      <c r="Y234" s="30"/>
      <c r="Z234" s="30"/>
      <c r="AA234" s="29"/>
      <c r="AB234" s="30"/>
      <c r="AC234" s="30"/>
      <c r="AH234" s="190">
        <v>1</v>
      </c>
    </row>
    <row r="235" spans="1:38" s="20" customFormat="1" x14ac:dyDescent="0.2">
      <c r="B235" s="91" t="s">
        <v>353</v>
      </c>
      <c r="I235" s="19"/>
      <c r="J235" s="139"/>
      <c r="K235" s="139"/>
      <c r="L235" s="139"/>
      <c r="M235" s="139"/>
      <c r="N235" s="139"/>
      <c r="O235" s="190">
        <v>0</v>
      </c>
      <c r="P235" s="190"/>
      <c r="Q235" s="190"/>
      <c r="R235" s="190"/>
      <c r="S235" s="318"/>
      <c r="T235" s="318">
        <f>+S239</f>
        <v>1</v>
      </c>
      <c r="U235" s="318"/>
      <c r="V235" s="318"/>
      <c r="W235" s="227"/>
      <c r="X235" s="29"/>
      <c r="Y235" s="30"/>
      <c r="Z235" s="30"/>
      <c r="AA235" s="29"/>
      <c r="AB235" s="30"/>
      <c r="AC235" s="30"/>
      <c r="AH235" s="190">
        <v>0</v>
      </c>
    </row>
    <row r="236" spans="1:38" s="20" customFormat="1" x14ac:dyDescent="0.2">
      <c r="B236" s="91" t="s">
        <v>354</v>
      </c>
      <c r="I236" s="19"/>
      <c r="J236" s="139"/>
      <c r="K236" s="139"/>
      <c r="L236" s="139"/>
      <c r="M236" s="139"/>
      <c r="N236" s="139"/>
      <c r="O236" s="190">
        <v>0</v>
      </c>
      <c r="P236" s="190"/>
      <c r="Q236" s="190"/>
      <c r="R236" s="190"/>
      <c r="S236" s="318" t="s">
        <v>27</v>
      </c>
      <c r="T236" s="318">
        <f>+S245</f>
        <v>0.66666666666666663</v>
      </c>
      <c r="U236" s="318"/>
      <c r="V236" s="318"/>
      <c r="W236" s="227"/>
      <c r="X236" s="29"/>
      <c r="Y236" s="30"/>
      <c r="Z236" s="30"/>
      <c r="AA236" s="29"/>
      <c r="AB236" s="30"/>
      <c r="AC236" s="30"/>
      <c r="AH236" s="190">
        <v>1</v>
      </c>
    </row>
    <row r="237" spans="1:38" s="20" customFormat="1" x14ac:dyDescent="0.2">
      <c r="B237" s="91" t="s">
        <v>355</v>
      </c>
      <c r="I237" s="19"/>
      <c r="J237" s="139"/>
      <c r="K237" s="139"/>
      <c r="L237" s="139"/>
      <c r="M237" s="139"/>
      <c r="N237" s="139"/>
      <c r="O237" s="190">
        <v>0</v>
      </c>
      <c r="P237" s="190"/>
      <c r="Q237" s="190"/>
      <c r="R237" s="190"/>
      <c r="S237" s="318"/>
      <c r="T237" s="318">
        <f>+S252</f>
        <v>0.5</v>
      </c>
      <c r="U237" s="318"/>
      <c r="V237" s="318"/>
      <c r="W237" s="227"/>
      <c r="X237" s="29"/>
      <c r="Y237" s="30"/>
      <c r="Z237" s="30"/>
      <c r="AA237" s="29"/>
      <c r="AB237" s="30"/>
      <c r="AC237" s="30"/>
      <c r="AH237" s="190">
        <v>1</v>
      </c>
    </row>
    <row r="238" spans="1:38" s="20" customFormat="1" x14ac:dyDescent="0.2">
      <c r="B238" s="91" t="s">
        <v>356</v>
      </c>
      <c r="I238" s="19"/>
      <c r="J238" s="139"/>
      <c r="K238" s="139"/>
      <c r="L238" s="139"/>
      <c r="M238" s="139"/>
      <c r="N238" s="139"/>
      <c r="O238" s="190">
        <v>0</v>
      </c>
      <c r="P238" s="190"/>
      <c r="Q238" s="190"/>
      <c r="R238" s="190"/>
      <c r="S238" s="318"/>
      <c r="T238" s="318">
        <f>+S258</f>
        <v>0.8</v>
      </c>
      <c r="U238" s="318"/>
      <c r="V238" s="318"/>
      <c r="W238" s="227"/>
      <c r="X238" s="29"/>
      <c r="Y238" s="30"/>
      <c r="Z238" s="30"/>
      <c r="AA238" s="29"/>
      <c r="AB238" s="30"/>
      <c r="AC238" s="30"/>
      <c r="AH238" s="190">
        <v>0</v>
      </c>
    </row>
    <row r="239" spans="1:38" s="20" customFormat="1" x14ac:dyDescent="0.2">
      <c r="B239" s="111" t="s">
        <v>357</v>
      </c>
      <c r="I239" s="19"/>
      <c r="J239" s="139"/>
      <c r="K239" s="139">
        <v>1</v>
      </c>
      <c r="L239" s="139">
        <v>1</v>
      </c>
      <c r="M239" s="139">
        <v>1</v>
      </c>
      <c r="N239" s="144">
        <v>6</v>
      </c>
      <c r="O239" s="190">
        <v>1</v>
      </c>
      <c r="P239" s="190"/>
      <c r="Q239" s="190"/>
      <c r="R239" s="190"/>
      <c r="S239" s="318">
        <v>1</v>
      </c>
      <c r="T239" s="318">
        <f>+S263</f>
        <v>0.67</v>
      </c>
      <c r="U239" s="318"/>
      <c r="V239" s="318"/>
      <c r="W239" s="227"/>
      <c r="X239" s="29"/>
      <c r="Y239" s="30"/>
      <c r="Z239" s="30"/>
      <c r="AA239" s="29"/>
      <c r="AB239" s="30"/>
      <c r="AC239" s="30"/>
      <c r="AH239" s="190">
        <v>1</v>
      </c>
    </row>
    <row r="240" spans="1:38" s="20" customFormat="1" x14ac:dyDescent="0.2">
      <c r="B240" s="111" t="s">
        <v>358</v>
      </c>
      <c r="I240" s="19"/>
      <c r="J240" s="139"/>
      <c r="K240" s="139"/>
      <c r="L240" s="139"/>
      <c r="M240" s="139"/>
      <c r="N240" s="139"/>
      <c r="O240" s="190">
        <v>1</v>
      </c>
      <c r="P240" s="190"/>
      <c r="Q240" s="190"/>
      <c r="R240" s="190"/>
      <c r="S240" s="318"/>
      <c r="T240" s="318">
        <f>+S266</f>
        <v>0.5</v>
      </c>
      <c r="U240" s="318"/>
      <c r="V240" s="318"/>
      <c r="W240" s="227"/>
      <c r="X240" s="29"/>
      <c r="Y240" s="30"/>
      <c r="Z240" s="30"/>
      <c r="AA240" s="29"/>
      <c r="AB240" s="30"/>
      <c r="AC240" s="30"/>
      <c r="AH240" s="190">
        <v>1</v>
      </c>
    </row>
    <row r="241" spans="1:34" s="20" customFormat="1" x14ac:dyDescent="0.2">
      <c r="B241" s="111" t="s">
        <v>359</v>
      </c>
      <c r="I241" s="19"/>
      <c r="J241" s="139"/>
      <c r="K241" s="139"/>
      <c r="L241" s="139"/>
      <c r="M241" s="139"/>
      <c r="N241" s="139"/>
      <c r="O241" s="190">
        <v>1</v>
      </c>
      <c r="P241" s="190"/>
      <c r="Q241" s="190"/>
      <c r="R241" s="190"/>
      <c r="S241" s="318"/>
      <c r="T241" s="318">
        <f>+S270</f>
        <v>0.75</v>
      </c>
      <c r="U241" s="318"/>
      <c r="V241" s="318"/>
      <c r="W241" s="227"/>
      <c r="X241" s="29"/>
      <c r="Y241" s="30"/>
      <c r="Z241" s="30"/>
      <c r="AA241" s="29"/>
      <c r="AB241" s="30"/>
      <c r="AC241" s="30"/>
      <c r="AH241" s="190">
        <v>0</v>
      </c>
    </row>
    <row r="242" spans="1:34" s="20" customFormat="1" x14ac:dyDescent="0.2">
      <c r="B242" s="111" t="s">
        <v>360</v>
      </c>
      <c r="I242" s="19"/>
      <c r="J242" s="139"/>
      <c r="K242" s="139"/>
      <c r="L242" s="139"/>
      <c r="M242" s="139"/>
      <c r="N242" s="139"/>
      <c r="O242" s="190">
        <v>1</v>
      </c>
      <c r="P242" s="190"/>
      <c r="Q242" s="190"/>
      <c r="R242" s="190"/>
      <c r="S242" s="318" t="s">
        <v>27</v>
      </c>
      <c r="T242" s="318">
        <f>+S274</f>
        <v>0.5</v>
      </c>
      <c r="U242" s="318"/>
      <c r="V242" s="318"/>
      <c r="W242" s="227"/>
      <c r="X242" s="29"/>
      <c r="Y242" s="30"/>
      <c r="Z242" s="30"/>
      <c r="AA242" s="29"/>
      <c r="AB242" s="30"/>
      <c r="AC242" s="30"/>
      <c r="AH242" s="190">
        <v>0</v>
      </c>
    </row>
    <row r="243" spans="1:34" s="20" customFormat="1" x14ac:dyDescent="0.2">
      <c r="B243" s="111" t="s">
        <v>361</v>
      </c>
      <c r="I243" s="19"/>
      <c r="J243" s="139"/>
      <c r="K243" s="139"/>
      <c r="L243" s="139"/>
      <c r="M243" s="139"/>
      <c r="N243" s="139"/>
      <c r="O243" s="190">
        <v>1</v>
      </c>
      <c r="P243" s="190"/>
      <c r="Q243" s="190"/>
      <c r="R243" s="190"/>
      <c r="S243" s="318"/>
      <c r="T243" s="318">
        <f>+S280</f>
        <v>0.75</v>
      </c>
      <c r="U243" s="318"/>
      <c r="V243" s="318"/>
      <c r="W243" s="227"/>
      <c r="X243" s="29"/>
      <c r="Y243" s="30"/>
      <c r="Z243" s="30"/>
      <c r="AA243" s="29"/>
      <c r="AB243" s="30"/>
      <c r="AC243" s="30"/>
      <c r="AH243" s="190">
        <v>0</v>
      </c>
    </row>
    <row r="244" spans="1:34" s="20" customFormat="1" x14ac:dyDescent="0.2">
      <c r="B244" s="111" t="s">
        <v>362</v>
      </c>
      <c r="I244" s="19"/>
      <c r="J244" s="139"/>
      <c r="K244" s="139"/>
      <c r="L244" s="139"/>
      <c r="M244" s="139"/>
      <c r="N244" s="139"/>
      <c r="O244" s="190">
        <v>1</v>
      </c>
      <c r="P244" s="190"/>
      <c r="Q244" s="190"/>
      <c r="R244" s="190"/>
      <c r="S244" s="318"/>
      <c r="T244" s="318">
        <f>+S284</f>
        <v>0</v>
      </c>
      <c r="U244" s="318"/>
      <c r="V244" s="318"/>
      <c r="W244" s="227"/>
      <c r="X244" s="29"/>
      <c r="Y244" s="30"/>
      <c r="Z244" s="30"/>
      <c r="AA244" s="29"/>
      <c r="AB244" s="30"/>
      <c r="AC244" s="30"/>
      <c r="AH244" s="190">
        <v>1</v>
      </c>
    </row>
    <row r="245" spans="1:34" s="20" customFormat="1" x14ac:dyDescent="0.2">
      <c r="B245" s="111" t="s">
        <v>363</v>
      </c>
      <c r="I245" s="19"/>
      <c r="J245" s="139"/>
      <c r="K245" s="139"/>
      <c r="L245" s="139">
        <v>1</v>
      </c>
      <c r="M245" s="139">
        <v>1</v>
      </c>
      <c r="N245" s="139">
        <v>6</v>
      </c>
      <c r="O245" s="190" t="s">
        <v>48</v>
      </c>
      <c r="P245" s="190"/>
      <c r="Q245" s="190"/>
      <c r="R245" s="190"/>
      <c r="S245" s="318">
        <f>SUM(O246:O251)/N245</f>
        <v>0.66666666666666663</v>
      </c>
      <c r="T245" s="318">
        <f>+S287</f>
        <v>0</v>
      </c>
      <c r="U245" s="318"/>
      <c r="V245" s="318"/>
      <c r="W245" s="227"/>
      <c r="X245" s="29"/>
      <c r="Y245" s="30"/>
      <c r="Z245" s="30"/>
      <c r="AA245" s="29"/>
      <c r="AB245" s="30"/>
      <c r="AC245" s="30"/>
      <c r="AH245" s="190">
        <v>1</v>
      </c>
    </row>
    <row r="246" spans="1:34" s="20" customFormat="1" x14ac:dyDescent="0.2">
      <c r="B246" s="111" t="s">
        <v>364</v>
      </c>
      <c r="I246" s="19"/>
      <c r="J246" s="139"/>
      <c r="K246" s="139"/>
      <c r="L246" s="139"/>
      <c r="M246" s="139"/>
      <c r="N246" s="139"/>
      <c r="O246" s="190">
        <v>1</v>
      </c>
      <c r="P246" s="190"/>
      <c r="Q246" s="190"/>
      <c r="R246" s="190"/>
      <c r="S246" s="318"/>
      <c r="T246" s="318">
        <f>+S290</f>
        <v>0</v>
      </c>
      <c r="U246" s="318"/>
      <c r="V246" s="318"/>
      <c r="W246" s="227"/>
      <c r="X246" s="29"/>
      <c r="Y246" s="30"/>
      <c r="Z246" s="30"/>
      <c r="AA246" s="29"/>
      <c r="AB246" s="30"/>
      <c r="AC246" s="30"/>
      <c r="AG246" s="20" t="s">
        <v>365</v>
      </c>
      <c r="AH246" s="190">
        <v>1</v>
      </c>
    </row>
    <row r="247" spans="1:34" s="20" customFormat="1" x14ac:dyDescent="0.2">
      <c r="B247" s="111" t="s">
        <v>366</v>
      </c>
      <c r="I247" s="19"/>
      <c r="J247" s="139"/>
      <c r="K247" s="139"/>
      <c r="L247" s="139"/>
      <c r="M247" s="139"/>
      <c r="N247" s="139"/>
      <c r="O247" s="190">
        <v>1</v>
      </c>
      <c r="P247" s="190"/>
      <c r="Q247" s="190"/>
      <c r="R247" s="190"/>
      <c r="S247" s="318"/>
      <c r="T247" s="318">
        <f>+S291</f>
        <v>0.5</v>
      </c>
      <c r="U247" s="318"/>
      <c r="V247" s="318"/>
      <c r="W247" s="227"/>
      <c r="X247" s="29"/>
      <c r="Y247" s="30"/>
      <c r="Z247" s="30"/>
      <c r="AA247" s="29"/>
      <c r="AB247" s="30"/>
      <c r="AC247" s="30"/>
      <c r="AH247" s="190">
        <v>1</v>
      </c>
    </row>
    <row r="248" spans="1:34" s="20" customFormat="1" x14ac:dyDescent="0.2">
      <c r="B248" s="111" t="s">
        <v>367</v>
      </c>
      <c r="I248" s="19"/>
      <c r="J248" s="139"/>
      <c r="K248" s="139"/>
      <c r="L248" s="139"/>
      <c r="M248" s="139"/>
      <c r="N248" s="139"/>
      <c r="O248" s="190">
        <v>1</v>
      </c>
      <c r="P248" s="190"/>
      <c r="Q248" s="190"/>
      <c r="R248" s="190"/>
      <c r="S248" s="318" t="s">
        <v>27</v>
      </c>
      <c r="T248" s="318">
        <f>+S295</f>
        <v>0.5</v>
      </c>
      <c r="U248" s="318"/>
      <c r="V248" s="318"/>
      <c r="W248" s="227"/>
      <c r="X248" s="29"/>
      <c r="Y248" s="30"/>
      <c r="Z248" s="30"/>
      <c r="AA248" s="29"/>
      <c r="AB248" s="30"/>
      <c r="AC248" s="30"/>
      <c r="AH248" s="190">
        <v>1</v>
      </c>
    </row>
    <row r="249" spans="1:34" s="20" customFormat="1" x14ac:dyDescent="0.2">
      <c r="B249" s="111" t="s">
        <v>368</v>
      </c>
      <c r="I249" s="19"/>
      <c r="J249" s="139"/>
      <c r="K249" s="139"/>
      <c r="L249" s="139"/>
      <c r="M249" s="139"/>
      <c r="N249" s="139"/>
      <c r="O249" s="190">
        <v>1</v>
      </c>
      <c r="P249" s="190"/>
      <c r="Q249" s="190"/>
      <c r="R249" s="190"/>
      <c r="S249" s="318"/>
      <c r="T249" s="318">
        <f>+S299</f>
        <v>1</v>
      </c>
      <c r="U249" s="318"/>
      <c r="V249" s="318"/>
      <c r="W249" s="227"/>
      <c r="X249" s="29"/>
      <c r="Y249" s="30"/>
      <c r="Z249" s="30"/>
      <c r="AA249" s="29"/>
      <c r="AB249" s="30"/>
      <c r="AC249" s="30"/>
      <c r="AH249" s="195">
        <v>0</v>
      </c>
    </row>
    <row r="250" spans="1:34" s="20" customFormat="1" x14ac:dyDescent="0.2">
      <c r="B250" s="111" t="s">
        <v>369</v>
      </c>
      <c r="I250" s="19"/>
      <c r="J250" s="139"/>
      <c r="K250" s="139"/>
      <c r="L250" s="139"/>
      <c r="M250" s="139"/>
      <c r="N250" s="139"/>
      <c r="O250" s="190">
        <v>0</v>
      </c>
      <c r="P250" s="190"/>
      <c r="Q250" s="190"/>
      <c r="R250" s="190"/>
      <c r="S250" s="318" t="s">
        <v>27</v>
      </c>
      <c r="T250" s="318">
        <f>+S303</f>
        <v>0</v>
      </c>
      <c r="U250" s="318"/>
      <c r="V250" s="318"/>
      <c r="W250" s="227"/>
      <c r="X250" s="29"/>
      <c r="Y250" s="30"/>
      <c r="Z250" s="30"/>
      <c r="AA250" s="29"/>
      <c r="AB250" s="30"/>
      <c r="AC250" s="30"/>
      <c r="AH250" s="190">
        <v>0</v>
      </c>
    </row>
    <row r="251" spans="1:34" s="20" customFormat="1" x14ac:dyDescent="0.2">
      <c r="B251" s="111" t="s">
        <v>370</v>
      </c>
      <c r="I251" s="19"/>
      <c r="J251" s="139"/>
      <c r="K251" s="139"/>
      <c r="L251" s="139"/>
      <c r="M251" s="139"/>
      <c r="N251" s="139"/>
      <c r="O251" s="190">
        <v>0</v>
      </c>
      <c r="P251" s="190"/>
      <c r="Q251" s="190"/>
      <c r="R251" s="190"/>
      <c r="S251" s="318"/>
      <c r="T251" s="318">
        <f>+S306</f>
        <v>0.33</v>
      </c>
      <c r="U251" s="318"/>
      <c r="V251" s="318"/>
      <c r="W251" s="227"/>
      <c r="X251" s="29"/>
      <c r="Y251" s="30"/>
      <c r="Z251" s="30"/>
      <c r="AA251" s="29"/>
      <c r="AB251" s="30"/>
      <c r="AC251" s="30"/>
      <c r="AH251" s="190">
        <v>0</v>
      </c>
    </row>
    <row r="252" spans="1:34" s="20" customFormat="1" x14ac:dyDescent="0.2">
      <c r="A252" s="20" t="s">
        <v>27</v>
      </c>
      <c r="B252" s="111" t="s">
        <v>371</v>
      </c>
      <c r="I252" s="19"/>
      <c r="J252" s="139"/>
      <c r="K252" s="139"/>
      <c r="L252" s="139">
        <v>1</v>
      </c>
      <c r="M252" s="139">
        <v>1</v>
      </c>
      <c r="N252" s="144">
        <v>6</v>
      </c>
      <c r="O252" s="190">
        <v>1</v>
      </c>
      <c r="P252" s="190"/>
      <c r="Q252" s="190"/>
      <c r="R252" s="190"/>
      <c r="S252" s="318">
        <f>SUM(O252:O257)/N252</f>
        <v>0.5</v>
      </c>
      <c r="T252" s="318">
        <f>+S309</f>
        <v>0</v>
      </c>
      <c r="U252" s="318"/>
      <c r="V252" s="318"/>
      <c r="W252" s="227"/>
      <c r="X252" s="29"/>
      <c r="Y252" s="30"/>
      <c r="Z252" s="30"/>
      <c r="AA252" s="29"/>
      <c r="AB252" s="30"/>
      <c r="AC252" s="30"/>
      <c r="AH252" s="190">
        <v>0</v>
      </c>
    </row>
    <row r="253" spans="1:34" s="20" customFormat="1" x14ac:dyDescent="0.2">
      <c r="B253" s="111" t="s">
        <v>372</v>
      </c>
      <c r="I253" s="19"/>
      <c r="J253" s="139"/>
      <c r="K253" s="139"/>
      <c r="L253" s="139"/>
      <c r="M253" s="139"/>
      <c r="N253" s="139"/>
      <c r="O253" s="190">
        <v>1</v>
      </c>
      <c r="P253" s="190"/>
      <c r="Q253" s="190"/>
      <c r="R253" s="190"/>
      <c r="S253" s="318"/>
      <c r="T253" s="382">
        <f>AVERAGE(T234:T252)</f>
        <v>0.4456140350877193</v>
      </c>
      <c r="U253" s="382"/>
      <c r="V253" s="380">
        <f>STDEV(T234:T252)/(SQRT(COUNT(T234:T252)))</f>
        <v>8.1009329968917312E-2</v>
      </c>
      <c r="W253" s="227"/>
      <c r="X253" s="29"/>
      <c r="Y253" s="30"/>
      <c r="Z253" s="30"/>
      <c r="AA253" s="29"/>
      <c r="AB253" s="30"/>
      <c r="AC253" s="30"/>
      <c r="AH253" s="190">
        <v>0</v>
      </c>
    </row>
    <row r="254" spans="1:34" s="20" customFormat="1" x14ac:dyDescent="0.2">
      <c r="B254" s="111" t="s">
        <v>373</v>
      </c>
      <c r="I254" s="19"/>
      <c r="J254" s="139"/>
      <c r="K254" s="139"/>
      <c r="L254" s="139"/>
      <c r="M254" s="139"/>
      <c r="N254" s="139"/>
      <c r="O254" s="190">
        <v>1</v>
      </c>
      <c r="P254" s="190"/>
      <c r="Q254" s="190"/>
      <c r="R254" s="190"/>
      <c r="S254" s="318" t="s">
        <v>27</v>
      </c>
      <c r="T254" s="384" t="s">
        <v>27</v>
      </c>
      <c r="U254" s="384"/>
      <c r="V254" s="318"/>
      <c r="W254" s="227"/>
      <c r="X254" s="29"/>
      <c r="Y254" s="30"/>
      <c r="Z254" s="30"/>
      <c r="AA254" s="29"/>
      <c r="AB254" s="30"/>
      <c r="AC254" s="30"/>
      <c r="AH254" s="190">
        <v>0</v>
      </c>
    </row>
    <row r="255" spans="1:34" s="20" customFormat="1" x14ac:dyDescent="0.2">
      <c r="B255" s="111" t="s">
        <v>374</v>
      </c>
      <c r="I255" s="19"/>
      <c r="J255" s="139"/>
      <c r="K255" s="139"/>
      <c r="L255" s="139"/>
      <c r="M255" s="139"/>
      <c r="N255" s="139"/>
      <c r="O255" s="190">
        <v>0</v>
      </c>
      <c r="P255" s="190"/>
      <c r="Q255" s="190"/>
      <c r="R255" s="190"/>
      <c r="S255" s="318"/>
      <c r="T255" s="384"/>
      <c r="U255" s="384"/>
      <c r="V255" s="318"/>
      <c r="W255" s="227"/>
      <c r="X255" s="29"/>
      <c r="Y255" s="30"/>
      <c r="Z255" s="30"/>
      <c r="AA255" s="29"/>
      <c r="AB255" s="30"/>
      <c r="AC255" s="30"/>
      <c r="AH255" s="190">
        <v>0</v>
      </c>
    </row>
    <row r="256" spans="1:34" s="20" customFormat="1" x14ac:dyDescent="0.2">
      <c r="B256" s="111" t="s">
        <v>375</v>
      </c>
      <c r="I256" s="19"/>
      <c r="J256" s="139"/>
      <c r="K256" s="139"/>
      <c r="L256" s="139"/>
      <c r="M256" s="139"/>
      <c r="N256" s="139"/>
      <c r="O256" s="190">
        <v>0</v>
      </c>
      <c r="P256" s="190"/>
      <c r="Q256" s="190"/>
      <c r="R256" s="190"/>
      <c r="S256" s="318"/>
      <c r="T256" s="384"/>
      <c r="U256" s="384"/>
      <c r="V256" s="318"/>
      <c r="W256" s="227"/>
      <c r="X256" s="29"/>
      <c r="Y256" s="30"/>
      <c r="Z256" s="30"/>
      <c r="AA256" s="29"/>
      <c r="AB256" s="30"/>
      <c r="AC256" s="30"/>
      <c r="AH256" s="190">
        <v>0</v>
      </c>
    </row>
    <row r="257" spans="1:41" s="20" customFormat="1" x14ac:dyDescent="0.2">
      <c r="A257" s="20" t="s">
        <v>27</v>
      </c>
      <c r="B257" s="111" t="s">
        <v>376</v>
      </c>
      <c r="I257" s="19"/>
      <c r="J257" s="139"/>
      <c r="K257" s="139"/>
      <c r="L257" s="139"/>
      <c r="M257" s="139"/>
      <c r="N257" s="139"/>
      <c r="O257" s="190">
        <v>0</v>
      </c>
      <c r="P257" s="190"/>
      <c r="Q257" s="190"/>
      <c r="R257" s="190"/>
      <c r="S257" s="318"/>
      <c r="T257" s="384"/>
      <c r="U257" s="384"/>
      <c r="V257" s="318"/>
      <c r="W257" s="227"/>
      <c r="X257" s="29"/>
      <c r="Y257" s="30"/>
      <c r="Z257" s="30"/>
      <c r="AA257" s="29"/>
      <c r="AB257" s="30"/>
      <c r="AC257" s="30"/>
      <c r="AH257" s="190">
        <v>1</v>
      </c>
    </row>
    <row r="258" spans="1:41" s="20" customFormat="1" x14ac:dyDescent="0.2">
      <c r="B258" s="111" t="s">
        <v>377</v>
      </c>
      <c r="I258" s="19"/>
      <c r="J258" s="139"/>
      <c r="K258" s="139"/>
      <c r="L258" s="139">
        <v>1</v>
      </c>
      <c r="M258" s="139">
        <v>1</v>
      </c>
      <c r="N258" s="139">
        <v>5</v>
      </c>
      <c r="O258" s="190">
        <v>1</v>
      </c>
      <c r="P258" s="190"/>
      <c r="Q258" s="190"/>
      <c r="R258" s="190"/>
      <c r="S258" s="318">
        <f>SUM(O258:O262)/N258</f>
        <v>0.8</v>
      </c>
      <c r="T258" s="318"/>
      <c r="U258" s="318"/>
      <c r="V258" s="318"/>
      <c r="W258" s="227"/>
      <c r="X258" s="29"/>
      <c r="Y258" s="30"/>
      <c r="Z258" s="30"/>
      <c r="AA258" s="29"/>
      <c r="AB258" s="30"/>
      <c r="AC258" s="30"/>
      <c r="AH258" s="190">
        <v>1</v>
      </c>
    </row>
    <row r="259" spans="1:41" s="20" customFormat="1" x14ac:dyDescent="0.2">
      <c r="B259" s="111" t="s">
        <v>378</v>
      </c>
      <c r="I259" s="19"/>
      <c r="J259" s="139"/>
      <c r="K259" s="139"/>
      <c r="L259" s="139"/>
      <c r="M259" s="139"/>
      <c r="N259" s="139"/>
      <c r="O259" s="190">
        <v>0</v>
      </c>
      <c r="P259" s="190"/>
      <c r="Q259" s="190"/>
      <c r="R259" s="190"/>
      <c r="S259" s="318"/>
      <c r="T259" s="318"/>
      <c r="U259" s="318"/>
      <c r="V259" s="318"/>
      <c r="W259" s="227"/>
      <c r="X259" s="19"/>
      <c r="Y259" s="19"/>
      <c r="Z259" s="19"/>
      <c r="AA259" s="19"/>
      <c r="AB259" s="19"/>
      <c r="AC259" s="19"/>
      <c r="AH259" s="190">
        <v>0</v>
      </c>
    </row>
    <row r="260" spans="1:41" s="20" customFormat="1" x14ac:dyDescent="0.2">
      <c r="B260" s="111" t="s">
        <v>379</v>
      </c>
      <c r="I260" s="19"/>
      <c r="J260" s="139"/>
      <c r="K260" s="139"/>
      <c r="L260" s="139"/>
      <c r="M260" s="139"/>
      <c r="N260" s="139"/>
      <c r="O260" s="190">
        <v>1</v>
      </c>
      <c r="P260" s="190"/>
      <c r="Q260" s="190"/>
      <c r="R260" s="190"/>
      <c r="S260" s="318"/>
      <c r="T260" s="318"/>
      <c r="U260" s="318"/>
      <c r="V260" s="318"/>
      <c r="W260" s="227"/>
      <c r="X260" s="19"/>
      <c r="Y260" s="19"/>
      <c r="Z260" s="19"/>
      <c r="AA260" s="19"/>
      <c r="AB260" s="19"/>
      <c r="AC260" s="19"/>
      <c r="AH260" s="190">
        <v>0</v>
      </c>
    </row>
    <row r="261" spans="1:41" s="20" customFormat="1" x14ac:dyDescent="0.2">
      <c r="B261" s="111" t="s">
        <v>380</v>
      </c>
      <c r="I261" s="19"/>
      <c r="J261" s="139"/>
      <c r="K261" s="139"/>
      <c r="L261" s="139"/>
      <c r="M261" s="139"/>
      <c r="N261" s="139"/>
      <c r="O261" s="190">
        <v>1</v>
      </c>
      <c r="P261" s="190"/>
      <c r="Q261" s="190"/>
      <c r="R261" s="190"/>
      <c r="S261" s="318"/>
      <c r="T261" s="318"/>
      <c r="U261" s="318"/>
      <c r="V261" s="318"/>
      <c r="W261" s="227"/>
      <c r="X261" s="19"/>
      <c r="Y261" s="19"/>
      <c r="Z261" s="19"/>
      <c r="AA261" s="19"/>
      <c r="AB261" s="19"/>
      <c r="AC261" s="19"/>
      <c r="AH261" s="190">
        <v>1</v>
      </c>
    </row>
    <row r="262" spans="1:41" s="20" customFormat="1" x14ac:dyDescent="0.2">
      <c r="B262" s="111" t="s">
        <v>381</v>
      </c>
      <c r="I262" s="19"/>
      <c r="J262" s="139"/>
      <c r="K262" s="139"/>
      <c r="L262" s="139"/>
      <c r="M262" s="139"/>
      <c r="N262" s="139"/>
      <c r="O262" s="190">
        <v>1</v>
      </c>
      <c r="P262" s="190"/>
      <c r="Q262" s="190"/>
      <c r="R262" s="190"/>
      <c r="S262" s="318" t="s">
        <v>27</v>
      </c>
      <c r="T262" s="318"/>
      <c r="U262" s="318"/>
      <c r="V262" s="318"/>
      <c r="W262" s="227"/>
      <c r="X262" s="19"/>
      <c r="Y262" s="19"/>
      <c r="Z262" s="19"/>
      <c r="AA262" s="19"/>
      <c r="AB262" s="19"/>
      <c r="AC262" s="19"/>
      <c r="AH262" s="190">
        <v>0</v>
      </c>
    </row>
    <row r="263" spans="1:41" s="20" customFormat="1" x14ac:dyDescent="0.2">
      <c r="B263" s="111" t="s">
        <v>382</v>
      </c>
      <c r="I263" s="19"/>
      <c r="J263" s="139"/>
      <c r="K263" s="139"/>
      <c r="L263" s="139">
        <v>1</v>
      </c>
      <c r="M263" s="139">
        <v>1</v>
      </c>
      <c r="N263" s="139">
        <v>3</v>
      </c>
      <c r="O263" s="190">
        <v>1</v>
      </c>
      <c r="P263" s="190"/>
      <c r="Q263" s="190"/>
      <c r="R263" s="190"/>
      <c r="S263" s="318">
        <v>0.67</v>
      </c>
      <c r="T263" s="318"/>
      <c r="U263" s="318"/>
      <c r="V263" s="318"/>
      <c r="W263" s="227"/>
      <c r="X263" s="19"/>
      <c r="Y263" s="19"/>
      <c r="Z263" s="19"/>
      <c r="AA263" s="19"/>
      <c r="AB263" s="19"/>
      <c r="AC263" s="19"/>
      <c r="AG263" s="20" t="s">
        <v>365</v>
      </c>
      <c r="AH263" s="190">
        <v>0</v>
      </c>
    </row>
    <row r="264" spans="1:41" s="20" customFormat="1" x14ac:dyDescent="0.2">
      <c r="B264" s="111" t="s">
        <v>383</v>
      </c>
      <c r="I264" s="19"/>
      <c r="J264" s="139"/>
      <c r="K264" s="139"/>
      <c r="L264" s="139"/>
      <c r="M264" s="139"/>
      <c r="N264" s="139"/>
      <c r="O264" s="190">
        <v>0</v>
      </c>
      <c r="P264" s="190"/>
      <c r="Q264" s="190"/>
      <c r="R264" s="190"/>
      <c r="S264" s="318"/>
      <c r="T264" s="318"/>
      <c r="U264" s="318"/>
      <c r="V264" s="318"/>
      <c r="W264" s="227"/>
      <c r="X264" s="19"/>
      <c r="Y264" s="19"/>
      <c r="Z264" s="19"/>
      <c r="AA264" s="19"/>
      <c r="AB264" s="19"/>
      <c r="AC264" s="19"/>
      <c r="AH264" s="190">
        <v>1</v>
      </c>
    </row>
    <row r="265" spans="1:41" s="20" customFormat="1" x14ac:dyDescent="0.2">
      <c r="B265" s="111" t="s">
        <v>384</v>
      </c>
      <c r="I265" s="19"/>
      <c r="J265" s="139"/>
      <c r="K265" s="139"/>
      <c r="L265" s="139"/>
      <c r="M265" s="139"/>
      <c r="N265" s="139"/>
      <c r="O265" s="190">
        <v>1</v>
      </c>
      <c r="P265" s="190"/>
      <c r="Q265" s="190"/>
      <c r="R265" s="190"/>
      <c r="S265" s="318" t="s">
        <v>27</v>
      </c>
      <c r="T265" s="318"/>
      <c r="U265" s="318"/>
      <c r="V265" s="318"/>
      <c r="W265" s="227"/>
      <c r="X265" s="19"/>
      <c r="Y265" s="19"/>
      <c r="Z265" s="19"/>
      <c r="AA265" s="19"/>
      <c r="AB265" s="19"/>
      <c r="AC265" s="19"/>
      <c r="AH265" s="190">
        <v>1</v>
      </c>
    </row>
    <row r="266" spans="1:41" s="20" customFormat="1" x14ac:dyDescent="0.2">
      <c r="B266" s="111" t="s">
        <v>385</v>
      </c>
      <c r="I266" s="19"/>
      <c r="J266" s="139"/>
      <c r="K266" s="139"/>
      <c r="L266" s="139">
        <v>1</v>
      </c>
      <c r="M266" s="139">
        <v>1</v>
      </c>
      <c r="N266" s="139">
        <v>4</v>
      </c>
      <c r="O266" s="190">
        <v>1</v>
      </c>
      <c r="P266" s="190"/>
      <c r="Q266" s="190"/>
      <c r="R266" s="190"/>
      <c r="S266" s="318">
        <v>0.5</v>
      </c>
      <c r="T266" s="318"/>
      <c r="U266" s="318"/>
      <c r="V266" s="318"/>
      <c r="W266" s="227"/>
      <c r="X266" s="19"/>
      <c r="Y266" s="19"/>
      <c r="Z266" s="19"/>
      <c r="AA266" s="19"/>
      <c r="AB266" s="19"/>
      <c r="AC266" s="19"/>
      <c r="AH266" s="190">
        <v>1</v>
      </c>
    </row>
    <row r="267" spans="1:41" s="20" customFormat="1" x14ac:dyDescent="0.2">
      <c r="B267" s="111" t="s">
        <v>386</v>
      </c>
      <c r="I267" s="19"/>
      <c r="J267" s="139"/>
      <c r="K267" s="139"/>
      <c r="L267" s="139"/>
      <c r="M267" s="139"/>
      <c r="N267" s="139"/>
      <c r="O267" s="190">
        <v>0</v>
      </c>
      <c r="P267" s="190"/>
      <c r="Q267" s="190"/>
      <c r="R267" s="190"/>
      <c r="S267" s="318"/>
      <c r="T267" s="318"/>
      <c r="U267" s="318"/>
      <c r="V267" s="318"/>
      <c r="W267" s="227"/>
      <c r="X267" s="19"/>
      <c r="Y267" s="19"/>
      <c r="Z267" s="19"/>
      <c r="AA267" s="19"/>
      <c r="AB267" s="19"/>
      <c r="AC267" s="19"/>
      <c r="AH267" s="190">
        <v>1</v>
      </c>
    </row>
    <row r="268" spans="1:41" s="20" customFormat="1" x14ac:dyDescent="0.2">
      <c r="B268" s="111" t="s">
        <v>387</v>
      </c>
      <c r="I268" s="19"/>
      <c r="J268" s="139"/>
      <c r="K268" s="139"/>
      <c r="L268" s="139"/>
      <c r="M268" s="139"/>
      <c r="N268" s="139"/>
      <c r="O268" s="190">
        <v>1</v>
      </c>
      <c r="P268" s="190"/>
      <c r="Q268" s="190"/>
      <c r="R268" s="190"/>
      <c r="S268" s="318"/>
      <c r="T268" s="318"/>
      <c r="U268" s="318"/>
      <c r="V268" s="318"/>
      <c r="W268" s="227"/>
      <c r="X268" s="19"/>
      <c r="Y268" s="19"/>
      <c r="Z268" s="19"/>
      <c r="AA268" s="19"/>
      <c r="AB268" s="19"/>
      <c r="AC268" s="19"/>
      <c r="AH268" s="190">
        <v>1</v>
      </c>
    </row>
    <row r="269" spans="1:41" s="20" customFormat="1" x14ac:dyDescent="0.2">
      <c r="B269" s="111" t="s">
        <v>388</v>
      </c>
      <c r="I269" s="19"/>
      <c r="J269" s="139"/>
      <c r="K269" s="139"/>
      <c r="L269" s="139"/>
      <c r="M269" s="139"/>
      <c r="N269" s="139"/>
      <c r="O269" s="190">
        <v>0</v>
      </c>
      <c r="P269" s="190"/>
      <c r="Q269" s="190"/>
      <c r="R269" s="190"/>
      <c r="S269" s="318" t="s">
        <v>27</v>
      </c>
      <c r="T269" s="318"/>
      <c r="U269" s="318"/>
      <c r="V269" s="318"/>
      <c r="W269" s="227"/>
      <c r="X269" s="19"/>
      <c r="Y269" s="19"/>
      <c r="Z269" s="19"/>
      <c r="AA269" s="19"/>
      <c r="AB269" s="19"/>
      <c r="AC269" s="19"/>
      <c r="AH269" s="190">
        <v>0</v>
      </c>
    </row>
    <row r="270" spans="1:41" x14ac:dyDescent="0.2">
      <c r="B270" s="91" t="s">
        <v>389</v>
      </c>
      <c r="E270"/>
      <c r="F270"/>
      <c r="G270" s="20"/>
      <c r="H270"/>
      <c r="I270" s="19"/>
      <c r="J270" s="139"/>
      <c r="K270" s="139"/>
      <c r="L270" s="139">
        <v>1</v>
      </c>
      <c r="M270" s="139">
        <v>1</v>
      </c>
      <c r="N270" s="139">
        <v>4</v>
      </c>
      <c r="O270" s="190">
        <v>1</v>
      </c>
      <c r="S270" s="318">
        <v>0.75</v>
      </c>
      <c r="T270" s="382">
        <f>AVERAGE(T234:T240)</f>
        <v>0.59095238095238101</v>
      </c>
      <c r="U270" s="382"/>
      <c r="V270" s="380">
        <f>STDEV(T234:T252)/(SQRT(COUNT(T234:T252)))</f>
        <v>8.1009329968917312E-2</v>
      </c>
      <c r="W270" s="227"/>
      <c r="X270" s="19"/>
      <c r="Y270" s="19"/>
      <c r="Z270" s="19"/>
      <c r="AA270" s="19"/>
      <c r="AB270" s="19"/>
      <c r="AC270" s="19"/>
      <c r="AH270" s="190">
        <v>0</v>
      </c>
      <c r="AM270" s="18"/>
      <c r="AN270" s="18"/>
      <c r="AO270" s="18"/>
    </row>
    <row r="271" spans="1:41" s="20" customFormat="1" x14ac:dyDescent="0.2">
      <c r="B271" s="111" t="s">
        <v>390</v>
      </c>
      <c r="I271" s="19"/>
      <c r="J271" s="139"/>
      <c r="K271" s="139"/>
      <c r="L271" s="139" t="s">
        <v>27</v>
      </c>
      <c r="M271" s="139"/>
      <c r="N271" s="139" t="s">
        <v>27</v>
      </c>
      <c r="O271" s="190">
        <v>1</v>
      </c>
      <c r="P271" s="190"/>
      <c r="Q271" s="190"/>
      <c r="R271" s="190"/>
      <c r="S271" s="318"/>
      <c r="T271" s="318" t="s">
        <v>27</v>
      </c>
      <c r="U271" s="318"/>
      <c r="V271" s="318"/>
      <c r="W271" s="227"/>
      <c r="X271" s="19"/>
      <c r="Y271" s="19"/>
      <c r="Z271" s="19"/>
      <c r="AA271" s="19"/>
      <c r="AB271" s="19"/>
      <c r="AC271" s="19"/>
      <c r="AH271" s="190">
        <v>0</v>
      </c>
    </row>
    <row r="272" spans="1:41" s="20" customFormat="1" x14ac:dyDescent="0.2">
      <c r="B272" s="111" t="s">
        <v>391</v>
      </c>
      <c r="I272" s="19"/>
      <c r="J272" s="139"/>
      <c r="K272" s="139"/>
      <c r="L272" s="139"/>
      <c r="M272" s="139"/>
      <c r="N272" s="139"/>
      <c r="O272" s="190">
        <v>0</v>
      </c>
      <c r="P272" s="190"/>
      <c r="Q272" s="190"/>
      <c r="R272" s="190"/>
      <c r="S272" s="318"/>
      <c r="T272" s="318"/>
      <c r="U272" s="318"/>
      <c r="V272" s="318"/>
      <c r="W272" s="227"/>
      <c r="X272" s="19"/>
      <c r="Y272" s="19"/>
      <c r="Z272" s="19"/>
      <c r="AA272" s="19"/>
      <c r="AB272" s="19"/>
      <c r="AC272" s="19"/>
      <c r="AH272" s="190">
        <v>0</v>
      </c>
    </row>
    <row r="273" spans="1:41" s="20" customFormat="1" x14ac:dyDescent="0.2">
      <c r="B273" s="111" t="s">
        <v>392</v>
      </c>
      <c r="I273" s="19"/>
      <c r="J273" s="139"/>
      <c r="K273" s="139"/>
      <c r="L273" s="139"/>
      <c r="M273" s="139"/>
      <c r="N273" s="139"/>
      <c r="O273" s="190">
        <v>1</v>
      </c>
      <c r="P273" s="190"/>
      <c r="Q273" s="190"/>
      <c r="R273" s="190"/>
      <c r="S273" s="318" t="s">
        <v>27</v>
      </c>
      <c r="T273" s="318"/>
      <c r="U273" s="318"/>
      <c r="V273" s="318"/>
      <c r="W273" s="227"/>
      <c r="X273" s="19"/>
      <c r="Y273" s="19"/>
      <c r="Z273" s="19"/>
      <c r="AA273" s="19"/>
      <c r="AB273" s="19"/>
      <c r="AC273" s="19"/>
      <c r="AH273" s="190">
        <v>0</v>
      </c>
    </row>
    <row r="274" spans="1:41" s="20" customFormat="1" x14ac:dyDescent="0.2">
      <c r="B274" s="111" t="s">
        <v>393</v>
      </c>
      <c r="I274" s="19"/>
      <c r="J274" s="139"/>
      <c r="K274" s="139"/>
      <c r="L274" s="139">
        <v>1</v>
      </c>
      <c r="M274" s="139">
        <v>1</v>
      </c>
      <c r="N274" s="139">
        <v>6</v>
      </c>
      <c r="O274" s="190">
        <v>1</v>
      </c>
      <c r="P274" s="190"/>
      <c r="Q274" s="190"/>
      <c r="R274" s="190"/>
      <c r="S274" s="318">
        <f>SUM(O274:O279)/N274</f>
        <v>0.5</v>
      </c>
      <c r="T274" s="318"/>
      <c r="U274" s="318"/>
      <c r="V274" s="318"/>
      <c r="W274" s="227"/>
      <c r="X274" s="19"/>
      <c r="Y274" s="19"/>
      <c r="Z274" s="19"/>
      <c r="AA274" s="19"/>
      <c r="AB274" s="19"/>
      <c r="AC274" s="19"/>
      <c r="AH274" s="190">
        <v>1</v>
      </c>
    </row>
    <row r="275" spans="1:41" s="20" customFormat="1" x14ac:dyDescent="0.2">
      <c r="B275" s="111" t="s">
        <v>394</v>
      </c>
      <c r="I275" s="19"/>
      <c r="J275" s="139"/>
      <c r="K275" s="139"/>
      <c r="L275" s="139"/>
      <c r="M275" s="139"/>
      <c r="N275" s="139"/>
      <c r="O275" s="190">
        <v>0</v>
      </c>
      <c r="P275" s="190"/>
      <c r="Q275" s="190"/>
      <c r="R275" s="190"/>
      <c r="S275" s="318"/>
      <c r="T275" s="318"/>
      <c r="U275" s="318"/>
      <c r="V275" s="318"/>
      <c r="W275" s="227"/>
      <c r="X275" s="19"/>
      <c r="Y275" s="19"/>
      <c r="Z275" s="19"/>
      <c r="AA275" s="19"/>
      <c r="AB275" s="19"/>
      <c r="AC275" s="19"/>
      <c r="AH275" s="190">
        <v>0</v>
      </c>
    </row>
    <row r="276" spans="1:41" s="20" customFormat="1" x14ac:dyDescent="0.2">
      <c r="B276" s="111" t="s">
        <v>395</v>
      </c>
      <c r="I276" s="19"/>
      <c r="J276" s="139"/>
      <c r="K276" s="139"/>
      <c r="L276" s="139"/>
      <c r="M276" s="139"/>
      <c r="N276" s="139"/>
      <c r="O276" s="190">
        <v>0</v>
      </c>
      <c r="P276" s="190"/>
      <c r="Q276" s="190"/>
      <c r="R276" s="190"/>
      <c r="S276" s="318" t="s">
        <v>27</v>
      </c>
      <c r="T276" s="318"/>
      <c r="U276" s="318"/>
      <c r="V276" s="318"/>
      <c r="W276" s="227"/>
      <c r="X276" s="19"/>
      <c r="Y276" s="19"/>
      <c r="Z276" s="19"/>
      <c r="AA276" s="19"/>
      <c r="AB276" s="19"/>
      <c r="AC276" s="19"/>
      <c r="AH276" s="190">
        <v>0</v>
      </c>
    </row>
    <row r="277" spans="1:41" s="20" customFormat="1" x14ac:dyDescent="0.2">
      <c r="B277" s="111" t="s">
        <v>396</v>
      </c>
      <c r="I277" s="19"/>
      <c r="J277" s="139"/>
      <c r="K277" s="139"/>
      <c r="L277" s="139"/>
      <c r="M277" s="139"/>
      <c r="N277" s="139"/>
      <c r="O277" s="190">
        <v>0</v>
      </c>
      <c r="P277" s="190"/>
      <c r="Q277" s="190"/>
      <c r="R277" s="190"/>
      <c r="S277" s="318"/>
      <c r="T277" s="318"/>
      <c r="U277" s="318"/>
      <c r="V277" s="318"/>
      <c r="W277" s="227"/>
      <c r="X277" s="19"/>
      <c r="Y277" s="19"/>
      <c r="Z277" s="19"/>
      <c r="AA277" s="19"/>
      <c r="AB277" s="19"/>
      <c r="AC277" s="19"/>
      <c r="AH277" s="190">
        <v>0</v>
      </c>
    </row>
    <row r="278" spans="1:41" s="20" customFormat="1" x14ac:dyDescent="0.2">
      <c r="B278" s="111" t="s">
        <v>397</v>
      </c>
      <c r="I278" s="19"/>
      <c r="J278" s="139"/>
      <c r="K278" s="139"/>
      <c r="L278" s="139"/>
      <c r="M278" s="139"/>
      <c r="N278" s="139"/>
      <c r="O278" s="190">
        <v>1</v>
      </c>
      <c r="P278" s="190"/>
      <c r="Q278" s="190"/>
      <c r="R278" s="190"/>
      <c r="S278" s="318"/>
      <c r="T278" s="318"/>
      <c r="U278" s="318"/>
      <c r="V278" s="318"/>
      <c r="W278" s="227"/>
      <c r="X278" s="19"/>
      <c r="Y278" s="19"/>
      <c r="Z278" s="19"/>
      <c r="AA278" s="19"/>
      <c r="AB278" s="19"/>
      <c r="AC278" s="19"/>
      <c r="AH278" s="190">
        <v>0</v>
      </c>
    </row>
    <row r="279" spans="1:41" s="20" customFormat="1" x14ac:dyDescent="0.2">
      <c r="B279" s="111" t="s">
        <v>398</v>
      </c>
      <c r="I279" s="19"/>
      <c r="J279" s="139"/>
      <c r="K279" s="139"/>
      <c r="L279" s="139"/>
      <c r="M279" s="139"/>
      <c r="N279" s="139"/>
      <c r="O279" s="190">
        <v>1</v>
      </c>
      <c r="P279" s="190"/>
      <c r="Q279" s="190"/>
      <c r="R279" s="190"/>
      <c r="S279" s="318" t="s">
        <v>27</v>
      </c>
      <c r="T279" s="318"/>
      <c r="U279" s="318"/>
      <c r="V279" s="318"/>
      <c r="W279" s="227"/>
      <c r="X279" s="19"/>
      <c r="Y279" s="19"/>
      <c r="Z279" s="19"/>
      <c r="AA279" s="19"/>
      <c r="AB279" s="19"/>
      <c r="AC279" s="19"/>
      <c r="AH279" s="190">
        <v>0</v>
      </c>
    </row>
    <row r="280" spans="1:41" s="2" customFormat="1" x14ac:dyDescent="0.2">
      <c r="A280" s="20"/>
      <c r="B280" s="111" t="s">
        <v>399</v>
      </c>
      <c r="G280" s="20"/>
      <c r="H280" s="20"/>
      <c r="I280" s="19"/>
      <c r="J280" s="139"/>
      <c r="K280" s="139"/>
      <c r="L280" s="139">
        <v>1</v>
      </c>
      <c r="M280" s="151">
        <v>1</v>
      </c>
      <c r="N280" s="144">
        <v>4</v>
      </c>
      <c r="O280" s="190">
        <v>1</v>
      </c>
      <c r="P280" s="190"/>
      <c r="Q280" s="190"/>
      <c r="R280" s="190"/>
      <c r="S280" s="318">
        <f>SUM(O280:O283)/N280</f>
        <v>0.75</v>
      </c>
      <c r="T280" s="318"/>
      <c r="U280" s="318"/>
      <c r="V280" s="318"/>
      <c r="W280" s="227"/>
      <c r="X280" s="19"/>
      <c r="Y280" s="19"/>
      <c r="Z280" s="19"/>
      <c r="AA280" s="19"/>
      <c r="AB280" s="19"/>
      <c r="AC280" s="19"/>
      <c r="AH280" s="190">
        <v>0</v>
      </c>
      <c r="AJ280" s="72"/>
      <c r="AK280" s="72"/>
      <c r="AL280" s="72"/>
      <c r="AM280" s="75"/>
      <c r="AN280" s="75"/>
      <c r="AO280" s="75"/>
    </row>
    <row r="281" spans="1:41" x14ac:dyDescent="0.2">
      <c r="B281" s="91" t="s">
        <v>400</v>
      </c>
      <c r="E281"/>
      <c r="F281"/>
      <c r="G281" s="20"/>
      <c r="H281"/>
      <c r="I281" s="19"/>
      <c r="J281" s="139"/>
      <c r="K281" s="139"/>
      <c r="L281" s="139"/>
      <c r="M281" s="151"/>
      <c r="O281" s="190">
        <v>1</v>
      </c>
      <c r="W281" s="227"/>
      <c r="X281" s="19"/>
      <c r="Y281" s="19"/>
      <c r="Z281" s="19"/>
      <c r="AA281" s="19"/>
      <c r="AB281" s="19"/>
      <c r="AC281" s="19"/>
      <c r="AH281" s="190">
        <v>0</v>
      </c>
      <c r="AM281" s="18"/>
      <c r="AN281" s="18"/>
      <c r="AO281" s="18"/>
    </row>
    <row r="282" spans="1:41" x14ac:dyDescent="0.2">
      <c r="B282" s="91" t="s">
        <v>401</v>
      </c>
      <c r="E282"/>
      <c r="F282"/>
      <c r="G282" s="20"/>
      <c r="H282"/>
      <c r="I282" s="19"/>
      <c r="J282" s="139"/>
      <c r="K282" s="139"/>
      <c r="L282" s="139"/>
      <c r="M282" s="151"/>
      <c r="O282" s="190">
        <v>1</v>
      </c>
      <c r="S282" s="318" t="s">
        <v>27</v>
      </c>
      <c r="W282" s="227"/>
      <c r="X282" s="19"/>
      <c r="Y282" s="19"/>
      <c r="Z282" s="19"/>
      <c r="AA282" s="19"/>
      <c r="AB282" s="19"/>
      <c r="AC282" s="19"/>
      <c r="AH282" s="190">
        <v>0</v>
      </c>
      <c r="AM282" s="18"/>
      <c r="AN282" s="18"/>
      <c r="AO282" s="18"/>
    </row>
    <row r="283" spans="1:41" x14ac:dyDescent="0.2">
      <c r="B283" s="91" t="s">
        <v>402</v>
      </c>
      <c r="E283"/>
      <c r="F283"/>
      <c r="G283" s="20"/>
      <c r="H283"/>
      <c r="I283" s="19"/>
      <c r="J283" s="139"/>
      <c r="K283" s="139"/>
      <c r="L283" s="139"/>
      <c r="M283" s="151"/>
      <c r="O283" s="195">
        <v>0</v>
      </c>
      <c r="P283" s="527"/>
      <c r="Q283" s="527"/>
      <c r="R283" s="527"/>
      <c r="W283" s="227"/>
      <c r="X283" s="19"/>
      <c r="Y283" s="19"/>
      <c r="Z283" s="19"/>
      <c r="AA283" s="19"/>
      <c r="AB283" s="19"/>
      <c r="AC283" s="19"/>
      <c r="AH283" s="190">
        <v>0</v>
      </c>
      <c r="AM283" s="18"/>
      <c r="AN283" s="18"/>
      <c r="AO283" s="18"/>
    </row>
    <row r="284" spans="1:41" x14ac:dyDescent="0.2">
      <c r="B284" s="91" t="s">
        <v>403</v>
      </c>
      <c r="E284"/>
      <c r="F284"/>
      <c r="G284" s="20"/>
      <c r="H284"/>
      <c r="I284" s="19"/>
      <c r="J284" s="139"/>
      <c r="K284" s="139"/>
      <c r="L284" s="139">
        <v>1</v>
      </c>
      <c r="M284" s="139">
        <v>0</v>
      </c>
      <c r="N284" s="144">
        <v>3</v>
      </c>
      <c r="O284" s="190">
        <v>0</v>
      </c>
      <c r="S284" s="318">
        <v>0</v>
      </c>
      <c r="W284" s="227"/>
      <c r="X284" s="19"/>
      <c r="Y284" s="19"/>
      <c r="Z284" s="19"/>
      <c r="AA284" s="19"/>
      <c r="AB284" s="19"/>
      <c r="AC284" s="19"/>
      <c r="AH284" s="190">
        <v>0</v>
      </c>
      <c r="AM284" s="18"/>
      <c r="AN284" s="18"/>
      <c r="AO284" s="18"/>
    </row>
    <row r="285" spans="1:41" x14ac:dyDescent="0.2">
      <c r="B285" s="91" t="s">
        <v>404</v>
      </c>
      <c r="E285"/>
      <c r="F285"/>
      <c r="G285"/>
      <c r="H285"/>
      <c r="I285" s="23"/>
      <c r="J285" s="139"/>
      <c r="K285" s="139"/>
      <c r="L285" s="139"/>
      <c r="O285" s="190">
        <v>0</v>
      </c>
      <c r="W285" s="227"/>
      <c r="X285" s="23"/>
      <c r="Y285" s="23"/>
      <c r="Z285" s="23"/>
      <c r="AA285" s="23"/>
      <c r="AB285" s="23"/>
      <c r="AC285" s="23"/>
      <c r="AH285" s="190">
        <v>0</v>
      </c>
      <c r="AM285" s="18"/>
      <c r="AN285" s="18"/>
      <c r="AO285" s="18"/>
    </row>
    <row r="286" spans="1:41" x14ac:dyDescent="0.2">
      <c r="B286" s="91" t="s">
        <v>405</v>
      </c>
      <c r="E286"/>
      <c r="F286"/>
      <c r="G286"/>
      <c r="H286"/>
      <c r="I286" s="23"/>
      <c r="J286" s="139"/>
      <c r="K286" s="139"/>
      <c r="L286" s="139"/>
      <c r="O286" s="190">
        <v>0</v>
      </c>
      <c r="S286" s="318" t="s">
        <v>27</v>
      </c>
      <c r="W286" s="227"/>
      <c r="X286" s="23"/>
      <c r="Y286" s="23"/>
      <c r="Z286" s="23"/>
      <c r="AA286" s="23"/>
      <c r="AB286" s="23"/>
      <c r="AC286" s="23"/>
      <c r="AH286" s="190">
        <v>0</v>
      </c>
      <c r="AM286" s="18"/>
      <c r="AN286" s="18"/>
      <c r="AO286" s="18"/>
    </row>
    <row r="287" spans="1:41" x14ac:dyDescent="0.2">
      <c r="B287" s="91" t="s">
        <v>406</v>
      </c>
      <c r="E287"/>
      <c r="F287"/>
      <c r="G287" t="s">
        <v>126</v>
      </c>
      <c r="H287"/>
      <c r="I287" s="23"/>
      <c r="J287" s="139"/>
      <c r="K287" s="139"/>
      <c r="L287" s="139">
        <v>1</v>
      </c>
      <c r="M287" s="139">
        <v>0</v>
      </c>
      <c r="N287" s="139">
        <v>3</v>
      </c>
      <c r="O287" s="190">
        <v>0</v>
      </c>
      <c r="S287" s="318">
        <v>0</v>
      </c>
      <c r="W287" s="227"/>
      <c r="X287" s="23"/>
      <c r="Y287" s="23"/>
      <c r="Z287" s="23"/>
      <c r="AA287" s="23"/>
      <c r="AB287" s="23"/>
      <c r="AC287" s="23"/>
      <c r="AH287" s="190">
        <v>0</v>
      </c>
      <c r="AM287" s="18"/>
      <c r="AN287" s="18"/>
      <c r="AO287" s="18"/>
    </row>
    <row r="288" spans="1:41" x14ac:dyDescent="0.2">
      <c r="B288" s="91" t="s">
        <v>407</v>
      </c>
      <c r="E288"/>
      <c r="F288"/>
      <c r="G288" t="s">
        <v>126</v>
      </c>
      <c r="H288"/>
      <c r="I288" s="23"/>
      <c r="J288" s="139"/>
      <c r="K288" s="139"/>
      <c r="L288" s="139"/>
      <c r="O288" s="190">
        <v>0</v>
      </c>
      <c r="S288" s="318" t="s">
        <v>27</v>
      </c>
      <c r="W288" s="227"/>
      <c r="X288" s="23"/>
      <c r="Y288" s="23"/>
      <c r="Z288" s="23"/>
      <c r="AA288" s="23"/>
      <c r="AB288" s="23"/>
      <c r="AC288" s="23"/>
      <c r="AH288" s="190">
        <v>0</v>
      </c>
      <c r="AM288" s="18"/>
      <c r="AN288" s="18"/>
      <c r="AO288" s="18"/>
    </row>
    <row r="289" spans="2:41" x14ac:dyDescent="0.2">
      <c r="B289" s="91" t="s">
        <v>408</v>
      </c>
      <c r="E289"/>
      <c r="F289"/>
      <c r="G289" t="s">
        <v>126</v>
      </c>
      <c r="H289"/>
      <c r="I289" s="23"/>
      <c r="J289" s="139"/>
      <c r="K289" s="139"/>
      <c r="L289" s="139"/>
      <c r="O289" s="190">
        <v>0</v>
      </c>
      <c r="S289" s="371"/>
      <c r="T289" s="371"/>
      <c r="U289" s="371"/>
      <c r="V289" s="371"/>
      <c r="W289" s="227"/>
      <c r="X289" s="23"/>
      <c r="Y289" s="23"/>
      <c r="Z289" s="23"/>
      <c r="AA289" s="23"/>
      <c r="AB289" s="23"/>
      <c r="AC289" s="23"/>
      <c r="AH289" s="190">
        <v>0</v>
      </c>
      <c r="AM289" s="18"/>
      <c r="AN289" s="18"/>
      <c r="AO289" s="18"/>
    </row>
    <row r="290" spans="2:41" x14ac:dyDescent="0.2">
      <c r="B290" s="91" t="s">
        <v>409</v>
      </c>
      <c r="E290"/>
      <c r="F290"/>
      <c r="G290"/>
      <c r="H290"/>
      <c r="I290" s="23"/>
      <c r="J290" s="139"/>
      <c r="K290" s="139"/>
      <c r="L290" s="139">
        <v>1</v>
      </c>
      <c r="M290" s="139">
        <v>0</v>
      </c>
      <c r="N290" s="139">
        <v>1</v>
      </c>
      <c r="O290" s="190">
        <v>0</v>
      </c>
      <c r="S290" s="318">
        <v>0</v>
      </c>
      <c r="W290" s="227"/>
      <c r="X290" s="23"/>
      <c r="Y290" s="23"/>
      <c r="Z290" s="23"/>
      <c r="AA290" s="23"/>
      <c r="AB290" s="23"/>
      <c r="AC290" s="23"/>
      <c r="AH290" s="190">
        <v>0</v>
      </c>
      <c r="AM290" s="18"/>
      <c r="AN290" s="18"/>
      <c r="AO290" s="18"/>
    </row>
    <row r="291" spans="2:41" x14ac:dyDescent="0.2">
      <c r="B291" s="91" t="s">
        <v>410</v>
      </c>
      <c r="E291"/>
      <c r="F291"/>
      <c r="G291"/>
      <c r="H291"/>
      <c r="I291" s="23"/>
      <c r="J291" s="139"/>
      <c r="K291" s="139"/>
      <c r="L291" s="139">
        <v>1</v>
      </c>
      <c r="M291" s="139">
        <v>1</v>
      </c>
      <c r="N291" s="144">
        <v>4</v>
      </c>
      <c r="O291" s="190">
        <v>1</v>
      </c>
      <c r="S291" s="318">
        <v>0.5</v>
      </c>
      <c r="W291" s="227"/>
      <c r="X291" s="23"/>
      <c r="Y291" s="23"/>
      <c r="Z291" s="23"/>
      <c r="AA291" s="23"/>
      <c r="AB291" s="23"/>
      <c r="AC291" s="23"/>
      <c r="AH291" s="190">
        <v>0</v>
      </c>
      <c r="AM291" s="18"/>
      <c r="AN291" s="18"/>
      <c r="AO291" s="18"/>
    </row>
    <row r="292" spans="2:41" x14ac:dyDescent="0.2">
      <c r="B292" s="91" t="s">
        <v>411</v>
      </c>
      <c r="E292"/>
      <c r="F292"/>
      <c r="G292"/>
      <c r="H292"/>
      <c r="I292" s="23"/>
      <c r="J292" s="139"/>
      <c r="K292" s="139"/>
      <c r="L292" s="139"/>
      <c r="O292" s="190">
        <v>1</v>
      </c>
      <c r="W292" s="227"/>
      <c r="X292" s="23"/>
      <c r="Y292" s="23"/>
      <c r="Z292" s="23"/>
      <c r="AA292" s="23"/>
      <c r="AB292" s="23"/>
      <c r="AC292" s="23"/>
      <c r="AH292" s="190">
        <v>0</v>
      </c>
      <c r="AM292" s="18"/>
      <c r="AN292" s="18"/>
      <c r="AO292" s="18"/>
    </row>
    <row r="293" spans="2:41" x14ac:dyDescent="0.2">
      <c r="B293" s="91" t="s">
        <v>412</v>
      </c>
      <c r="E293"/>
      <c r="F293"/>
      <c r="G293"/>
      <c r="H293"/>
      <c r="I293" s="20"/>
      <c r="J293" s="139"/>
      <c r="K293" s="139"/>
      <c r="L293" s="139"/>
      <c r="O293" s="190">
        <v>0</v>
      </c>
      <c r="W293" s="227"/>
      <c r="X293" s="20"/>
      <c r="Y293" s="20"/>
      <c r="Z293" s="20"/>
      <c r="AA293" s="20"/>
      <c r="AB293" s="20"/>
      <c r="AC293" s="20"/>
      <c r="AH293" s="190">
        <v>0</v>
      </c>
      <c r="AM293" s="18"/>
      <c r="AN293" s="18"/>
      <c r="AO293" s="18"/>
    </row>
    <row r="294" spans="2:41" x14ac:dyDescent="0.2">
      <c r="B294" s="91" t="s">
        <v>413</v>
      </c>
      <c r="E294"/>
      <c r="F294"/>
      <c r="G294"/>
      <c r="H294"/>
      <c r="I294" s="20"/>
      <c r="J294" s="139"/>
      <c r="K294" s="139"/>
      <c r="L294" s="139"/>
      <c r="O294" s="190">
        <v>0</v>
      </c>
      <c r="S294" s="318" t="s">
        <v>27</v>
      </c>
      <c r="W294" s="227"/>
      <c r="X294" s="20"/>
      <c r="Y294" s="20"/>
      <c r="Z294" s="20"/>
      <c r="AA294" s="20"/>
      <c r="AB294" s="20"/>
      <c r="AC294" s="20"/>
      <c r="AH294" s="190">
        <v>0</v>
      </c>
      <c r="AM294" s="18"/>
      <c r="AN294" s="18"/>
      <c r="AO294" s="18"/>
    </row>
    <row r="295" spans="2:41" x14ac:dyDescent="0.2">
      <c r="B295" s="91" t="s">
        <v>414</v>
      </c>
      <c r="E295"/>
      <c r="F295"/>
      <c r="G295"/>
      <c r="H295"/>
      <c r="I295" s="20"/>
      <c r="J295" s="139"/>
      <c r="K295" s="139"/>
      <c r="L295" s="139">
        <v>1</v>
      </c>
      <c r="M295" s="139">
        <v>1</v>
      </c>
      <c r="N295" s="139">
        <v>4</v>
      </c>
      <c r="O295" s="190">
        <v>1</v>
      </c>
      <c r="S295" s="318">
        <v>0.5</v>
      </c>
      <c r="W295" s="227"/>
      <c r="X295" s="20"/>
      <c r="Y295" s="20"/>
      <c r="Z295" s="20"/>
      <c r="AA295" s="20"/>
      <c r="AB295" s="20"/>
      <c r="AC295" s="20"/>
      <c r="AG295" t="s">
        <v>261</v>
      </c>
      <c r="AH295" s="195">
        <v>0</v>
      </c>
      <c r="AM295" s="18"/>
      <c r="AN295" s="18"/>
      <c r="AO295" s="18"/>
    </row>
    <row r="296" spans="2:41" x14ac:dyDescent="0.2">
      <c r="B296" s="91" t="s">
        <v>415</v>
      </c>
      <c r="E296"/>
      <c r="F296"/>
      <c r="G296"/>
      <c r="H296"/>
      <c r="I296" s="20"/>
      <c r="J296" s="139"/>
      <c r="K296" s="139"/>
      <c r="L296" s="139"/>
      <c r="O296" s="190">
        <v>0</v>
      </c>
      <c r="W296" s="227"/>
      <c r="X296" s="20"/>
      <c r="Y296" s="20"/>
      <c r="Z296" s="20"/>
      <c r="AA296" s="20"/>
      <c r="AB296" s="20"/>
      <c r="AC296" s="20"/>
      <c r="AG296" t="s">
        <v>416</v>
      </c>
      <c r="AH296" s="190">
        <v>0</v>
      </c>
      <c r="AM296" s="18"/>
      <c r="AN296" s="18"/>
      <c r="AO296" s="18"/>
    </row>
    <row r="297" spans="2:41" x14ac:dyDescent="0.2">
      <c r="B297" s="91" t="s">
        <v>417</v>
      </c>
      <c r="E297"/>
      <c r="F297"/>
      <c r="G297"/>
      <c r="H297"/>
      <c r="I297" s="20"/>
      <c r="J297" s="139"/>
      <c r="K297" s="139"/>
      <c r="L297" s="139"/>
      <c r="N297" s="139" t="s">
        <v>27</v>
      </c>
      <c r="O297" s="190">
        <v>0</v>
      </c>
      <c r="W297" s="227"/>
      <c r="X297" s="20"/>
      <c r="Y297" s="20"/>
      <c r="Z297" s="20"/>
      <c r="AA297" s="20"/>
      <c r="AB297" s="20"/>
      <c r="AC297" s="20"/>
      <c r="AH297" s="190">
        <v>1</v>
      </c>
      <c r="AM297" s="18"/>
      <c r="AN297" s="18"/>
      <c r="AO297" s="18"/>
    </row>
    <row r="298" spans="2:41" x14ac:dyDescent="0.2">
      <c r="B298" s="91" t="s">
        <v>418</v>
      </c>
      <c r="E298"/>
      <c r="F298"/>
      <c r="G298"/>
      <c r="H298"/>
      <c r="I298" s="20"/>
      <c r="J298" s="139"/>
      <c r="K298" s="139"/>
      <c r="L298" s="139"/>
      <c r="O298" s="190">
        <v>1</v>
      </c>
      <c r="S298" s="318" t="s">
        <v>27</v>
      </c>
      <c r="W298" s="227"/>
      <c r="X298" s="20"/>
      <c r="Y298" s="20"/>
      <c r="Z298" s="20"/>
      <c r="AA298" s="20"/>
      <c r="AB298" s="20"/>
      <c r="AC298" s="20"/>
      <c r="AH298" s="190">
        <v>0</v>
      </c>
      <c r="AM298" s="18"/>
      <c r="AN298" s="18"/>
      <c r="AO298" s="18"/>
    </row>
    <row r="299" spans="2:41" x14ac:dyDescent="0.2">
      <c r="B299" s="91" t="s">
        <v>419</v>
      </c>
      <c r="E299"/>
      <c r="F299"/>
      <c r="G299"/>
      <c r="H299"/>
      <c r="I299" s="20"/>
      <c r="J299" s="139"/>
      <c r="K299" s="139"/>
      <c r="L299" s="139">
        <v>1</v>
      </c>
      <c r="M299" s="139">
        <v>1</v>
      </c>
      <c r="N299" s="139">
        <v>4</v>
      </c>
      <c r="O299" s="190">
        <v>1</v>
      </c>
      <c r="S299" s="318">
        <v>1</v>
      </c>
      <c r="W299" s="227"/>
      <c r="X299" s="20"/>
      <c r="Y299" s="20"/>
      <c r="Z299" s="20"/>
      <c r="AA299" s="20"/>
      <c r="AB299" s="20"/>
      <c r="AC299" s="20"/>
      <c r="AH299" s="190">
        <v>1</v>
      </c>
      <c r="AM299" s="18"/>
      <c r="AN299" s="18"/>
      <c r="AO299" s="18"/>
    </row>
    <row r="300" spans="2:41" x14ac:dyDescent="0.2">
      <c r="B300" s="91" t="s">
        <v>420</v>
      </c>
      <c r="E300"/>
      <c r="F300"/>
      <c r="G300"/>
      <c r="H300"/>
      <c r="I300" s="20"/>
      <c r="J300" s="139"/>
      <c r="K300" s="139"/>
      <c r="L300" s="139"/>
      <c r="O300" s="190">
        <v>1</v>
      </c>
      <c r="W300" s="227"/>
      <c r="X300" s="20"/>
      <c r="Y300" s="20"/>
      <c r="Z300" s="20"/>
      <c r="AA300" s="20"/>
      <c r="AB300" s="20"/>
      <c r="AC300" s="20"/>
      <c r="AH300" s="190">
        <v>0</v>
      </c>
      <c r="AM300" s="18"/>
      <c r="AN300" s="18"/>
      <c r="AO300" s="18"/>
    </row>
    <row r="301" spans="2:41" x14ac:dyDescent="0.2">
      <c r="B301" s="91" t="s">
        <v>421</v>
      </c>
      <c r="E301"/>
      <c r="F301"/>
      <c r="G301"/>
      <c r="H301"/>
      <c r="I301" s="20"/>
      <c r="J301" s="139"/>
      <c r="K301" s="139"/>
      <c r="L301" s="139"/>
      <c r="O301" s="190">
        <v>1</v>
      </c>
      <c r="W301" s="227"/>
      <c r="X301" s="20"/>
      <c r="Y301" s="20"/>
      <c r="Z301" s="20"/>
      <c r="AA301" s="20"/>
      <c r="AB301" s="20"/>
      <c r="AC301" s="20"/>
      <c r="AH301" s="190">
        <v>0</v>
      </c>
      <c r="AM301" s="18"/>
      <c r="AN301" s="18"/>
      <c r="AO301" s="18"/>
    </row>
    <row r="302" spans="2:41" x14ac:dyDescent="0.2">
      <c r="B302" s="91" t="s">
        <v>422</v>
      </c>
      <c r="E302"/>
      <c r="F302"/>
      <c r="G302"/>
      <c r="H302"/>
      <c r="I302" s="20"/>
      <c r="J302" s="139"/>
      <c r="K302" s="139"/>
      <c r="L302" s="139"/>
      <c r="O302" s="190">
        <v>1</v>
      </c>
      <c r="S302" s="318" t="s">
        <v>27</v>
      </c>
      <c r="W302" s="227"/>
      <c r="X302" s="20"/>
      <c r="Y302" s="20"/>
      <c r="Z302" s="20"/>
      <c r="AA302" s="20"/>
      <c r="AB302" s="20"/>
      <c r="AC302" s="20"/>
      <c r="AH302" s="190">
        <v>0</v>
      </c>
      <c r="AM302" s="18"/>
      <c r="AN302" s="18"/>
      <c r="AO302" s="18"/>
    </row>
    <row r="303" spans="2:41" x14ac:dyDescent="0.2">
      <c r="B303" s="91" t="s">
        <v>423</v>
      </c>
      <c r="E303"/>
      <c r="F303"/>
      <c r="G303"/>
      <c r="H303"/>
      <c r="I303" s="20"/>
      <c r="J303" s="139"/>
      <c r="K303" s="139"/>
      <c r="L303" s="139">
        <v>1</v>
      </c>
      <c r="M303" s="139">
        <v>0</v>
      </c>
      <c r="N303" s="144">
        <v>3</v>
      </c>
      <c r="O303" s="190">
        <v>0</v>
      </c>
      <c r="S303" s="318">
        <v>0</v>
      </c>
      <c r="W303" s="227"/>
      <c r="X303" s="20"/>
      <c r="Y303" s="20"/>
      <c r="Z303" s="20"/>
      <c r="AA303" s="20"/>
      <c r="AB303" s="20"/>
      <c r="AC303" s="20"/>
      <c r="AH303" s="190">
        <v>0</v>
      </c>
      <c r="AM303" s="18"/>
      <c r="AN303" s="18"/>
      <c r="AO303" s="18"/>
    </row>
    <row r="304" spans="2:41" x14ac:dyDescent="0.2">
      <c r="B304" s="91" t="s">
        <v>424</v>
      </c>
      <c r="E304"/>
      <c r="F304"/>
      <c r="G304"/>
      <c r="H304"/>
      <c r="I304" s="20"/>
      <c r="J304" s="139"/>
      <c r="K304" s="139"/>
      <c r="L304" s="139"/>
      <c r="O304" s="190">
        <v>0</v>
      </c>
      <c r="W304" s="227"/>
      <c r="X304" s="20"/>
      <c r="Y304" s="20"/>
      <c r="Z304" s="20"/>
      <c r="AA304" s="20"/>
      <c r="AB304" s="20"/>
      <c r="AC304" s="20"/>
      <c r="AH304" s="190">
        <v>0</v>
      </c>
      <c r="AM304" s="18"/>
      <c r="AN304" s="18"/>
      <c r="AO304" s="18"/>
    </row>
    <row r="305" spans="1:41" x14ac:dyDescent="0.2">
      <c r="B305" s="91" t="s">
        <v>425</v>
      </c>
      <c r="E305"/>
      <c r="F305"/>
      <c r="G305"/>
      <c r="H305"/>
      <c r="I305" s="20"/>
      <c r="J305" s="139"/>
      <c r="K305" s="139"/>
      <c r="L305" s="139"/>
      <c r="O305" s="190">
        <v>0</v>
      </c>
      <c r="W305" s="227"/>
      <c r="X305" s="20"/>
      <c r="Y305" s="20"/>
      <c r="Z305" s="20"/>
      <c r="AA305" s="20"/>
      <c r="AB305" s="20"/>
      <c r="AC305" s="20"/>
      <c r="AH305" s="190">
        <v>0</v>
      </c>
      <c r="AM305" s="18"/>
      <c r="AN305" s="18"/>
      <c r="AO305" s="18"/>
    </row>
    <row r="306" spans="1:41" x14ac:dyDescent="0.2">
      <c r="B306" s="91" t="s">
        <v>426</v>
      </c>
      <c r="E306"/>
      <c r="F306"/>
      <c r="G306"/>
      <c r="H306"/>
      <c r="I306" s="20"/>
      <c r="J306" s="139"/>
      <c r="K306" s="139"/>
      <c r="L306" s="139">
        <v>1</v>
      </c>
      <c r="M306" s="139">
        <v>1</v>
      </c>
      <c r="N306" s="139">
        <v>3</v>
      </c>
      <c r="O306" s="190">
        <v>0</v>
      </c>
      <c r="S306" s="318">
        <v>0.33</v>
      </c>
      <c r="W306" s="227"/>
      <c r="X306" s="20"/>
      <c r="Y306" s="20"/>
      <c r="Z306" s="20"/>
      <c r="AA306" s="20"/>
      <c r="AB306" s="20"/>
      <c r="AC306" s="20"/>
      <c r="AH306" s="190">
        <v>0</v>
      </c>
      <c r="AM306" s="1"/>
      <c r="AN306" s="1"/>
      <c r="AO306" s="1"/>
    </row>
    <row r="307" spans="1:41" x14ac:dyDescent="0.2">
      <c r="B307" s="91" t="s">
        <v>427</v>
      </c>
      <c r="E307"/>
      <c r="F307"/>
      <c r="G307"/>
      <c r="H307"/>
      <c r="I307" s="20"/>
      <c r="J307" s="139"/>
      <c r="K307" s="139"/>
      <c r="L307" s="139"/>
      <c r="O307" s="190">
        <v>0</v>
      </c>
      <c r="W307" s="227"/>
      <c r="X307" s="20"/>
      <c r="Y307" s="20"/>
      <c r="Z307" s="20"/>
      <c r="AA307" s="20"/>
      <c r="AB307" s="20"/>
      <c r="AC307" s="20"/>
      <c r="AH307" s="190">
        <v>0</v>
      </c>
      <c r="AM307" s="1"/>
      <c r="AN307" s="1"/>
      <c r="AO307" s="1"/>
    </row>
    <row r="308" spans="1:41" x14ac:dyDescent="0.2">
      <c r="B308" s="91" t="s">
        <v>428</v>
      </c>
      <c r="E308"/>
      <c r="F308"/>
      <c r="G308"/>
      <c r="H308"/>
      <c r="I308" s="20"/>
      <c r="J308" s="139"/>
      <c r="K308" s="139"/>
      <c r="L308" s="139"/>
      <c r="O308" s="190">
        <v>1</v>
      </c>
      <c r="W308" s="227"/>
      <c r="X308" s="20"/>
      <c r="Y308" s="20"/>
      <c r="Z308" s="20"/>
      <c r="AA308" s="20"/>
      <c r="AB308" s="20"/>
      <c r="AC308" s="20"/>
      <c r="AH308" s="190">
        <v>0</v>
      </c>
      <c r="AM308" s="1"/>
      <c r="AN308" s="1"/>
      <c r="AO308" s="1"/>
    </row>
    <row r="309" spans="1:41" x14ac:dyDescent="0.2">
      <c r="B309" s="91" t="s">
        <v>429</v>
      </c>
      <c r="E309"/>
      <c r="F309"/>
      <c r="G309"/>
      <c r="H309"/>
      <c r="I309" s="20"/>
      <c r="J309" s="139"/>
      <c r="K309" s="139"/>
      <c r="L309" s="139">
        <v>1</v>
      </c>
      <c r="M309" s="139">
        <v>0</v>
      </c>
      <c r="N309" s="139">
        <v>3</v>
      </c>
      <c r="O309" s="190">
        <v>0</v>
      </c>
      <c r="S309" s="318">
        <v>0</v>
      </c>
      <c r="W309" s="227"/>
      <c r="X309" s="20"/>
      <c r="Y309" s="20"/>
      <c r="Z309" s="20"/>
      <c r="AA309" s="20"/>
      <c r="AB309" s="20"/>
      <c r="AC309" s="20"/>
      <c r="AH309" s="190">
        <v>0</v>
      </c>
      <c r="AM309" s="1"/>
      <c r="AN309" s="1"/>
      <c r="AO309" s="1"/>
    </row>
    <row r="310" spans="1:41" x14ac:dyDescent="0.2">
      <c r="B310" s="91" t="s">
        <v>430</v>
      </c>
      <c r="E310"/>
      <c r="F310"/>
      <c r="G310"/>
      <c r="H310"/>
      <c r="I310" s="20"/>
      <c r="J310" s="139"/>
      <c r="K310" s="139"/>
      <c r="L310" s="139"/>
      <c r="O310" s="190">
        <v>0</v>
      </c>
      <c r="W310" s="227"/>
      <c r="X310" s="20"/>
      <c r="Y310" s="20"/>
      <c r="Z310" s="20"/>
      <c r="AA310" s="20"/>
      <c r="AB310" s="20"/>
      <c r="AC310" s="20"/>
      <c r="AH310" s="190">
        <v>1</v>
      </c>
      <c r="AM310" s="1"/>
      <c r="AN310" s="1"/>
      <c r="AO310" s="1"/>
    </row>
    <row r="311" spans="1:41" x14ac:dyDescent="0.2">
      <c r="B311" s="91" t="s">
        <v>431</v>
      </c>
      <c r="E311"/>
      <c r="F311"/>
      <c r="G311"/>
      <c r="H311"/>
      <c r="I311" s="20"/>
      <c r="J311" s="139"/>
      <c r="K311" s="139"/>
      <c r="L311" s="139"/>
      <c r="O311" s="190">
        <v>0</v>
      </c>
      <c r="W311" s="227"/>
      <c r="X311" s="20"/>
      <c r="Y311" s="20"/>
      <c r="Z311" s="20"/>
      <c r="AA311" s="20"/>
      <c r="AB311" s="20"/>
      <c r="AC311" s="20"/>
      <c r="AH311" s="190">
        <v>1</v>
      </c>
      <c r="AM311" s="1"/>
      <c r="AN311" s="1"/>
      <c r="AO311" s="1"/>
    </row>
    <row r="312" spans="1:41" s="280" customFormat="1" x14ac:dyDescent="0.2">
      <c r="A312" s="280" t="s">
        <v>34</v>
      </c>
      <c r="B312" s="280" t="s">
        <v>35</v>
      </c>
      <c r="I312" s="334"/>
      <c r="J312" s="320">
        <f>COUNT(A313:A383)</f>
        <v>3</v>
      </c>
      <c r="K312" s="321">
        <f>COUNTIF(K313:K383,1)/J312</f>
        <v>0</v>
      </c>
      <c r="L312" s="320">
        <f>SUM(L313:L383)</f>
        <v>19</v>
      </c>
      <c r="M312" s="321">
        <f>COUNTIF(M313:M383,1)/L312</f>
        <v>0.26315789473684209</v>
      </c>
      <c r="N312" s="320">
        <f>SUM(N313:N383)</f>
        <v>71</v>
      </c>
      <c r="O312" s="321">
        <f>COUNTIF(O313:O383,1)/N312</f>
        <v>8.4507042253521125E-2</v>
      </c>
      <c r="P312" s="524">
        <f>AVERAGE(O313:O383)</f>
        <v>8.4507042253521125E-2</v>
      </c>
      <c r="Q312" s="524">
        <f>_xlfn.STDEV.P(O313:O383)</f>
        <v>0.27814672757931691</v>
      </c>
      <c r="R312" s="525">
        <f>STDEV(O313:O383)/(SQRT(COUNT(O313:O383)))</f>
        <v>3.3244892639553936E-2</v>
      </c>
      <c r="S312" s="374">
        <f>((+S313*N313)+(S318*N318)+(S324*N324)+(N328*S328)+(N330*S330)+(N333*S333)+(N335*S335)+(N339*S339)+(N345*S345)+(N349*S349)+(N352*S352)+(N361*S361)+(N363*S363)+(N366*S366)+(N370*S370)+(N374*S374)+(N376*S376)+(N379*S379)+(N381*S381))/N312</f>
        <v>9.3943661971830988E-2</v>
      </c>
      <c r="T312" s="374"/>
      <c r="U312" s="374">
        <f>_xlfn.STDEV.P(T313:T331)</f>
        <v>0.21117138016443901</v>
      </c>
      <c r="V312" s="374">
        <f>+V332</f>
        <v>4.9773571635599062E-2</v>
      </c>
      <c r="W312" s="327"/>
      <c r="X312" s="334"/>
      <c r="Y312" s="334"/>
      <c r="Z312" s="334"/>
      <c r="AA312" s="334"/>
      <c r="AB312" s="334"/>
      <c r="AC312" s="334"/>
      <c r="AH312" s="190">
        <v>0</v>
      </c>
      <c r="AJ312" s="328"/>
      <c r="AK312" s="328"/>
      <c r="AL312" s="328"/>
    </row>
    <row r="313" spans="1:41" x14ac:dyDescent="0.2">
      <c r="A313">
        <v>1</v>
      </c>
      <c r="B313" s="91" t="s">
        <v>432</v>
      </c>
      <c r="E313"/>
      <c r="F313"/>
      <c r="G313"/>
      <c r="H313"/>
      <c r="I313" s="20"/>
      <c r="J313" s="139"/>
      <c r="K313" s="139"/>
      <c r="L313" s="139">
        <v>1</v>
      </c>
      <c r="M313" s="139">
        <v>0</v>
      </c>
      <c r="N313" s="144">
        <v>5</v>
      </c>
      <c r="O313" s="190">
        <v>0</v>
      </c>
      <c r="S313" s="318">
        <v>0</v>
      </c>
      <c r="T313" s="318">
        <f>+S313</f>
        <v>0</v>
      </c>
      <c r="W313" s="227"/>
      <c r="X313" s="20"/>
      <c r="Y313" s="20"/>
      <c r="Z313" s="20"/>
      <c r="AA313" s="20"/>
      <c r="AB313" s="20"/>
      <c r="AC313" s="20"/>
      <c r="AH313" s="190">
        <v>0</v>
      </c>
      <c r="AM313" s="18"/>
      <c r="AN313" s="18"/>
      <c r="AO313" s="18"/>
    </row>
    <row r="314" spans="1:41" x14ac:dyDescent="0.2">
      <c r="B314" s="91" t="s">
        <v>433</v>
      </c>
      <c r="E314"/>
      <c r="F314"/>
      <c r="G314"/>
      <c r="H314"/>
      <c r="I314" s="20"/>
      <c r="J314" s="139"/>
      <c r="K314" s="139"/>
      <c r="L314" s="139"/>
      <c r="O314" s="190">
        <v>0</v>
      </c>
      <c r="T314" s="318">
        <f>+S318</f>
        <v>0</v>
      </c>
      <c r="W314" s="227"/>
      <c r="X314" s="20"/>
      <c r="Y314" s="20"/>
      <c r="Z314" s="20"/>
      <c r="AA314" s="20"/>
      <c r="AB314" s="20"/>
      <c r="AC314" s="20"/>
      <c r="AH314" s="190">
        <v>0</v>
      </c>
      <c r="AM314" s="18"/>
      <c r="AN314" s="18"/>
      <c r="AO314" s="18"/>
    </row>
    <row r="315" spans="1:41" x14ac:dyDescent="0.2">
      <c r="B315" s="91" t="s">
        <v>434</v>
      </c>
      <c r="E315"/>
      <c r="F315"/>
      <c r="G315"/>
      <c r="H315"/>
      <c r="I315" s="20"/>
      <c r="J315" s="139"/>
      <c r="K315" s="139"/>
      <c r="L315" s="139"/>
      <c r="N315" s="139" t="s">
        <v>27</v>
      </c>
      <c r="O315" s="190">
        <v>0</v>
      </c>
      <c r="T315" s="318">
        <f>+S324</f>
        <v>0</v>
      </c>
      <c r="W315" s="227"/>
      <c r="X315" s="20"/>
      <c r="Y315" s="20"/>
      <c r="Z315" s="20"/>
      <c r="AA315" s="20"/>
      <c r="AB315" s="20"/>
      <c r="AC315" s="20"/>
      <c r="AH315" s="190">
        <v>0</v>
      </c>
      <c r="AM315" s="18"/>
      <c r="AN315" s="18"/>
      <c r="AO315" s="18"/>
    </row>
    <row r="316" spans="1:41" x14ac:dyDescent="0.2">
      <c r="B316" s="91" t="s">
        <v>435</v>
      </c>
      <c r="E316"/>
      <c r="F316"/>
      <c r="G316"/>
      <c r="H316"/>
      <c r="I316" s="20"/>
      <c r="J316" s="139"/>
      <c r="K316" s="139"/>
      <c r="L316" s="139"/>
      <c r="O316" s="190">
        <v>0</v>
      </c>
      <c r="S316" s="318" t="s">
        <v>27</v>
      </c>
      <c r="T316" s="318">
        <f>+S328</f>
        <v>0</v>
      </c>
      <c r="W316" s="227"/>
      <c r="X316" s="20"/>
      <c r="Y316" s="20"/>
      <c r="Z316" s="20"/>
      <c r="AA316" s="20"/>
      <c r="AB316" s="20"/>
      <c r="AC316" s="20"/>
      <c r="AH316" s="190">
        <v>0</v>
      </c>
      <c r="AM316" s="18"/>
      <c r="AN316" s="18"/>
      <c r="AO316" s="18"/>
    </row>
    <row r="317" spans="1:41" x14ac:dyDescent="0.2">
      <c r="B317" s="91" t="s">
        <v>436</v>
      </c>
      <c r="E317"/>
      <c r="F317"/>
      <c r="G317"/>
      <c r="H317"/>
      <c r="I317" s="20"/>
      <c r="J317" s="139"/>
      <c r="K317" s="139"/>
      <c r="L317" s="139"/>
      <c r="O317" s="190">
        <v>0</v>
      </c>
      <c r="T317" s="318">
        <f>+S330</f>
        <v>0.33</v>
      </c>
      <c r="W317" s="227"/>
      <c r="X317" s="20"/>
      <c r="Y317" s="20"/>
      <c r="Z317" s="20"/>
      <c r="AA317" s="20"/>
      <c r="AB317" s="20"/>
      <c r="AC317" s="20"/>
      <c r="AH317" s="190">
        <v>0</v>
      </c>
      <c r="AM317" s="18"/>
      <c r="AN317" s="18"/>
      <c r="AO317" s="18"/>
    </row>
    <row r="318" spans="1:41" x14ac:dyDescent="0.2">
      <c r="B318" s="91" t="s">
        <v>437</v>
      </c>
      <c r="E318"/>
      <c r="F318"/>
      <c r="G318"/>
      <c r="H318"/>
      <c r="I318" s="20"/>
      <c r="J318" s="139"/>
      <c r="K318" s="139"/>
      <c r="L318" s="139">
        <v>1</v>
      </c>
      <c r="M318" s="139">
        <v>0</v>
      </c>
      <c r="N318" s="139">
        <v>6</v>
      </c>
      <c r="O318" s="190">
        <v>0</v>
      </c>
      <c r="S318" s="318">
        <v>0</v>
      </c>
      <c r="T318" s="318">
        <f>+S333</f>
        <v>0.5</v>
      </c>
      <c r="W318" s="227"/>
      <c r="X318" s="20"/>
      <c r="Y318" s="20"/>
      <c r="Z318" s="20"/>
      <c r="AA318" s="20"/>
      <c r="AB318" s="20"/>
      <c r="AC318" s="20"/>
      <c r="AH318" s="190">
        <v>0</v>
      </c>
      <c r="AM318" s="18"/>
      <c r="AN318" s="18"/>
      <c r="AO318" s="18"/>
    </row>
    <row r="319" spans="1:41" x14ac:dyDescent="0.2">
      <c r="B319" s="91" t="s">
        <v>438</v>
      </c>
      <c r="E319"/>
      <c r="F319"/>
      <c r="G319"/>
      <c r="H319"/>
      <c r="I319" s="20"/>
      <c r="J319" s="139"/>
      <c r="K319" s="139"/>
      <c r="L319" s="139"/>
      <c r="O319" s="190">
        <v>0</v>
      </c>
      <c r="S319" s="318" t="s">
        <v>27</v>
      </c>
      <c r="T319" s="318">
        <f>+S335</f>
        <v>0</v>
      </c>
      <c r="W319" s="227"/>
      <c r="X319" s="20"/>
      <c r="Y319" s="20"/>
      <c r="Z319" s="20"/>
      <c r="AA319" s="20"/>
      <c r="AB319" s="20"/>
      <c r="AC319" s="20"/>
      <c r="AH319" s="190">
        <v>0</v>
      </c>
      <c r="AM319" s="18"/>
      <c r="AN319" s="18"/>
      <c r="AO319" s="18"/>
    </row>
    <row r="320" spans="1:41" x14ac:dyDescent="0.2">
      <c r="B320" s="91" t="s">
        <v>439</v>
      </c>
      <c r="E320"/>
      <c r="F320"/>
      <c r="G320"/>
      <c r="H320"/>
      <c r="I320" s="20"/>
      <c r="J320" s="139"/>
      <c r="K320" s="139"/>
      <c r="L320" s="139"/>
      <c r="N320" s="139" t="s">
        <v>27</v>
      </c>
      <c r="O320" s="190">
        <v>0</v>
      </c>
      <c r="S320" s="318" t="s">
        <v>27</v>
      </c>
      <c r="T320" s="318">
        <f>+S339</f>
        <v>0</v>
      </c>
      <c r="W320" s="227"/>
      <c r="X320" s="20"/>
      <c r="Y320" s="20"/>
      <c r="Z320" s="20"/>
      <c r="AA320" s="20"/>
      <c r="AB320" s="20"/>
      <c r="AC320" s="20"/>
      <c r="AH320" s="190">
        <v>0</v>
      </c>
      <c r="AM320" s="18"/>
      <c r="AN320" s="18"/>
      <c r="AO320" s="18"/>
    </row>
    <row r="321" spans="1:41" x14ac:dyDescent="0.2">
      <c r="B321" s="91" t="s">
        <v>440</v>
      </c>
      <c r="E321"/>
      <c r="F321"/>
      <c r="G321"/>
      <c r="H321"/>
      <c r="I321" s="20"/>
      <c r="J321" s="139"/>
      <c r="K321" s="139"/>
      <c r="L321" s="139"/>
      <c r="O321" s="190">
        <v>0</v>
      </c>
      <c r="S321" s="318" t="s">
        <v>27</v>
      </c>
      <c r="T321" s="318">
        <f>+S345</f>
        <v>0.67</v>
      </c>
      <c r="W321" s="227"/>
      <c r="X321" s="20"/>
      <c r="Y321" s="20"/>
      <c r="Z321" s="20"/>
      <c r="AA321" s="20"/>
      <c r="AB321" s="20"/>
      <c r="AC321" s="20"/>
      <c r="AH321" s="190">
        <v>0</v>
      </c>
      <c r="AM321" s="18"/>
      <c r="AN321" s="18"/>
      <c r="AO321" s="18"/>
    </row>
    <row r="322" spans="1:41" x14ac:dyDescent="0.2">
      <c r="B322" s="91" t="s">
        <v>441</v>
      </c>
      <c r="E322"/>
      <c r="F322"/>
      <c r="G322" t="s">
        <v>442</v>
      </c>
      <c r="H322"/>
      <c r="I322" s="20"/>
      <c r="J322" s="139"/>
      <c r="K322" s="139"/>
      <c r="L322" s="139"/>
      <c r="N322" s="139" t="s">
        <v>27</v>
      </c>
      <c r="O322" s="190">
        <v>0</v>
      </c>
      <c r="S322" s="318" t="s">
        <v>27</v>
      </c>
      <c r="T322" s="318">
        <f>+S349</f>
        <v>0</v>
      </c>
      <c r="W322" s="227"/>
      <c r="X322" s="20"/>
      <c r="Y322" s="20"/>
      <c r="Z322" s="20"/>
      <c r="AA322" s="20"/>
      <c r="AB322" s="20"/>
      <c r="AC322" s="20"/>
      <c r="AH322" s="190">
        <v>0</v>
      </c>
      <c r="AM322" s="18"/>
      <c r="AN322" s="18"/>
      <c r="AO322" s="18"/>
    </row>
    <row r="323" spans="1:41" x14ac:dyDescent="0.2">
      <c r="B323" s="91" t="s">
        <v>443</v>
      </c>
      <c r="E323"/>
      <c r="F323"/>
      <c r="G323"/>
      <c r="H323"/>
      <c r="I323" s="20"/>
      <c r="J323" s="139"/>
      <c r="K323" s="139"/>
      <c r="L323" s="139"/>
      <c r="O323" s="190">
        <v>0</v>
      </c>
      <c r="S323" s="318" t="s">
        <v>27</v>
      </c>
      <c r="T323" s="318">
        <f>+S361</f>
        <v>0</v>
      </c>
      <c r="W323" s="227"/>
      <c r="X323" s="20"/>
      <c r="Y323" s="20"/>
      <c r="Z323" s="20"/>
      <c r="AA323" s="20"/>
      <c r="AB323" s="20"/>
      <c r="AC323" s="20"/>
      <c r="AH323" s="190">
        <v>0</v>
      </c>
      <c r="AM323" s="18"/>
      <c r="AN323" s="18"/>
      <c r="AO323" s="18"/>
    </row>
    <row r="324" spans="1:41" x14ac:dyDescent="0.2">
      <c r="A324">
        <v>2</v>
      </c>
      <c r="B324" s="91" t="s">
        <v>444</v>
      </c>
      <c r="E324"/>
      <c r="F324"/>
      <c r="G324"/>
      <c r="H324"/>
      <c r="I324" s="20"/>
      <c r="J324" s="139"/>
      <c r="K324" s="139"/>
      <c r="L324" s="139">
        <v>1</v>
      </c>
      <c r="M324" s="139">
        <v>0</v>
      </c>
      <c r="N324" s="139">
        <v>4</v>
      </c>
      <c r="O324" s="190">
        <v>0</v>
      </c>
      <c r="S324" s="318">
        <v>0</v>
      </c>
      <c r="T324" s="318">
        <f>+S361</f>
        <v>0</v>
      </c>
      <c r="W324" s="227"/>
      <c r="X324" s="20"/>
      <c r="Y324" s="20"/>
      <c r="Z324" s="20"/>
      <c r="AA324" s="20"/>
      <c r="AB324" s="20"/>
      <c r="AC324" s="20"/>
      <c r="AH324" s="190">
        <v>0</v>
      </c>
      <c r="AM324" s="18"/>
      <c r="AN324" s="18"/>
      <c r="AO324" s="18"/>
    </row>
    <row r="325" spans="1:41" x14ac:dyDescent="0.2">
      <c r="B325" s="91" t="s">
        <v>445</v>
      </c>
      <c r="E325"/>
      <c r="F325"/>
      <c r="G325"/>
      <c r="H325"/>
      <c r="I325" s="20"/>
      <c r="J325" s="139"/>
      <c r="K325" s="139"/>
      <c r="L325" s="139"/>
      <c r="O325" s="190">
        <v>0</v>
      </c>
      <c r="T325" s="318">
        <f>+S366</f>
        <v>0</v>
      </c>
      <c r="W325" s="227"/>
      <c r="X325" s="20"/>
      <c r="Y325" s="20"/>
      <c r="Z325" s="20"/>
      <c r="AA325" s="20"/>
      <c r="AB325" s="20"/>
      <c r="AC325" s="20"/>
      <c r="AH325" s="190">
        <v>0</v>
      </c>
      <c r="AM325" s="18"/>
      <c r="AN325" s="18"/>
      <c r="AO325" s="18"/>
    </row>
    <row r="326" spans="1:41" x14ac:dyDescent="0.2">
      <c r="B326" s="91" t="s">
        <v>446</v>
      </c>
      <c r="E326"/>
      <c r="F326"/>
      <c r="G326"/>
      <c r="H326"/>
      <c r="I326" s="20"/>
      <c r="J326" s="139"/>
      <c r="K326" s="139"/>
      <c r="L326" s="139"/>
      <c r="N326" s="139" t="s">
        <v>27</v>
      </c>
      <c r="O326" s="190">
        <v>0</v>
      </c>
      <c r="S326" s="318" t="s">
        <v>27</v>
      </c>
      <c r="T326" s="318">
        <f>+S363</f>
        <v>0</v>
      </c>
      <c r="W326" s="227"/>
      <c r="X326" s="20"/>
      <c r="Y326" s="20"/>
      <c r="Z326" s="20"/>
      <c r="AA326" s="20"/>
      <c r="AB326" s="20"/>
      <c r="AC326" s="20"/>
      <c r="AH326" s="190">
        <v>0</v>
      </c>
      <c r="AM326" s="18"/>
      <c r="AN326" s="18"/>
      <c r="AO326" s="18"/>
    </row>
    <row r="327" spans="1:41" x14ac:dyDescent="0.2">
      <c r="B327" s="91" t="s">
        <v>447</v>
      </c>
      <c r="E327"/>
      <c r="F327"/>
      <c r="G327"/>
      <c r="H327"/>
      <c r="I327" s="20"/>
      <c r="J327" s="139"/>
      <c r="K327" s="139"/>
      <c r="L327" s="139"/>
      <c r="O327" s="190">
        <v>0</v>
      </c>
      <c r="T327" s="318">
        <f>+S370</f>
        <v>0.5</v>
      </c>
      <c r="W327" s="227"/>
      <c r="X327" s="20"/>
      <c r="Y327" s="20"/>
      <c r="Z327" s="20"/>
      <c r="AA327" s="20"/>
      <c r="AB327" s="20"/>
      <c r="AC327" s="20"/>
      <c r="AH327" s="190">
        <v>0</v>
      </c>
      <c r="AM327" s="18"/>
      <c r="AN327" s="18"/>
      <c r="AO327" s="18"/>
    </row>
    <row r="328" spans="1:41" x14ac:dyDescent="0.2">
      <c r="B328" s="91" t="s">
        <v>448</v>
      </c>
      <c r="E328"/>
      <c r="F328"/>
      <c r="G328"/>
      <c r="H328"/>
      <c r="I328" s="20"/>
      <c r="J328" s="139"/>
      <c r="K328" s="139"/>
      <c r="L328" s="139">
        <v>1</v>
      </c>
      <c r="M328" s="139">
        <v>0</v>
      </c>
      <c r="N328" s="139">
        <v>2</v>
      </c>
      <c r="O328" s="190">
        <v>0</v>
      </c>
      <c r="S328" s="318">
        <v>0</v>
      </c>
      <c r="T328" s="318">
        <f>+S374</f>
        <v>0</v>
      </c>
      <c r="W328" s="227"/>
      <c r="X328" s="20"/>
      <c r="Y328" s="20"/>
      <c r="Z328" s="20"/>
      <c r="AA328" s="20"/>
      <c r="AB328" s="20"/>
      <c r="AC328" s="20"/>
      <c r="AH328" s="190">
        <v>0</v>
      </c>
      <c r="AM328" s="18"/>
      <c r="AN328" s="18"/>
      <c r="AO328" s="18"/>
    </row>
    <row r="329" spans="1:41" x14ac:dyDescent="0.2">
      <c r="B329" s="91" t="s">
        <v>449</v>
      </c>
      <c r="E329"/>
      <c r="F329"/>
      <c r="G329"/>
      <c r="H329"/>
      <c r="I329" s="20"/>
      <c r="J329" s="139"/>
      <c r="K329" s="139"/>
      <c r="L329" s="139"/>
      <c r="O329" s="190">
        <v>0</v>
      </c>
      <c r="S329" s="318" t="s">
        <v>27</v>
      </c>
      <c r="T329" s="318">
        <v>0</v>
      </c>
      <c r="W329" s="227"/>
      <c r="X329" s="20"/>
      <c r="Y329" s="20"/>
      <c r="Z329" s="20"/>
      <c r="AA329" s="20"/>
      <c r="AB329" s="20"/>
      <c r="AC329" s="20"/>
      <c r="AH329" s="190">
        <v>0</v>
      </c>
      <c r="AM329" s="18"/>
      <c r="AN329" s="18"/>
      <c r="AO329" s="18"/>
    </row>
    <row r="330" spans="1:41" s="2" customFormat="1" x14ac:dyDescent="0.2">
      <c r="B330" s="111" t="s">
        <v>450</v>
      </c>
      <c r="G330"/>
      <c r="H330"/>
      <c r="I330" s="20"/>
      <c r="J330" s="150"/>
      <c r="K330" s="150"/>
      <c r="L330" s="150">
        <v>1</v>
      </c>
      <c r="M330" s="151">
        <v>1</v>
      </c>
      <c r="N330" s="150">
        <v>3</v>
      </c>
      <c r="O330" s="195">
        <v>0</v>
      </c>
      <c r="P330" s="527"/>
      <c r="Q330" s="527"/>
      <c r="R330" s="527"/>
      <c r="S330" s="318">
        <v>0.33</v>
      </c>
      <c r="T330" s="318">
        <v>0</v>
      </c>
      <c r="U330" s="318"/>
      <c r="V330" s="318"/>
      <c r="W330" s="227"/>
      <c r="X330" s="20"/>
      <c r="Y330" s="20"/>
      <c r="Z330" s="20"/>
      <c r="AA330" s="20"/>
      <c r="AB330" s="20"/>
      <c r="AC330" s="20"/>
      <c r="AH330" s="190">
        <v>0</v>
      </c>
      <c r="AJ330" s="72"/>
      <c r="AK330" s="72"/>
      <c r="AL330" s="72"/>
      <c r="AM330" s="75"/>
      <c r="AN330" s="75"/>
      <c r="AO330" s="75"/>
    </row>
    <row r="331" spans="1:41" x14ac:dyDescent="0.2">
      <c r="B331" s="111" t="s">
        <v>451</v>
      </c>
      <c r="E331"/>
      <c r="F331"/>
      <c r="G331"/>
      <c r="H331"/>
      <c r="I331" s="20"/>
      <c r="J331" s="139"/>
      <c r="K331" s="139"/>
      <c r="L331" s="139"/>
      <c r="O331" s="190">
        <v>0</v>
      </c>
      <c r="T331" s="318">
        <v>0</v>
      </c>
      <c r="W331" s="227"/>
      <c r="X331" s="20"/>
      <c r="Y331" s="20"/>
      <c r="Z331" s="20"/>
      <c r="AA331" s="20"/>
      <c r="AB331" s="20"/>
      <c r="AC331" s="20"/>
      <c r="AH331" s="190">
        <v>0</v>
      </c>
      <c r="AM331" s="18"/>
      <c r="AN331" s="18"/>
      <c r="AO331" s="18"/>
    </row>
    <row r="332" spans="1:41" x14ac:dyDescent="0.2">
      <c r="B332" s="111" t="s">
        <v>452</v>
      </c>
      <c r="E332"/>
      <c r="F332"/>
      <c r="G332"/>
      <c r="H332"/>
      <c r="I332" s="20"/>
      <c r="J332" s="139"/>
      <c r="K332" s="139"/>
      <c r="L332" s="139"/>
      <c r="O332" s="190">
        <v>1</v>
      </c>
      <c r="T332" s="383">
        <f>AVERAGE(T313:T331)</f>
        <v>0.10526315789473684</v>
      </c>
      <c r="U332" s="383"/>
      <c r="V332" s="380">
        <f>STDEV(T313:T331)/(SQRT(COUNT(T313:T331)))</f>
        <v>4.9773571635599062E-2</v>
      </c>
      <c r="W332" s="227"/>
      <c r="X332" s="20"/>
      <c r="Y332" s="20"/>
      <c r="Z332" s="20"/>
      <c r="AA332" s="20"/>
      <c r="AB332" s="20"/>
      <c r="AC332" s="20"/>
      <c r="AH332" s="190">
        <v>0</v>
      </c>
      <c r="AM332" s="18"/>
      <c r="AN332" s="18"/>
      <c r="AO332" s="18"/>
    </row>
    <row r="333" spans="1:41" x14ac:dyDescent="0.2">
      <c r="B333" s="91" t="s">
        <v>453</v>
      </c>
      <c r="E333"/>
      <c r="F333"/>
      <c r="G333"/>
      <c r="H333"/>
      <c r="I333" s="20"/>
      <c r="J333" s="139"/>
      <c r="K333" s="139"/>
      <c r="L333" s="139">
        <v>1</v>
      </c>
      <c r="M333" s="139">
        <v>1</v>
      </c>
      <c r="N333" s="139">
        <v>2</v>
      </c>
      <c r="O333" s="190">
        <v>0</v>
      </c>
      <c r="S333" s="318">
        <v>0.5</v>
      </c>
      <c r="T333" s="383" t="s">
        <v>27</v>
      </c>
      <c r="U333" s="383"/>
      <c r="V333" s="380" t="s">
        <v>27</v>
      </c>
      <c r="W333" s="227"/>
      <c r="X333" s="20"/>
      <c r="Y333" s="20"/>
      <c r="Z333" s="20"/>
      <c r="AA333" s="20"/>
      <c r="AB333" s="20"/>
      <c r="AC333" s="20"/>
      <c r="AH333" s="190">
        <v>0</v>
      </c>
      <c r="AM333" s="18"/>
      <c r="AN333" s="18"/>
      <c r="AO333" s="18"/>
    </row>
    <row r="334" spans="1:41" x14ac:dyDescent="0.2">
      <c r="B334" s="91" t="s">
        <v>454</v>
      </c>
      <c r="E334"/>
      <c r="F334"/>
      <c r="G334"/>
      <c r="H334"/>
      <c r="I334" s="20"/>
      <c r="J334" s="139"/>
      <c r="K334" s="139"/>
      <c r="L334" s="139"/>
      <c r="O334" s="190">
        <v>1</v>
      </c>
      <c r="W334" s="227"/>
      <c r="X334" s="20"/>
      <c r="Y334" s="20"/>
      <c r="Z334" s="20"/>
      <c r="AA334" s="20"/>
      <c r="AB334" s="20"/>
      <c r="AC334" s="20"/>
      <c r="AH334" s="190">
        <v>0</v>
      </c>
      <c r="AM334" s="18"/>
      <c r="AN334" s="18"/>
      <c r="AO334" s="18"/>
    </row>
    <row r="335" spans="1:41" x14ac:dyDescent="0.2">
      <c r="B335" s="91" t="s">
        <v>455</v>
      </c>
      <c r="E335"/>
      <c r="F335"/>
      <c r="G335"/>
      <c r="H335"/>
      <c r="I335" s="20"/>
      <c r="J335" s="139"/>
      <c r="K335" s="139"/>
      <c r="L335" s="139">
        <v>1</v>
      </c>
      <c r="M335" s="139">
        <v>0</v>
      </c>
      <c r="N335" s="139">
        <v>4</v>
      </c>
      <c r="O335" s="190">
        <v>0</v>
      </c>
      <c r="S335" s="318">
        <v>0</v>
      </c>
      <c r="T335" s="318" t="s">
        <v>27</v>
      </c>
      <c r="W335" s="227"/>
      <c r="X335" s="20"/>
      <c r="Y335" s="20"/>
      <c r="Z335" s="20"/>
      <c r="AA335" s="20"/>
      <c r="AB335" s="20"/>
      <c r="AC335" s="20"/>
      <c r="AH335" s="190">
        <v>0</v>
      </c>
      <c r="AM335" s="18"/>
      <c r="AN335" s="18"/>
      <c r="AO335" s="18"/>
    </row>
    <row r="336" spans="1:41" x14ac:dyDescent="0.2">
      <c r="B336" s="91" t="s">
        <v>456</v>
      </c>
      <c r="E336"/>
      <c r="F336"/>
      <c r="G336"/>
      <c r="H336"/>
      <c r="I336" s="20"/>
      <c r="J336" s="139"/>
      <c r="K336" s="139"/>
      <c r="L336" s="139"/>
      <c r="O336" s="190">
        <v>0</v>
      </c>
      <c r="W336" s="227"/>
      <c r="X336" s="20"/>
      <c r="Y336" s="20"/>
      <c r="Z336" s="20"/>
      <c r="AA336" s="20"/>
      <c r="AB336" s="20"/>
      <c r="AC336" s="20"/>
      <c r="AH336" s="190">
        <v>0</v>
      </c>
      <c r="AM336" s="18"/>
      <c r="AN336" s="18"/>
      <c r="AO336" s="18"/>
    </row>
    <row r="337" spans="2:41" x14ac:dyDescent="0.2">
      <c r="B337" s="91" t="s">
        <v>457</v>
      </c>
      <c r="E337"/>
      <c r="F337"/>
      <c r="G337"/>
      <c r="H337"/>
      <c r="I337" s="20"/>
      <c r="J337" s="139"/>
      <c r="K337" s="139"/>
      <c r="L337" s="139"/>
      <c r="O337" s="190">
        <v>0</v>
      </c>
      <c r="T337" s="318" t="s">
        <v>27</v>
      </c>
      <c r="W337" s="227"/>
      <c r="X337" s="20"/>
      <c r="Y337" s="20"/>
      <c r="Z337" s="20"/>
      <c r="AA337" s="20"/>
      <c r="AB337" s="20"/>
      <c r="AC337" s="20"/>
      <c r="AH337" s="190">
        <v>1</v>
      </c>
      <c r="AM337" s="18"/>
      <c r="AN337" s="18"/>
      <c r="AO337" s="18"/>
    </row>
    <row r="338" spans="2:41" x14ac:dyDescent="0.2">
      <c r="B338" s="91" t="s">
        <v>458</v>
      </c>
      <c r="E338"/>
      <c r="F338"/>
      <c r="G338"/>
      <c r="H338"/>
      <c r="I338" s="1"/>
      <c r="J338" s="139"/>
      <c r="K338" s="139"/>
      <c r="L338" s="139"/>
      <c r="O338" s="190">
        <v>0</v>
      </c>
      <c r="S338" s="318" t="s">
        <v>27</v>
      </c>
      <c r="W338" s="227"/>
      <c r="X338" s="73"/>
      <c r="Y338" s="74"/>
      <c r="Z338" s="74"/>
      <c r="AA338" s="73"/>
      <c r="AB338" s="74"/>
      <c r="AC338" s="74"/>
      <c r="AH338" s="190">
        <v>1</v>
      </c>
      <c r="AM338" s="18"/>
      <c r="AN338" s="18"/>
      <c r="AO338" s="18"/>
    </row>
    <row r="339" spans="2:41" x14ac:dyDescent="0.2">
      <c r="B339" s="91" t="s">
        <v>459</v>
      </c>
      <c r="E339"/>
      <c r="F339"/>
      <c r="G339"/>
      <c r="H339"/>
      <c r="I339" s="1"/>
      <c r="J339" s="139"/>
      <c r="K339" s="139"/>
      <c r="L339" s="139">
        <v>1</v>
      </c>
      <c r="M339" s="139">
        <v>1</v>
      </c>
      <c r="N339" s="139">
        <v>6</v>
      </c>
      <c r="O339" s="190">
        <v>0</v>
      </c>
      <c r="S339" s="318">
        <v>0</v>
      </c>
      <c r="W339" s="227"/>
      <c r="X339" s="71"/>
      <c r="Y339" s="70"/>
      <c r="Z339" s="70"/>
      <c r="AA339" s="71"/>
      <c r="AB339" s="70"/>
      <c r="AC339" s="70"/>
      <c r="AH339" s="190">
        <v>0</v>
      </c>
      <c r="AM339" s="18"/>
      <c r="AN339" s="18"/>
      <c r="AO339" s="18"/>
    </row>
    <row r="340" spans="2:41" x14ac:dyDescent="0.2">
      <c r="B340" s="91" t="s">
        <v>460</v>
      </c>
      <c r="E340"/>
      <c r="F340"/>
      <c r="G340"/>
      <c r="H340"/>
      <c r="I340" s="1"/>
      <c r="J340" s="139"/>
      <c r="K340" s="139"/>
      <c r="L340" s="139"/>
      <c r="O340" s="190">
        <v>0</v>
      </c>
      <c r="T340" s="318" t="s">
        <v>27</v>
      </c>
      <c r="W340" s="227"/>
      <c r="X340" s="71"/>
      <c r="Y340" s="70"/>
      <c r="Z340" s="70"/>
      <c r="AA340" s="71"/>
      <c r="AB340" s="70"/>
      <c r="AC340" s="70"/>
      <c r="AH340" s="190">
        <v>0</v>
      </c>
      <c r="AM340" s="18"/>
      <c r="AN340" s="18"/>
      <c r="AO340" s="18"/>
    </row>
    <row r="341" spans="2:41" x14ac:dyDescent="0.2">
      <c r="B341" s="91" t="s">
        <v>461</v>
      </c>
      <c r="E341"/>
      <c r="F341"/>
      <c r="G341"/>
      <c r="H341"/>
      <c r="I341" s="1"/>
      <c r="J341" s="139"/>
      <c r="K341" s="139"/>
      <c r="L341" s="139"/>
      <c r="O341" s="190">
        <v>0</v>
      </c>
      <c r="W341" s="227"/>
      <c r="X341" s="71"/>
      <c r="Y341" s="70"/>
      <c r="Z341" s="70"/>
      <c r="AA341" s="71"/>
      <c r="AB341" s="70"/>
      <c r="AC341" s="70"/>
      <c r="AH341" s="190">
        <v>0</v>
      </c>
      <c r="AM341" s="18"/>
      <c r="AN341" s="18"/>
      <c r="AO341" s="18"/>
    </row>
    <row r="342" spans="2:41" x14ac:dyDescent="0.2">
      <c r="B342" s="91" t="s">
        <v>462</v>
      </c>
      <c r="E342"/>
      <c r="F342"/>
      <c r="G342"/>
      <c r="H342"/>
      <c r="I342" s="1"/>
      <c r="J342" s="139"/>
      <c r="K342" s="139"/>
      <c r="L342" s="139"/>
      <c r="O342" s="190">
        <v>0</v>
      </c>
      <c r="S342" s="318" t="s">
        <v>27</v>
      </c>
      <c r="T342" s="318" t="s">
        <v>27</v>
      </c>
      <c r="W342" s="227"/>
      <c r="X342" s="71"/>
      <c r="Y342" s="70"/>
      <c r="Z342" s="70"/>
      <c r="AA342" s="71"/>
      <c r="AB342" s="70"/>
      <c r="AC342" s="70"/>
      <c r="AH342" s="190">
        <v>0</v>
      </c>
      <c r="AM342" s="18"/>
      <c r="AN342" s="18"/>
      <c r="AO342" s="18"/>
    </row>
    <row r="343" spans="2:41" x14ac:dyDescent="0.2">
      <c r="B343" s="91" t="s">
        <v>463</v>
      </c>
      <c r="E343"/>
      <c r="F343"/>
      <c r="G343"/>
      <c r="H343"/>
      <c r="I343" s="1"/>
      <c r="J343" s="139"/>
      <c r="K343" s="139"/>
      <c r="L343" s="139"/>
      <c r="O343" s="190">
        <v>0</v>
      </c>
      <c r="T343" s="318" t="s">
        <v>27</v>
      </c>
      <c r="W343" s="227"/>
      <c r="X343" s="71"/>
      <c r="Y343" s="70"/>
      <c r="Z343" s="70"/>
      <c r="AA343" s="71"/>
      <c r="AB343" s="70"/>
      <c r="AC343" s="70"/>
      <c r="AH343" s="190">
        <v>0</v>
      </c>
      <c r="AM343" s="18"/>
      <c r="AN343" s="18"/>
      <c r="AO343" s="18"/>
    </row>
    <row r="344" spans="2:41" x14ac:dyDescent="0.2">
      <c r="B344" s="91" t="s">
        <v>464</v>
      </c>
      <c r="E344"/>
      <c r="F344"/>
      <c r="G344"/>
      <c r="H344"/>
      <c r="I344" s="1"/>
      <c r="J344" s="139"/>
      <c r="K344" s="139"/>
      <c r="L344" s="139"/>
      <c r="O344" s="190">
        <v>0</v>
      </c>
      <c r="W344" s="227"/>
      <c r="X344" s="71"/>
      <c r="Y344" s="70"/>
      <c r="Z344" s="70"/>
      <c r="AA344" s="71"/>
      <c r="AB344" s="70"/>
      <c r="AC344" s="70"/>
      <c r="AH344" s="190">
        <v>0</v>
      </c>
      <c r="AM344" s="18"/>
      <c r="AN344" s="18"/>
      <c r="AO344" s="18"/>
    </row>
    <row r="345" spans="2:41" x14ac:dyDescent="0.2">
      <c r="B345" s="91" t="s">
        <v>465</v>
      </c>
      <c r="E345"/>
      <c r="F345"/>
      <c r="G345"/>
      <c r="H345"/>
      <c r="I345" s="1"/>
      <c r="J345" s="139"/>
      <c r="K345" s="139"/>
      <c r="L345" s="139">
        <v>1</v>
      </c>
      <c r="M345" s="139">
        <v>1</v>
      </c>
      <c r="N345" s="139">
        <v>4</v>
      </c>
      <c r="O345" s="190">
        <v>1</v>
      </c>
      <c r="S345" s="318">
        <v>0.67</v>
      </c>
      <c r="W345" s="227"/>
      <c r="X345" s="71"/>
      <c r="Y345" s="70"/>
      <c r="Z345" s="70"/>
      <c r="AA345" s="71"/>
      <c r="AB345" s="70"/>
      <c r="AC345" s="70"/>
      <c r="AH345" s="190">
        <v>0</v>
      </c>
      <c r="AM345" s="18"/>
      <c r="AN345" s="18"/>
      <c r="AO345" s="18"/>
    </row>
    <row r="346" spans="2:41" x14ac:dyDescent="0.2">
      <c r="B346" s="91" t="s">
        <v>466</v>
      </c>
      <c r="E346"/>
      <c r="F346"/>
      <c r="G346"/>
      <c r="H346"/>
      <c r="I346" s="1"/>
      <c r="J346" s="139"/>
      <c r="K346" s="139"/>
      <c r="L346" s="139"/>
      <c r="O346" s="190">
        <v>1</v>
      </c>
      <c r="S346" s="318" t="s">
        <v>27</v>
      </c>
      <c r="W346" s="227"/>
      <c r="X346" s="71"/>
      <c r="Y346" s="70"/>
      <c r="Z346" s="70"/>
      <c r="AA346" s="71"/>
      <c r="AB346" s="70"/>
      <c r="AC346" s="70"/>
      <c r="AH346" s="190">
        <v>0</v>
      </c>
      <c r="AM346" s="18"/>
      <c r="AN346" s="18"/>
      <c r="AO346" s="18"/>
    </row>
    <row r="347" spans="2:41" x14ac:dyDescent="0.2">
      <c r="B347" s="91" t="s">
        <v>467</v>
      </c>
      <c r="E347"/>
      <c r="F347"/>
      <c r="G347"/>
      <c r="H347"/>
      <c r="I347" s="1"/>
      <c r="J347" s="139"/>
      <c r="K347" s="139"/>
      <c r="L347" s="139"/>
      <c r="O347" s="190">
        <v>0</v>
      </c>
      <c r="W347" s="227"/>
      <c r="X347" s="71"/>
      <c r="Y347" s="70"/>
      <c r="Z347" s="70"/>
      <c r="AA347" s="71"/>
      <c r="AB347" s="70"/>
      <c r="AC347" s="70"/>
      <c r="AH347" s="190">
        <v>0</v>
      </c>
      <c r="AM347" s="18"/>
      <c r="AN347" s="18"/>
      <c r="AO347" s="18"/>
    </row>
    <row r="348" spans="2:41" x14ac:dyDescent="0.2">
      <c r="B348" s="91" t="s">
        <v>468</v>
      </c>
      <c r="E348"/>
      <c r="F348"/>
      <c r="G348"/>
      <c r="H348"/>
      <c r="I348" s="1"/>
      <c r="J348" s="139"/>
      <c r="K348" s="139"/>
      <c r="L348" s="139"/>
      <c r="O348" s="190">
        <v>0</v>
      </c>
      <c r="W348" s="227"/>
      <c r="X348" s="71"/>
      <c r="Y348" s="70"/>
      <c r="Z348" s="70"/>
      <c r="AA348" s="71"/>
      <c r="AB348" s="70"/>
      <c r="AC348" s="70"/>
      <c r="AH348" s="190">
        <v>0</v>
      </c>
      <c r="AM348" s="18"/>
      <c r="AN348" s="18"/>
      <c r="AO348" s="18"/>
    </row>
    <row r="349" spans="2:41" x14ac:dyDescent="0.2">
      <c r="B349" s="91" t="s">
        <v>469</v>
      </c>
      <c r="E349"/>
      <c r="F349"/>
      <c r="G349"/>
      <c r="H349"/>
      <c r="I349" s="1"/>
      <c r="J349" s="139"/>
      <c r="K349" s="139"/>
      <c r="L349" s="139">
        <v>1</v>
      </c>
      <c r="M349" s="139">
        <v>0</v>
      </c>
      <c r="N349" s="139">
        <v>3</v>
      </c>
      <c r="O349" s="190">
        <v>0</v>
      </c>
      <c r="S349" s="318">
        <v>0</v>
      </c>
      <c r="W349" s="227"/>
      <c r="X349" s="71"/>
      <c r="Y349" s="70"/>
      <c r="Z349" s="70"/>
      <c r="AA349" s="71"/>
      <c r="AB349" s="70"/>
      <c r="AC349" s="70"/>
      <c r="AH349" s="192">
        <v>0</v>
      </c>
      <c r="AM349" s="18"/>
      <c r="AN349" s="18"/>
      <c r="AO349" s="18"/>
    </row>
    <row r="350" spans="2:41" x14ac:dyDescent="0.2">
      <c r="B350" s="91" t="s">
        <v>470</v>
      </c>
      <c r="E350"/>
      <c r="F350"/>
      <c r="G350"/>
      <c r="H350"/>
      <c r="I350" s="1"/>
      <c r="J350" s="139"/>
      <c r="K350" s="139"/>
      <c r="L350" s="139"/>
      <c r="O350" s="190">
        <v>0</v>
      </c>
      <c r="W350" s="227"/>
      <c r="X350" s="71"/>
      <c r="Y350" s="70"/>
      <c r="Z350" s="70"/>
      <c r="AA350" s="71"/>
      <c r="AB350" s="70"/>
      <c r="AC350" s="70"/>
      <c r="AH350" s="192">
        <v>0</v>
      </c>
      <c r="AM350" s="18"/>
      <c r="AN350" s="18"/>
      <c r="AO350" s="18"/>
    </row>
    <row r="351" spans="2:41" x14ac:dyDescent="0.2">
      <c r="B351" s="91" t="s">
        <v>471</v>
      </c>
      <c r="E351"/>
      <c r="F351"/>
      <c r="G351"/>
      <c r="H351"/>
      <c r="I351" s="1"/>
      <c r="J351" s="139"/>
      <c r="K351" s="139"/>
      <c r="L351" s="139"/>
      <c r="O351" s="190">
        <v>0</v>
      </c>
      <c r="W351" s="227"/>
      <c r="X351" s="71"/>
      <c r="Y351" s="70"/>
      <c r="Z351" s="70"/>
      <c r="AA351" s="71"/>
      <c r="AB351" s="70"/>
      <c r="AC351" s="70"/>
      <c r="AH351" s="192">
        <v>0</v>
      </c>
      <c r="AM351" s="18"/>
      <c r="AN351" s="18"/>
      <c r="AO351" s="18"/>
    </row>
    <row r="352" spans="2:41" x14ac:dyDescent="0.2">
      <c r="B352" s="91" t="s">
        <v>472</v>
      </c>
      <c r="E352"/>
      <c r="F352"/>
      <c r="G352"/>
      <c r="H352"/>
      <c r="I352" s="1"/>
      <c r="J352" s="139"/>
      <c r="K352" s="139"/>
      <c r="L352" s="139">
        <v>1</v>
      </c>
      <c r="M352" s="139">
        <v>0</v>
      </c>
      <c r="N352" s="139">
        <v>9</v>
      </c>
      <c r="O352" s="190">
        <v>0</v>
      </c>
      <c r="S352" s="318">
        <v>0</v>
      </c>
      <c r="W352" s="227"/>
      <c r="X352" s="71"/>
      <c r="Y352" s="70"/>
      <c r="Z352" s="70"/>
      <c r="AA352" s="71"/>
      <c r="AB352" s="70"/>
      <c r="AC352" s="70"/>
      <c r="AH352" s="192">
        <v>0</v>
      </c>
      <c r="AM352" s="18"/>
      <c r="AN352" s="18"/>
      <c r="AO352" s="18"/>
    </row>
    <row r="353" spans="2:41" x14ac:dyDescent="0.2">
      <c r="B353" s="91" t="s">
        <v>473</v>
      </c>
      <c r="E353"/>
      <c r="F353"/>
      <c r="G353"/>
      <c r="H353"/>
      <c r="I353" s="1"/>
      <c r="J353" s="139"/>
      <c r="K353" s="139"/>
      <c r="L353" s="139"/>
      <c r="O353" s="190">
        <v>0</v>
      </c>
      <c r="W353" s="227"/>
      <c r="X353" s="71"/>
      <c r="Y353" s="70"/>
      <c r="Z353" s="70"/>
      <c r="AA353" s="71"/>
      <c r="AB353" s="70"/>
      <c r="AC353" s="70"/>
      <c r="AH353" s="192">
        <v>0</v>
      </c>
      <c r="AM353" s="18"/>
      <c r="AN353" s="18"/>
      <c r="AO353" s="18"/>
    </row>
    <row r="354" spans="2:41" x14ac:dyDescent="0.2">
      <c r="B354" s="91" t="s">
        <v>474</v>
      </c>
      <c r="E354"/>
      <c r="F354"/>
      <c r="G354"/>
      <c r="H354"/>
      <c r="I354" s="1"/>
      <c r="J354" s="139"/>
      <c r="K354" s="139"/>
      <c r="L354" s="139"/>
      <c r="O354" s="190">
        <v>0</v>
      </c>
      <c r="W354" s="227"/>
      <c r="X354" s="71"/>
      <c r="Y354" s="70"/>
      <c r="Z354" s="70"/>
      <c r="AA354" s="71"/>
      <c r="AB354" s="70"/>
      <c r="AC354" s="70"/>
      <c r="AH354" s="192">
        <v>0</v>
      </c>
      <c r="AM354" s="18"/>
      <c r="AN354" s="18"/>
      <c r="AO354" s="18"/>
    </row>
    <row r="355" spans="2:41" x14ac:dyDescent="0.2">
      <c r="B355" s="91" t="s">
        <v>475</v>
      </c>
      <c r="E355"/>
      <c r="F355"/>
      <c r="G355"/>
      <c r="H355"/>
      <c r="I355" s="1"/>
      <c r="J355" s="139"/>
      <c r="K355" s="139"/>
      <c r="L355" s="139"/>
      <c r="O355" s="190">
        <v>0</v>
      </c>
      <c r="W355" s="227"/>
      <c r="X355" s="71"/>
      <c r="Y355" s="70"/>
      <c r="Z355" s="70"/>
      <c r="AA355" s="71"/>
      <c r="AB355" s="70"/>
      <c r="AC355" s="70"/>
      <c r="AH355" s="192">
        <v>0</v>
      </c>
      <c r="AM355" s="18"/>
      <c r="AN355" s="18"/>
      <c r="AO355" s="18"/>
    </row>
    <row r="356" spans="2:41" x14ac:dyDescent="0.2">
      <c r="B356" s="91" t="s">
        <v>476</v>
      </c>
      <c r="E356"/>
      <c r="F356"/>
      <c r="G356"/>
      <c r="H356"/>
      <c r="I356" s="1"/>
      <c r="J356" s="139"/>
      <c r="K356" s="139"/>
      <c r="L356" s="139"/>
      <c r="O356" s="190">
        <v>0</v>
      </c>
      <c r="S356" s="318" t="s">
        <v>27</v>
      </c>
      <c r="W356" s="227"/>
      <c r="X356" s="71"/>
      <c r="Y356" s="70"/>
      <c r="Z356" s="70"/>
      <c r="AA356" s="71"/>
      <c r="AB356" s="70"/>
      <c r="AC356" s="70"/>
      <c r="AH356" s="192">
        <v>1</v>
      </c>
      <c r="AM356" s="18"/>
      <c r="AN356" s="18"/>
      <c r="AO356" s="18"/>
    </row>
    <row r="357" spans="2:41" x14ac:dyDescent="0.2">
      <c r="B357" s="91" t="s">
        <v>477</v>
      </c>
      <c r="E357"/>
      <c r="F357"/>
      <c r="G357"/>
      <c r="H357"/>
      <c r="I357" s="1"/>
      <c r="J357" s="139"/>
      <c r="K357" s="139"/>
      <c r="L357" s="139"/>
      <c r="O357" s="190">
        <v>0</v>
      </c>
      <c r="S357" s="318" t="s">
        <v>27</v>
      </c>
      <c r="W357" s="227"/>
      <c r="X357" s="71"/>
      <c r="Y357" s="70"/>
      <c r="Z357" s="70"/>
      <c r="AA357" s="71"/>
      <c r="AB357" s="70"/>
      <c r="AC357" s="70"/>
      <c r="AH357" s="192">
        <v>0</v>
      </c>
      <c r="AM357" s="18"/>
      <c r="AN357" s="18"/>
      <c r="AO357" s="18"/>
    </row>
    <row r="358" spans="2:41" x14ac:dyDescent="0.2">
      <c r="B358" s="91" t="s">
        <v>478</v>
      </c>
      <c r="E358"/>
      <c r="F358"/>
      <c r="G358"/>
      <c r="H358"/>
      <c r="I358" s="1"/>
      <c r="J358" s="139"/>
      <c r="K358" s="139"/>
      <c r="L358" s="139"/>
      <c r="O358" s="190">
        <v>0</v>
      </c>
      <c r="S358" s="318" t="s">
        <v>27</v>
      </c>
      <c r="W358" s="227"/>
      <c r="X358" s="71"/>
      <c r="Y358" s="70"/>
      <c r="Z358" s="70"/>
      <c r="AA358" s="71"/>
      <c r="AB358" s="70"/>
      <c r="AC358" s="70"/>
      <c r="AH358" s="192">
        <v>0</v>
      </c>
      <c r="AM358" s="18"/>
      <c r="AN358" s="18"/>
      <c r="AO358" s="18"/>
    </row>
    <row r="359" spans="2:41" x14ac:dyDescent="0.2">
      <c r="B359" s="91" t="s">
        <v>479</v>
      </c>
      <c r="E359"/>
      <c r="F359"/>
      <c r="G359"/>
      <c r="H359"/>
      <c r="I359" s="1"/>
      <c r="J359" s="139"/>
      <c r="K359" s="139"/>
      <c r="L359" s="139"/>
      <c r="O359" s="190">
        <v>0</v>
      </c>
      <c r="S359" s="318" t="s">
        <v>27</v>
      </c>
      <c r="W359" s="227"/>
      <c r="X359" s="71"/>
      <c r="Y359" s="70"/>
      <c r="Z359" s="70"/>
      <c r="AA359" s="71"/>
      <c r="AB359" s="70"/>
      <c r="AC359" s="70"/>
      <c r="AH359" s="192">
        <v>1</v>
      </c>
      <c r="AM359" s="18"/>
      <c r="AN359" s="18"/>
      <c r="AO359" s="18"/>
    </row>
    <row r="360" spans="2:41" x14ac:dyDescent="0.2">
      <c r="B360" s="91" t="s">
        <v>480</v>
      </c>
      <c r="E360"/>
      <c r="F360"/>
      <c r="G360"/>
      <c r="H360"/>
      <c r="I360" s="1"/>
      <c r="J360" s="139"/>
      <c r="K360" s="139"/>
      <c r="L360" s="139"/>
      <c r="O360" s="190">
        <v>0</v>
      </c>
      <c r="W360" s="227"/>
      <c r="X360" s="71"/>
      <c r="Y360" s="70"/>
      <c r="Z360" s="70"/>
      <c r="AA360" s="71"/>
      <c r="AB360" s="70"/>
      <c r="AC360" s="70"/>
      <c r="AH360" s="192">
        <v>1</v>
      </c>
      <c r="AM360" s="18"/>
      <c r="AN360" s="18"/>
      <c r="AO360" s="18"/>
    </row>
    <row r="361" spans="2:41" x14ac:dyDescent="0.2">
      <c r="B361" s="91" t="s">
        <v>481</v>
      </c>
      <c r="E361"/>
      <c r="F361"/>
      <c r="G361"/>
      <c r="H361"/>
      <c r="I361" s="1"/>
      <c r="J361" s="139"/>
      <c r="K361" s="139"/>
      <c r="L361" s="139">
        <v>1</v>
      </c>
      <c r="M361" s="139">
        <v>0</v>
      </c>
      <c r="N361" s="139">
        <v>2</v>
      </c>
      <c r="O361" s="190">
        <v>0</v>
      </c>
      <c r="S361" s="318">
        <v>0</v>
      </c>
      <c r="W361" s="227"/>
      <c r="X361" s="71"/>
      <c r="Y361" s="70"/>
      <c r="Z361" s="70"/>
      <c r="AA361" s="71"/>
      <c r="AB361" s="70"/>
      <c r="AC361" s="70"/>
      <c r="AH361" s="192">
        <v>1</v>
      </c>
      <c r="AM361" s="18"/>
      <c r="AN361" s="18"/>
      <c r="AO361" s="18"/>
    </row>
    <row r="362" spans="2:41" x14ac:dyDescent="0.2">
      <c r="B362" s="91" t="s">
        <v>482</v>
      </c>
      <c r="E362"/>
      <c r="F362"/>
      <c r="G362"/>
      <c r="H362"/>
      <c r="I362" s="1"/>
      <c r="J362" s="139"/>
      <c r="K362" s="139"/>
      <c r="L362" s="139"/>
      <c r="O362" s="190">
        <v>0</v>
      </c>
      <c r="S362" s="318" t="s">
        <v>27</v>
      </c>
      <c r="W362" s="227"/>
      <c r="X362" s="71"/>
      <c r="Y362" s="70"/>
      <c r="Z362" s="70"/>
      <c r="AA362" s="71"/>
      <c r="AB362" s="70"/>
      <c r="AC362" s="70"/>
      <c r="AH362" s="192">
        <v>0</v>
      </c>
      <c r="AM362" s="18"/>
      <c r="AN362" s="18"/>
      <c r="AO362" s="18"/>
    </row>
    <row r="363" spans="2:41" x14ac:dyDescent="0.2">
      <c r="B363" s="91" t="s">
        <v>483</v>
      </c>
      <c r="E363"/>
      <c r="F363"/>
      <c r="G363"/>
      <c r="H363"/>
      <c r="I363" s="1"/>
      <c r="J363" s="139"/>
      <c r="K363" s="139"/>
      <c r="L363" s="139">
        <v>1</v>
      </c>
      <c r="M363" s="139">
        <v>0</v>
      </c>
      <c r="N363" s="139">
        <v>3</v>
      </c>
      <c r="O363" s="190">
        <v>0</v>
      </c>
      <c r="S363" s="318">
        <v>0</v>
      </c>
      <c r="W363" s="227"/>
      <c r="X363" s="71"/>
      <c r="Y363" s="70"/>
      <c r="Z363" s="70"/>
      <c r="AA363" s="71"/>
      <c r="AB363" s="70"/>
      <c r="AC363" s="70"/>
      <c r="AH363" s="192">
        <v>0</v>
      </c>
      <c r="AM363" s="18"/>
      <c r="AN363" s="18"/>
      <c r="AO363" s="18"/>
    </row>
    <row r="364" spans="2:41" x14ac:dyDescent="0.2">
      <c r="B364" s="91" t="s">
        <v>484</v>
      </c>
      <c r="E364"/>
      <c r="F364"/>
      <c r="G364"/>
      <c r="H364"/>
      <c r="I364" s="1"/>
      <c r="J364" s="139"/>
      <c r="K364" s="139"/>
      <c r="L364" s="139"/>
      <c r="O364" s="190">
        <v>0</v>
      </c>
      <c r="W364" s="227"/>
      <c r="X364" s="71"/>
      <c r="Y364" s="70"/>
      <c r="Z364" s="70"/>
      <c r="AA364" s="71"/>
      <c r="AB364" s="70"/>
      <c r="AC364" s="70"/>
      <c r="AH364" s="192">
        <v>0</v>
      </c>
      <c r="AM364" s="18"/>
      <c r="AN364" s="18"/>
      <c r="AO364" s="18"/>
    </row>
    <row r="365" spans="2:41" x14ac:dyDescent="0.2">
      <c r="B365" s="91" t="s">
        <v>485</v>
      </c>
      <c r="E365"/>
      <c r="F365"/>
      <c r="G365"/>
      <c r="H365"/>
      <c r="I365" s="1"/>
      <c r="J365" s="139"/>
      <c r="K365" s="139"/>
      <c r="L365" s="139"/>
      <c r="O365" s="190">
        <v>0</v>
      </c>
      <c r="W365" s="227"/>
      <c r="X365" s="71"/>
      <c r="Y365" s="70"/>
      <c r="Z365" s="70"/>
      <c r="AA365" s="71"/>
      <c r="AB365" s="70"/>
      <c r="AC365" s="70"/>
      <c r="AH365" s="190">
        <v>0</v>
      </c>
      <c r="AM365" s="18"/>
      <c r="AN365" s="18"/>
      <c r="AO365" s="18"/>
    </row>
    <row r="366" spans="2:41" x14ac:dyDescent="0.2">
      <c r="B366" s="91" t="s">
        <v>486</v>
      </c>
      <c r="E366"/>
      <c r="F366"/>
      <c r="G366"/>
      <c r="H366"/>
      <c r="I366" s="55"/>
      <c r="J366" s="139"/>
      <c r="K366" s="139"/>
      <c r="L366" s="139">
        <v>1</v>
      </c>
      <c r="M366" s="139">
        <v>0</v>
      </c>
      <c r="N366" s="139">
        <v>4</v>
      </c>
      <c r="O366" s="190">
        <v>0</v>
      </c>
      <c r="S366" s="318">
        <v>0</v>
      </c>
      <c r="W366" s="227"/>
      <c r="X366" s="56"/>
      <c r="Y366" s="57"/>
      <c r="Z366" s="57"/>
      <c r="AA366" s="56"/>
      <c r="AB366" s="57"/>
      <c r="AC366" s="57"/>
      <c r="AH366" s="190">
        <v>0</v>
      </c>
      <c r="AM366" s="18"/>
      <c r="AN366" s="18"/>
      <c r="AO366" s="18"/>
    </row>
    <row r="367" spans="2:41" x14ac:dyDescent="0.2">
      <c r="B367" s="91" t="s">
        <v>487</v>
      </c>
      <c r="E367"/>
      <c r="F367"/>
      <c r="G367"/>
      <c r="H367"/>
      <c r="I367" s="1"/>
      <c r="J367" s="139"/>
      <c r="K367" s="139"/>
      <c r="L367" s="139"/>
      <c r="O367" s="190">
        <v>0</v>
      </c>
      <c r="W367" s="227"/>
      <c r="X367" s="71"/>
      <c r="Y367" s="70"/>
      <c r="Z367" s="70"/>
      <c r="AA367" s="71"/>
      <c r="AB367" s="70"/>
      <c r="AC367" s="70"/>
      <c r="AH367" s="190">
        <v>0</v>
      </c>
      <c r="AM367" s="18"/>
      <c r="AN367" s="18"/>
      <c r="AO367" s="18"/>
    </row>
    <row r="368" spans="2:41" x14ac:dyDescent="0.2">
      <c r="B368" s="91" t="s">
        <v>488</v>
      </c>
      <c r="E368"/>
      <c r="F368"/>
      <c r="G368" t="s">
        <v>489</v>
      </c>
      <c r="H368"/>
      <c r="I368" s="1"/>
      <c r="J368" s="139"/>
      <c r="K368" s="139"/>
      <c r="L368" s="139"/>
      <c r="O368" s="190">
        <v>0</v>
      </c>
      <c r="W368" s="227"/>
      <c r="X368" s="71"/>
      <c r="Y368" s="70"/>
      <c r="Z368" s="70"/>
      <c r="AA368" s="71"/>
      <c r="AB368" s="70"/>
      <c r="AC368" s="70"/>
      <c r="AH368" s="190">
        <v>0</v>
      </c>
      <c r="AM368" s="18"/>
      <c r="AN368" s="18"/>
      <c r="AO368" s="18"/>
    </row>
    <row r="369" spans="1:41" x14ac:dyDescent="0.2">
      <c r="B369" s="91" t="s">
        <v>490</v>
      </c>
      <c r="E369"/>
      <c r="F369"/>
      <c r="G369"/>
      <c r="H369"/>
      <c r="I369" s="1"/>
      <c r="J369" s="139"/>
      <c r="K369" s="139"/>
      <c r="L369" s="139"/>
      <c r="O369" s="190">
        <v>0</v>
      </c>
      <c r="W369" s="227"/>
      <c r="X369" s="71"/>
      <c r="Y369" s="70"/>
      <c r="Z369" s="70"/>
      <c r="AA369" s="71"/>
      <c r="AB369" s="70"/>
      <c r="AC369" s="70"/>
      <c r="AH369" s="190">
        <v>0</v>
      </c>
      <c r="AM369" s="18"/>
      <c r="AN369" s="18"/>
      <c r="AO369" s="18"/>
    </row>
    <row r="370" spans="1:41" x14ac:dyDescent="0.2">
      <c r="B370" s="91" t="s">
        <v>491</v>
      </c>
      <c r="E370"/>
      <c r="F370"/>
      <c r="G370"/>
      <c r="H370"/>
      <c r="I370" s="1"/>
      <c r="J370" s="139"/>
      <c r="K370" s="139"/>
      <c r="L370" s="139">
        <v>1</v>
      </c>
      <c r="M370" s="139">
        <v>1</v>
      </c>
      <c r="N370" s="139">
        <v>4</v>
      </c>
      <c r="O370" s="190">
        <v>0</v>
      </c>
      <c r="S370" s="318">
        <v>0.5</v>
      </c>
      <c r="W370" s="227"/>
      <c r="X370" s="71"/>
      <c r="Y370" s="70"/>
      <c r="Z370" s="70"/>
      <c r="AA370" s="71"/>
      <c r="AB370" s="70"/>
      <c r="AC370" s="70"/>
      <c r="AH370" s="190">
        <v>0</v>
      </c>
      <c r="AM370" s="18"/>
      <c r="AN370" s="18"/>
      <c r="AO370" s="18"/>
    </row>
    <row r="371" spans="1:41" x14ac:dyDescent="0.2">
      <c r="B371" s="91" t="s">
        <v>492</v>
      </c>
      <c r="E371"/>
      <c r="F371"/>
      <c r="G371"/>
      <c r="H371"/>
      <c r="I371" s="1"/>
      <c r="J371" s="139"/>
      <c r="K371" s="139"/>
      <c r="L371" s="139"/>
      <c r="O371" s="190">
        <v>0</v>
      </c>
      <c r="W371" s="227"/>
      <c r="X371" s="71"/>
      <c r="Y371" s="70"/>
      <c r="Z371" s="70"/>
      <c r="AA371" s="71"/>
      <c r="AB371" s="70"/>
      <c r="AC371" s="70"/>
      <c r="AH371" s="190">
        <v>0</v>
      </c>
      <c r="AM371" s="18"/>
      <c r="AN371" s="18"/>
      <c r="AO371" s="18"/>
    </row>
    <row r="372" spans="1:41" x14ac:dyDescent="0.2">
      <c r="B372" s="91" t="s">
        <v>493</v>
      </c>
      <c r="E372"/>
      <c r="F372"/>
      <c r="G372"/>
      <c r="H372"/>
      <c r="I372" s="1"/>
      <c r="J372" s="139"/>
      <c r="K372" s="139"/>
      <c r="L372" s="139"/>
      <c r="O372" s="190">
        <v>1</v>
      </c>
      <c r="W372" s="227"/>
      <c r="X372" s="71"/>
      <c r="Y372" s="70"/>
      <c r="Z372" s="70"/>
      <c r="AA372" s="71"/>
      <c r="AB372" s="70"/>
      <c r="AC372" s="70"/>
      <c r="AH372" s="190">
        <v>0</v>
      </c>
      <c r="AM372" s="18"/>
      <c r="AN372" s="18"/>
      <c r="AO372" s="18"/>
    </row>
    <row r="373" spans="1:41" x14ac:dyDescent="0.2">
      <c r="B373" s="91" t="s">
        <v>494</v>
      </c>
      <c r="E373"/>
      <c r="F373"/>
      <c r="G373"/>
      <c r="H373"/>
      <c r="I373" s="1"/>
      <c r="J373" s="139"/>
      <c r="K373" s="139"/>
      <c r="L373" s="139"/>
      <c r="O373" s="190">
        <v>1</v>
      </c>
      <c r="W373" s="227"/>
      <c r="X373" s="71"/>
      <c r="Y373" s="70"/>
      <c r="Z373" s="70"/>
      <c r="AA373" s="71"/>
      <c r="AB373" s="70"/>
      <c r="AC373" s="70"/>
      <c r="AH373" s="192">
        <v>0</v>
      </c>
      <c r="AM373" s="18"/>
      <c r="AN373" s="18"/>
      <c r="AO373" s="18"/>
    </row>
    <row r="374" spans="1:41" x14ac:dyDescent="0.2">
      <c r="B374" s="91" t="s">
        <v>495</v>
      </c>
      <c r="E374"/>
      <c r="F374"/>
      <c r="G374"/>
      <c r="H374"/>
      <c r="I374" s="1"/>
      <c r="J374" s="139"/>
      <c r="K374" s="139"/>
      <c r="L374" s="139">
        <v>1</v>
      </c>
      <c r="M374" s="139">
        <v>0</v>
      </c>
      <c r="N374" s="139">
        <v>2</v>
      </c>
      <c r="O374" s="190">
        <v>0</v>
      </c>
      <c r="S374" s="318">
        <v>0</v>
      </c>
      <c r="W374" s="227"/>
      <c r="X374" s="71"/>
      <c r="Y374" s="70"/>
      <c r="Z374" s="70"/>
      <c r="AA374" s="71"/>
      <c r="AB374" s="70"/>
      <c r="AC374" s="70"/>
      <c r="AH374" s="190">
        <v>0</v>
      </c>
      <c r="AM374" s="18"/>
      <c r="AN374" s="18"/>
      <c r="AO374" s="18"/>
    </row>
    <row r="375" spans="1:41" x14ac:dyDescent="0.2">
      <c r="B375" s="91" t="s">
        <v>496</v>
      </c>
      <c r="E375"/>
      <c r="F375"/>
      <c r="G375"/>
      <c r="H375"/>
      <c r="I375" s="1"/>
      <c r="J375" s="139"/>
      <c r="K375" s="139"/>
      <c r="L375" s="139"/>
      <c r="O375" s="190">
        <v>0</v>
      </c>
      <c r="W375" s="227"/>
      <c r="X375" s="71"/>
      <c r="Y375" s="70"/>
      <c r="Z375" s="70"/>
      <c r="AA375" s="71"/>
      <c r="AB375" s="70"/>
      <c r="AC375" s="70"/>
      <c r="AH375" s="190">
        <v>0</v>
      </c>
      <c r="AM375" s="18"/>
      <c r="AN375" s="18"/>
      <c r="AO375" s="18"/>
    </row>
    <row r="376" spans="1:41" x14ac:dyDescent="0.2">
      <c r="B376" s="91" t="s">
        <v>497</v>
      </c>
      <c r="E376"/>
      <c r="F376"/>
      <c r="G376"/>
      <c r="H376"/>
      <c r="I376" s="1"/>
      <c r="J376" s="139"/>
      <c r="K376" s="139"/>
      <c r="L376" s="139">
        <v>1</v>
      </c>
      <c r="M376" s="139">
        <v>0</v>
      </c>
      <c r="N376" s="139">
        <v>3</v>
      </c>
      <c r="O376" s="190">
        <v>0</v>
      </c>
      <c r="S376" s="318">
        <v>0</v>
      </c>
      <c r="W376" s="227"/>
      <c r="X376" s="71"/>
      <c r="Y376" s="70"/>
      <c r="Z376" s="70"/>
      <c r="AA376" s="71"/>
      <c r="AB376" s="70"/>
      <c r="AC376" s="70"/>
      <c r="AH376" s="190">
        <v>0</v>
      </c>
      <c r="AM376" s="18"/>
      <c r="AN376" s="18"/>
      <c r="AO376" s="18"/>
    </row>
    <row r="377" spans="1:41" x14ac:dyDescent="0.2">
      <c r="B377" s="91" t="s">
        <v>498</v>
      </c>
      <c r="E377"/>
      <c r="F377"/>
      <c r="G377"/>
      <c r="H377"/>
      <c r="I377" s="1"/>
      <c r="J377" s="139"/>
      <c r="K377" s="139"/>
      <c r="L377" s="139"/>
      <c r="O377" s="190">
        <v>0</v>
      </c>
      <c r="W377" s="227"/>
      <c r="X377" s="71"/>
      <c r="Y377" s="70"/>
      <c r="Z377" s="70"/>
      <c r="AA377" s="71"/>
      <c r="AB377" s="70"/>
      <c r="AC377" s="70"/>
      <c r="AH377" s="190">
        <v>0</v>
      </c>
      <c r="AM377" s="18"/>
      <c r="AN377" s="18"/>
      <c r="AO377" s="18"/>
    </row>
    <row r="378" spans="1:41" x14ac:dyDescent="0.2">
      <c r="B378" s="91" t="s">
        <v>499</v>
      </c>
      <c r="E378"/>
      <c r="F378"/>
      <c r="G378"/>
      <c r="H378"/>
      <c r="I378" s="1"/>
      <c r="J378" s="139"/>
      <c r="K378" s="139"/>
      <c r="L378" s="139"/>
      <c r="O378" s="190">
        <v>0</v>
      </c>
      <c r="W378" s="227"/>
      <c r="X378" s="71"/>
      <c r="Y378" s="70"/>
      <c r="Z378" s="70"/>
      <c r="AA378" s="71"/>
      <c r="AB378" s="70"/>
      <c r="AC378" s="70"/>
      <c r="AH378" s="190">
        <v>0</v>
      </c>
      <c r="AM378" s="18"/>
      <c r="AN378" s="18"/>
      <c r="AO378" s="18"/>
    </row>
    <row r="379" spans="1:41" x14ac:dyDescent="0.2">
      <c r="B379" s="91" t="s">
        <v>500</v>
      </c>
      <c r="E379"/>
      <c r="F379"/>
      <c r="G379"/>
      <c r="H379"/>
      <c r="I379" s="1"/>
      <c r="J379" s="139"/>
      <c r="K379" s="139"/>
      <c r="L379" s="139">
        <v>1</v>
      </c>
      <c r="M379" s="139">
        <v>0</v>
      </c>
      <c r="N379" s="139">
        <v>2</v>
      </c>
      <c r="O379" s="190">
        <v>0</v>
      </c>
      <c r="S379" s="318">
        <v>0</v>
      </c>
      <c r="W379" s="227"/>
      <c r="X379" s="71"/>
      <c r="Y379" s="70"/>
      <c r="Z379" s="70"/>
      <c r="AA379" s="71"/>
      <c r="AB379" s="70"/>
      <c r="AC379" s="70"/>
      <c r="AH379" s="190">
        <v>0</v>
      </c>
      <c r="AM379" s="18"/>
      <c r="AN379" s="18"/>
      <c r="AO379" s="18"/>
    </row>
    <row r="380" spans="1:41" x14ac:dyDescent="0.2">
      <c r="B380" s="91" t="s">
        <v>501</v>
      </c>
      <c r="E380"/>
      <c r="F380"/>
      <c r="G380"/>
      <c r="H380"/>
      <c r="I380" s="1"/>
      <c r="J380" s="139"/>
      <c r="K380" s="139"/>
      <c r="L380" s="139"/>
      <c r="O380" s="190">
        <v>0</v>
      </c>
      <c r="W380" s="227"/>
      <c r="X380" s="71"/>
      <c r="Y380" s="70"/>
      <c r="Z380" s="70"/>
      <c r="AA380" s="71"/>
      <c r="AB380" s="70"/>
      <c r="AC380" s="70"/>
      <c r="AH380" s="190">
        <v>0</v>
      </c>
      <c r="AM380" s="18"/>
      <c r="AN380" s="18"/>
      <c r="AO380" s="18"/>
    </row>
    <row r="381" spans="1:41" x14ac:dyDescent="0.2">
      <c r="A381">
        <v>3</v>
      </c>
      <c r="B381" s="91" t="s">
        <v>502</v>
      </c>
      <c r="E381"/>
      <c r="F381"/>
      <c r="G381"/>
      <c r="H381"/>
      <c r="I381" s="1"/>
      <c r="J381" s="139"/>
      <c r="K381" s="139"/>
      <c r="L381" s="139">
        <v>1</v>
      </c>
      <c r="M381" s="139">
        <v>0</v>
      </c>
      <c r="N381" s="144">
        <v>3</v>
      </c>
      <c r="O381" s="190">
        <v>0</v>
      </c>
      <c r="S381" s="318">
        <v>0</v>
      </c>
      <c r="W381" s="227"/>
      <c r="X381" s="71"/>
      <c r="Y381" s="70"/>
      <c r="Z381" s="70"/>
      <c r="AA381" s="71"/>
      <c r="AB381" s="70"/>
      <c r="AC381" s="70"/>
      <c r="AH381" s="190">
        <v>0</v>
      </c>
      <c r="AM381" s="18"/>
      <c r="AN381" s="18"/>
      <c r="AO381" s="18"/>
    </row>
    <row r="382" spans="1:41" x14ac:dyDescent="0.2">
      <c r="B382" s="91" t="s">
        <v>503</v>
      </c>
      <c r="E382"/>
      <c r="F382"/>
      <c r="G382"/>
      <c r="H382"/>
      <c r="I382" s="1"/>
      <c r="J382" s="139"/>
      <c r="K382" s="139"/>
      <c r="L382" s="139"/>
      <c r="O382" s="190">
        <v>0</v>
      </c>
      <c r="S382" s="318" t="s">
        <v>27</v>
      </c>
      <c r="W382" s="227"/>
      <c r="X382" s="71"/>
      <c r="Y382" s="70"/>
      <c r="Z382" s="70"/>
      <c r="AA382" s="71"/>
      <c r="AB382" s="70"/>
      <c r="AC382" s="70"/>
      <c r="AH382" s="190">
        <v>0</v>
      </c>
      <c r="AM382" s="18"/>
      <c r="AN382" s="18"/>
      <c r="AO382" s="18"/>
    </row>
    <row r="383" spans="1:41" x14ac:dyDescent="0.2">
      <c r="B383" s="91" t="s">
        <v>504</v>
      </c>
      <c r="E383"/>
      <c r="F383"/>
      <c r="G383"/>
      <c r="H383"/>
      <c r="I383" s="1"/>
      <c r="J383" s="139"/>
      <c r="K383" s="139"/>
      <c r="L383" s="139"/>
      <c r="O383" s="190">
        <v>0</v>
      </c>
      <c r="W383" s="227"/>
      <c r="X383" s="71"/>
      <c r="Y383" s="70"/>
      <c r="Z383" s="70"/>
      <c r="AA383" s="71"/>
      <c r="AB383" s="70"/>
      <c r="AC383" s="70"/>
      <c r="AH383" s="192">
        <v>0</v>
      </c>
      <c r="AM383" s="18"/>
      <c r="AN383" s="18"/>
      <c r="AO383" s="18"/>
    </row>
    <row r="384" spans="1:41" s="572" customFormat="1" x14ac:dyDescent="0.2">
      <c r="B384" s="572" t="s">
        <v>505</v>
      </c>
      <c r="C384" s="572" t="s">
        <v>459</v>
      </c>
      <c r="D384" s="572" t="s">
        <v>459</v>
      </c>
      <c r="E384" s="572" t="s">
        <v>459</v>
      </c>
      <c r="F384" s="572" t="s">
        <v>459</v>
      </c>
      <c r="I384" s="567"/>
      <c r="J384" s="573"/>
      <c r="K384" s="573"/>
      <c r="L384" s="573"/>
      <c r="M384" s="573"/>
      <c r="N384" s="573"/>
      <c r="O384" s="573" t="s">
        <v>27</v>
      </c>
      <c r="P384" s="573"/>
      <c r="Q384" s="573"/>
      <c r="R384" s="573"/>
      <c r="S384" s="571"/>
      <c r="T384" s="571"/>
      <c r="U384" s="571"/>
      <c r="V384" s="571"/>
      <c r="W384" s="564"/>
      <c r="X384" s="574"/>
      <c r="Y384" s="575"/>
      <c r="Z384" s="575"/>
      <c r="AA384" s="574"/>
      <c r="AB384" s="575"/>
      <c r="AC384" s="575"/>
      <c r="AH384" s="565">
        <v>0</v>
      </c>
      <c r="AJ384" s="576">
        <v>1</v>
      </c>
      <c r="AK384" s="576"/>
      <c r="AL384" s="576">
        <v>1</v>
      </c>
      <c r="AM384" s="577"/>
      <c r="AN384" s="577"/>
      <c r="AO384" s="577"/>
    </row>
    <row r="385" spans="1:41" s="572" customFormat="1" x14ac:dyDescent="0.2">
      <c r="B385" s="572" t="s">
        <v>506</v>
      </c>
      <c r="C385" s="572" t="s">
        <v>459</v>
      </c>
      <c r="D385" s="572" t="s">
        <v>459</v>
      </c>
      <c r="E385" s="572" t="s">
        <v>459</v>
      </c>
      <c r="F385" s="572" t="s">
        <v>459</v>
      </c>
      <c r="I385" s="567"/>
      <c r="J385" s="573"/>
      <c r="K385" s="573"/>
      <c r="L385" s="573"/>
      <c r="M385" s="573"/>
      <c r="N385" s="573"/>
      <c r="O385" s="573" t="s">
        <v>27</v>
      </c>
      <c r="P385" s="573"/>
      <c r="Q385" s="573"/>
      <c r="R385" s="573"/>
      <c r="S385" s="571" t="s">
        <v>27</v>
      </c>
      <c r="T385" s="571"/>
      <c r="U385" s="571"/>
      <c r="V385" s="571"/>
      <c r="W385" s="564"/>
      <c r="X385" s="574"/>
      <c r="Y385" s="575"/>
      <c r="Z385" s="575"/>
      <c r="AA385" s="574"/>
      <c r="AB385" s="575"/>
      <c r="AC385" s="575"/>
      <c r="AH385" s="565">
        <v>0</v>
      </c>
      <c r="AJ385" s="576">
        <v>1</v>
      </c>
      <c r="AK385" s="576"/>
      <c r="AL385" s="576">
        <v>0</v>
      </c>
      <c r="AM385" s="577"/>
      <c r="AN385" s="577"/>
      <c r="AO385" s="577"/>
    </row>
    <row r="386" spans="1:41" s="572" customFormat="1" x14ac:dyDescent="0.2">
      <c r="B386" s="572" t="s">
        <v>507</v>
      </c>
      <c r="I386" s="567"/>
      <c r="J386" s="573"/>
      <c r="K386" s="573"/>
      <c r="L386" s="573"/>
      <c r="M386" s="573"/>
      <c r="N386" s="573"/>
      <c r="O386" s="573" t="s">
        <v>27</v>
      </c>
      <c r="P386" s="573"/>
      <c r="Q386" s="573"/>
      <c r="R386" s="573"/>
      <c r="S386" s="571"/>
      <c r="T386" s="571"/>
      <c r="U386" s="571"/>
      <c r="V386" s="571"/>
      <c r="W386" s="564"/>
      <c r="X386" s="574"/>
      <c r="Y386" s="575"/>
      <c r="Z386" s="575"/>
      <c r="AA386" s="574"/>
      <c r="AB386" s="575"/>
      <c r="AC386" s="575"/>
      <c r="AH386" s="565">
        <v>0</v>
      </c>
      <c r="AJ386" s="576">
        <v>1</v>
      </c>
      <c r="AK386" s="576"/>
      <c r="AL386" s="576">
        <v>0</v>
      </c>
      <c r="AM386" s="577"/>
      <c r="AN386" s="577"/>
      <c r="AO386" s="577"/>
    </row>
    <row r="387" spans="1:41" s="572" customFormat="1" x14ac:dyDescent="0.2">
      <c r="B387" s="572" t="s">
        <v>508</v>
      </c>
      <c r="I387" s="567"/>
      <c r="J387" s="573"/>
      <c r="K387" s="573"/>
      <c r="L387" s="573"/>
      <c r="M387" s="573"/>
      <c r="N387" s="573"/>
      <c r="O387" s="573" t="s">
        <v>27</v>
      </c>
      <c r="P387" s="573"/>
      <c r="Q387" s="573"/>
      <c r="R387" s="573"/>
      <c r="S387" s="571"/>
      <c r="T387" s="571"/>
      <c r="U387" s="571"/>
      <c r="V387" s="571"/>
      <c r="W387" s="564"/>
      <c r="X387" s="574"/>
      <c r="Y387" s="575"/>
      <c r="Z387" s="575"/>
      <c r="AA387" s="574"/>
      <c r="AB387" s="575"/>
      <c r="AC387" s="575"/>
      <c r="AH387" s="565">
        <v>0</v>
      </c>
      <c r="AJ387" s="576">
        <v>1</v>
      </c>
      <c r="AK387" s="576"/>
      <c r="AL387" s="576">
        <v>0</v>
      </c>
      <c r="AM387" s="577"/>
      <c r="AN387" s="577"/>
      <c r="AO387" s="577"/>
    </row>
    <row r="388" spans="1:41" s="561" customFormat="1" x14ac:dyDescent="0.2">
      <c r="A388" s="206"/>
      <c r="B388" s="561" t="s">
        <v>509</v>
      </c>
      <c r="I388" s="567"/>
      <c r="J388" s="562"/>
      <c r="K388" s="562"/>
      <c r="L388" s="562"/>
      <c r="M388" s="562"/>
      <c r="N388" s="562"/>
      <c r="O388" s="562"/>
      <c r="P388" s="562"/>
      <c r="Q388" s="562"/>
      <c r="R388" s="562"/>
      <c r="S388" s="571" t="s">
        <v>27</v>
      </c>
      <c r="T388" s="571"/>
      <c r="U388" s="571"/>
      <c r="V388" s="571"/>
      <c r="W388" s="564"/>
      <c r="X388" s="574"/>
      <c r="Y388" s="575"/>
      <c r="Z388" s="575"/>
      <c r="AA388" s="574"/>
      <c r="AB388" s="575"/>
      <c r="AC388" s="575"/>
      <c r="AH388" s="565">
        <v>0</v>
      </c>
      <c r="AJ388" s="47">
        <v>1</v>
      </c>
      <c r="AK388" s="47" t="s">
        <v>27</v>
      </c>
      <c r="AL388" s="47">
        <v>0</v>
      </c>
      <c r="AM388" s="567"/>
      <c r="AN388" s="567"/>
      <c r="AO388" s="567"/>
    </row>
    <row r="389" spans="1:41" s="561" customFormat="1" x14ac:dyDescent="0.2">
      <c r="A389" s="206"/>
      <c r="B389" s="561" t="s">
        <v>510</v>
      </c>
      <c r="I389" s="567"/>
      <c r="J389" s="562"/>
      <c r="K389" s="562"/>
      <c r="L389" s="562"/>
      <c r="M389" s="562"/>
      <c r="N389" s="562"/>
      <c r="O389" s="562"/>
      <c r="P389" s="562"/>
      <c r="Q389" s="562"/>
      <c r="R389" s="562"/>
      <c r="S389" s="571"/>
      <c r="T389" s="571"/>
      <c r="U389" s="571"/>
      <c r="V389" s="571"/>
      <c r="W389" s="564"/>
      <c r="X389" s="574"/>
      <c r="Y389" s="575"/>
      <c r="Z389" s="575"/>
      <c r="AA389" s="574"/>
      <c r="AB389" s="575"/>
      <c r="AC389" s="575"/>
      <c r="AH389" s="565">
        <v>0</v>
      </c>
      <c r="AJ389" s="47">
        <v>1</v>
      </c>
      <c r="AK389" s="47"/>
      <c r="AL389" s="47">
        <v>0</v>
      </c>
      <c r="AM389" s="567"/>
      <c r="AN389" s="567"/>
      <c r="AO389" s="567"/>
    </row>
    <row r="390" spans="1:41" s="561" customFormat="1" x14ac:dyDescent="0.2">
      <c r="A390" s="206"/>
      <c r="B390" s="561" t="s">
        <v>511</v>
      </c>
      <c r="I390" s="567"/>
      <c r="J390" s="562"/>
      <c r="K390" s="562"/>
      <c r="L390" s="562"/>
      <c r="M390" s="562"/>
      <c r="N390" s="562"/>
      <c r="O390" s="562"/>
      <c r="P390" s="562"/>
      <c r="Q390" s="562"/>
      <c r="R390" s="562"/>
      <c r="S390" s="571"/>
      <c r="T390" s="571"/>
      <c r="U390" s="571"/>
      <c r="V390" s="571"/>
      <c r="W390" s="564"/>
      <c r="X390" s="574"/>
      <c r="Y390" s="575"/>
      <c r="Z390" s="575"/>
      <c r="AA390" s="574"/>
      <c r="AB390" s="575"/>
      <c r="AC390" s="575"/>
      <c r="AH390" s="565">
        <v>0</v>
      </c>
      <c r="AJ390" s="47">
        <v>1</v>
      </c>
      <c r="AK390" s="47"/>
      <c r="AL390" s="47">
        <v>0</v>
      </c>
      <c r="AM390" s="567"/>
      <c r="AN390" s="567"/>
      <c r="AO390" s="567"/>
    </row>
    <row r="391" spans="1:41" s="280" customFormat="1" x14ac:dyDescent="0.2">
      <c r="A391" s="280" t="s">
        <v>37</v>
      </c>
      <c r="B391" s="280" t="s">
        <v>38</v>
      </c>
      <c r="I391" s="329"/>
      <c r="J391" s="320">
        <f>COUNT(A392:A400)</f>
        <v>2</v>
      </c>
      <c r="K391" s="321">
        <f>COUNTIF(K392:K400,1)/J391</f>
        <v>0.5</v>
      </c>
      <c r="L391" s="320">
        <f>SUM(L392:L400)</f>
        <v>3</v>
      </c>
      <c r="M391" s="321">
        <f>COUNTIF(M392:M400,1)/L391</f>
        <v>0.33333333333333331</v>
      </c>
      <c r="N391" s="320">
        <f>SUM(N392:N400)</f>
        <v>9</v>
      </c>
      <c r="O391" s="321">
        <f>COUNTIF(O392:O400,1)/N391</f>
        <v>0.1111111111111111</v>
      </c>
      <c r="P391" s="524">
        <f>AVERAGE(O392:O400)</f>
        <v>0.1111111111111111</v>
      </c>
      <c r="Q391" s="524">
        <f>_xlfn.STDEV.P(O392:O400)</f>
        <v>0.31426968052735443</v>
      </c>
      <c r="R391" s="525">
        <f>STDEV(O392:O400)/(SQRT(COUNT(O392:O400)))</f>
        <v>0.1111111111111111</v>
      </c>
      <c r="S391" s="374">
        <f>((N392*S392)+(N396*S396)+(N400*S400))/N391</f>
        <v>0.1111111111111111</v>
      </c>
      <c r="T391" s="374"/>
      <c r="U391" s="374">
        <f>_xlfn.STDEV.P(T392:T394)</f>
        <v>0.11785113019775792</v>
      </c>
      <c r="V391" s="374">
        <f>+V395</f>
        <v>8.3333333333333343E-2</v>
      </c>
      <c r="W391" s="330"/>
      <c r="X391" s="331"/>
      <c r="Y391" s="332"/>
      <c r="Z391" s="332"/>
      <c r="AA391" s="331"/>
      <c r="AB391" s="332"/>
      <c r="AC391" s="332"/>
      <c r="AH391" s="192">
        <v>0</v>
      </c>
      <c r="AJ391" s="333">
        <f>COUNT(AJ392:AJ427)</f>
        <v>27</v>
      </c>
      <c r="AK391" s="333"/>
      <c r="AL391" s="333"/>
    </row>
    <row r="392" spans="1:41" s="19" customFormat="1" x14ac:dyDescent="0.2">
      <c r="A392" s="19">
        <v>1</v>
      </c>
      <c r="B392" s="112" t="s">
        <v>512</v>
      </c>
      <c r="C392" s="19" t="s">
        <v>96</v>
      </c>
      <c r="D392" s="19">
        <v>5</v>
      </c>
      <c r="E392" s="19" t="s">
        <v>513</v>
      </c>
      <c r="G392" s="37" t="s">
        <v>126</v>
      </c>
      <c r="I392" s="1"/>
      <c r="J392" s="144"/>
      <c r="K392" s="144">
        <v>1</v>
      </c>
      <c r="L392" s="144">
        <v>1</v>
      </c>
      <c r="M392" s="144">
        <v>0</v>
      </c>
      <c r="N392" s="144">
        <v>4</v>
      </c>
      <c r="O392" s="192">
        <v>0</v>
      </c>
      <c r="P392" s="192"/>
      <c r="Q392" s="192"/>
      <c r="R392" s="192"/>
      <c r="S392" s="318">
        <v>0</v>
      </c>
      <c r="T392" s="318">
        <f>S392</f>
        <v>0</v>
      </c>
      <c r="U392" s="318"/>
      <c r="V392" s="318"/>
      <c r="W392" s="227"/>
      <c r="X392" s="71"/>
      <c r="Y392" s="70"/>
      <c r="Z392" s="70"/>
      <c r="AA392" s="71"/>
      <c r="AB392" s="70"/>
      <c r="AC392" s="70"/>
      <c r="AH392" s="192">
        <v>0</v>
      </c>
      <c r="AJ392" s="42"/>
      <c r="AK392" s="42"/>
      <c r="AL392" s="42"/>
    </row>
    <row r="393" spans="1:41" s="19" customFormat="1" x14ac:dyDescent="0.2">
      <c r="B393" s="112" t="s">
        <v>514</v>
      </c>
      <c r="C393" s="19" t="s">
        <v>96</v>
      </c>
      <c r="D393" s="19">
        <v>5</v>
      </c>
      <c r="E393" s="19" t="s">
        <v>513</v>
      </c>
      <c r="G393" s="37" t="s">
        <v>126</v>
      </c>
      <c r="I393" s="1"/>
      <c r="J393" s="144"/>
      <c r="K393" s="144"/>
      <c r="L393" s="144"/>
      <c r="M393" s="144"/>
      <c r="N393" s="144"/>
      <c r="O393" s="192">
        <v>0</v>
      </c>
      <c r="P393" s="192"/>
      <c r="Q393" s="192"/>
      <c r="R393" s="192"/>
      <c r="S393" s="318"/>
      <c r="T393" s="318">
        <f>S396</f>
        <v>0.25</v>
      </c>
      <c r="U393" s="318"/>
      <c r="V393" s="318"/>
      <c r="W393" s="227"/>
      <c r="X393" s="71"/>
      <c r="Y393" s="70"/>
      <c r="Z393" s="70"/>
      <c r="AA393" s="71"/>
      <c r="AB393" s="70"/>
      <c r="AC393" s="70"/>
      <c r="AH393" s="192">
        <v>0</v>
      </c>
      <c r="AJ393" s="42"/>
      <c r="AK393" s="42"/>
      <c r="AL393" s="42"/>
    </row>
    <row r="394" spans="1:41" s="19" customFormat="1" x14ac:dyDescent="0.2">
      <c r="B394" s="112" t="s">
        <v>515</v>
      </c>
      <c r="C394" s="19" t="s">
        <v>96</v>
      </c>
      <c r="D394" s="19">
        <v>5</v>
      </c>
      <c r="E394" s="19" t="s">
        <v>513</v>
      </c>
      <c r="G394" s="37" t="s">
        <v>126</v>
      </c>
      <c r="I394" s="1"/>
      <c r="J394" s="144"/>
      <c r="K394" s="144"/>
      <c r="L394" s="144"/>
      <c r="M394" s="144"/>
      <c r="N394" s="144"/>
      <c r="O394" s="192">
        <v>0</v>
      </c>
      <c r="P394" s="192"/>
      <c r="Q394" s="192"/>
      <c r="R394" s="192"/>
      <c r="S394" s="371"/>
      <c r="T394" s="371">
        <f>S400</f>
        <v>0</v>
      </c>
      <c r="U394" s="371"/>
      <c r="V394" s="371"/>
      <c r="W394" s="227"/>
      <c r="X394" s="71"/>
      <c r="Y394" s="70"/>
      <c r="Z394" s="70"/>
      <c r="AA394" s="71"/>
      <c r="AB394" s="70"/>
      <c r="AC394" s="70"/>
      <c r="AH394" s="190">
        <v>0</v>
      </c>
      <c r="AJ394" s="42"/>
      <c r="AK394" s="42"/>
      <c r="AL394" s="42"/>
    </row>
    <row r="395" spans="1:41" s="19" customFormat="1" x14ac:dyDescent="0.2">
      <c r="B395" s="112" t="s">
        <v>516</v>
      </c>
      <c r="C395" s="19" t="s">
        <v>96</v>
      </c>
      <c r="D395" s="19">
        <v>5</v>
      </c>
      <c r="E395" s="19" t="s">
        <v>513</v>
      </c>
      <c r="G395" s="37" t="s">
        <v>126</v>
      </c>
      <c r="I395" s="1"/>
      <c r="J395" s="144"/>
      <c r="K395" s="144"/>
      <c r="L395" s="144" t="s">
        <v>27</v>
      </c>
      <c r="M395" s="144"/>
      <c r="N395" s="144"/>
      <c r="O395" s="192">
        <v>0</v>
      </c>
      <c r="P395" s="192"/>
      <c r="Q395" s="192"/>
      <c r="R395" s="192"/>
      <c r="S395" s="318" t="s">
        <v>27</v>
      </c>
      <c r="T395" s="383">
        <f>AVERAGE(T392:T394)</f>
        <v>8.3333333333333329E-2</v>
      </c>
      <c r="U395" s="383"/>
      <c r="V395" s="380">
        <f>STDEV(T392:T394)/(SQRT(COUNT(T392:T394)))</f>
        <v>8.3333333333333343E-2</v>
      </c>
      <c r="W395" s="227"/>
      <c r="X395" s="71"/>
      <c r="Y395" s="70"/>
      <c r="Z395" s="70"/>
      <c r="AA395" s="71"/>
      <c r="AB395" s="70"/>
      <c r="AC395" s="70"/>
      <c r="AH395" s="190">
        <v>0</v>
      </c>
      <c r="AJ395" s="42"/>
      <c r="AK395" s="42"/>
      <c r="AL395" s="42"/>
    </row>
    <row r="396" spans="1:41" s="19" customFormat="1" x14ac:dyDescent="0.2">
      <c r="B396" s="112" t="s">
        <v>517</v>
      </c>
      <c r="I396" s="1"/>
      <c r="J396" s="144"/>
      <c r="K396" s="144" t="s">
        <v>27</v>
      </c>
      <c r="L396" s="145">
        <v>1</v>
      </c>
      <c r="M396" s="144">
        <v>1</v>
      </c>
      <c r="N396" s="144">
        <v>4</v>
      </c>
      <c r="O396" s="192">
        <v>0</v>
      </c>
      <c r="P396" s="192"/>
      <c r="Q396" s="192"/>
      <c r="R396" s="192"/>
      <c r="S396" s="318">
        <v>0.25</v>
      </c>
      <c r="T396" s="318"/>
      <c r="U396" s="318"/>
      <c r="V396" s="318"/>
      <c r="W396" s="227"/>
      <c r="X396" s="71"/>
      <c r="Y396" s="70"/>
      <c r="Z396" s="70"/>
      <c r="AA396" s="71"/>
      <c r="AB396" s="70"/>
      <c r="AC396" s="70"/>
      <c r="AH396" s="190">
        <v>0</v>
      </c>
      <c r="AJ396" s="42"/>
      <c r="AK396" s="42"/>
      <c r="AL396" s="42"/>
    </row>
    <row r="397" spans="1:41" s="19" customFormat="1" x14ac:dyDescent="0.2">
      <c r="B397" s="112" t="s">
        <v>518</v>
      </c>
      <c r="I397" s="1"/>
      <c r="J397" s="144"/>
      <c r="K397" s="144"/>
      <c r="L397" s="144"/>
      <c r="M397" s="144"/>
      <c r="N397" s="144"/>
      <c r="O397" s="192">
        <v>0</v>
      </c>
      <c r="P397" s="192"/>
      <c r="Q397" s="192"/>
      <c r="R397" s="192"/>
      <c r="S397" s="318"/>
      <c r="T397" s="318"/>
      <c r="U397" s="318"/>
      <c r="V397" s="318"/>
      <c r="W397" s="227"/>
      <c r="X397" s="71"/>
      <c r="Y397" s="70"/>
      <c r="Z397" s="70"/>
      <c r="AA397" s="71"/>
      <c r="AB397" s="70"/>
      <c r="AC397" s="70"/>
      <c r="AH397" s="190">
        <v>0</v>
      </c>
      <c r="AJ397" s="42"/>
      <c r="AK397" s="42"/>
      <c r="AL397" s="42"/>
    </row>
    <row r="398" spans="1:41" s="19" customFormat="1" x14ac:dyDescent="0.2">
      <c r="B398" s="112" t="s">
        <v>519</v>
      </c>
      <c r="I398" s="1"/>
      <c r="J398" s="144"/>
      <c r="K398" s="144"/>
      <c r="L398" s="144" t="s">
        <v>27</v>
      </c>
      <c r="M398" s="144"/>
      <c r="N398" s="144"/>
      <c r="O398" s="192">
        <v>0</v>
      </c>
      <c r="P398" s="192"/>
      <c r="Q398" s="192"/>
      <c r="R398" s="192"/>
      <c r="S398" s="318"/>
      <c r="T398" s="318"/>
      <c r="U398" s="318"/>
      <c r="V398" s="318"/>
      <c r="W398" s="227"/>
      <c r="X398" s="71"/>
      <c r="Y398" s="70"/>
      <c r="Z398" s="70"/>
      <c r="AA398" s="71"/>
      <c r="AB398" s="70"/>
      <c r="AC398" s="70"/>
      <c r="AH398" s="190">
        <v>1</v>
      </c>
      <c r="AJ398" s="42"/>
      <c r="AK398" s="42"/>
      <c r="AL398" s="42"/>
    </row>
    <row r="399" spans="1:41" s="19" customFormat="1" x14ac:dyDescent="0.2">
      <c r="B399" s="112" t="s">
        <v>520</v>
      </c>
      <c r="I399" s="1"/>
      <c r="J399" s="144"/>
      <c r="K399" s="144"/>
      <c r="L399" s="144"/>
      <c r="M399" s="144"/>
      <c r="N399" s="144"/>
      <c r="O399" s="192">
        <v>1</v>
      </c>
      <c r="P399" s="192"/>
      <c r="Q399" s="192"/>
      <c r="R399" s="192"/>
      <c r="S399" s="318"/>
      <c r="T399" s="318"/>
      <c r="U399" s="318"/>
      <c r="V399" s="318"/>
      <c r="W399" s="227"/>
      <c r="X399" s="71"/>
      <c r="Y399" s="70"/>
      <c r="Z399" s="70"/>
      <c r="AA399" s="71"/>
      <c r="AB399" s="70"/>
      <c r="AC399" s="70"/>
      <c r="AH399" s="190">
        <v>0</v>
      </c>
      <c r="AJ399" s="42"/>
      <c r="AK399" s="42"/>
      <c r="AL399" s="42"/>
    </row>
    <row r="400" spans="1:41" s="19" customFormat="1" x14ac:dyDescent="0.2">
      <c r="A400" s="19">
        <v>2</v>
      </c>
      <c r="B400" s="112" t="s">
        <v>521</v>
      </c>
      <c r="I400" s="1"/>
      <c r="J400" s="144"/>
      <c r="K400" s="144" t="s">
        <v>27</v>
      </c>
      <c r="L400" s="144">
        <v>1</v>
      </c>
      <c r="M400" s="144">
        <v>0</v>
      </c>
      <c r="N400" s="144">
        <v>1</v>
      </c>
      <c r="O400" s="192">
        <v>0</v>
      </c>
      <c r="P400" s="192"/>
      <c r="Q400" s="192"/>
      <c r="R400" s="192"/>
      <c r="S400" s="318">
        <v>0</v>
      </c>
      <c r="T400" s="318"/>
      <c r="U400" s="318"/>
      <c r="V400" s="318"/>
      <c r="W400" s="227"/>
      <c r="X400" s="71"/>
      <c r="Y400" s="70"/>
      <c r="Z400" s="70"/>
      <c r="AA400" s="71"/>
      <c r="AB400" s="70"/>
      <c r="AC400" s="70"/>
      <c r="AH400" s="190">
        <v>0</v>
      </c>
      <c r="AJ400" s="42"/>
      <c r="AK400" s="42"/>
      <c r="AL400" s="42"/>
    </row>
    <row r="401" spans="2:38" s="206" customFormat="1" x14ac:dyDescent="0.2">
      <c r="B401" s="206" t="s">
        <v>522</v>
      </c>
      <c r="C401" s="206" t="s">
        <v>96</v>
      </c>
      <c r="D401" s="206">
        <v>5</v>
      </c>
      <c r="E401" s="206" t="s">
        <v>513</v>
      </c>
      <c r="I401" s="567"/>
      <c r="J401" s="565"/>
      <c r="K401" s="565"/>
      <c r="L401" s="565"/>
      <c r="M401" s="565"/>
      <c r="N401" s="565"/>
      <c r="O401" s="565"/>
      <c r="P401" s="565"/>
      <c r="Q401" s="565"/>
      <c r="R401" s="565"/>
      <c r="S401" s="571" t="s">
        <v>27</v>
      </c>
      <c r="T401" s="571"/>
      <c r="U401" s="571"/>
      <c r="V401" s="571"/>
      <c r="W401" s="564"/>
      <c r="X401" s="574"/>
      <c r="Y401" s="575"/>
      <c r="Z401" s="575"/>
      <c r="AA401" s="574"/>
      <c r="AB401" s="575"/>
      <c r="AC401" s="575"/>
      <c r="AH401" s="565">
        <v>0</v>
      </c>
      <c r="AJ401" s="42">
        <v>0</v>
      </c>
      <c r="AK401" s="42"/>
      <c r="AL401" s="42">
        <v>0</v>
      </c>
    </row>
    <row r="402" spans="2:38" s="206" customFormat="1" x14ac:dyDescent="0.2">
      <c r="B402" s="206" t="s">
        <v>522</v>
      </c>
      <c r="C402" s="206" t="s">
        <v>96</v>
      </c>
      <c r="D402" s="206">
        <v>6</v>
      </c>
      <c r="E402" s="206" t="s">
        <v>513</v>
      </c>
      <c r="I402" s="567"/>
      <c r="J402" s="565"/>
      <c r="K402" s="565"/>
      <c r="L402" s="565"/>
      <c r="M402" s="565"/>
      <c r="N402" s="565"/>
      <c r="O402" s="565"/>
      <c r="P402" s="565"/>
      <c r="Q402" s="565"/>
      <c r="R402" s="565"/>
      <c r="S402" s="571"/>
      <c r="T402" s="571"/>
      <c r="U402" s="571"/>
      <c r="V402" s="571"/>
      <c r="W402" s="564"/>
      <c r="X402" s="574"/>
      <c r="Y402" s="575"/>
      <c r="Z402" s="575"/>
      <c r="AA402" s="574"/>
      <c r="AB402" s="575"/>
      <c r="AC402" s="575"/>
      <c r="AH402" s="565">
        <v>0</v>
      </c>
      <c r="AJ402" s="42">
        <v>0</v>
      </c>
      <c r="AK402" s="42"/>
      <c r="AL402" s="42">
        <v>0</v>
      </c>
    </row>
    <row r="403" spans="2:38" s="578" customFormat="1" x14ac:dyDescent="0.2">
      <c r="B403" s="578" t="s">
        <v>523</v>
      </c>
      <c r="C403" s="578" t="s">
        <v>96</v>
      </c>
      <c r="D403" s="206">
        <v>7</v>
      </c>
      <c r="E403" s="206" t="s">
        <v>513</v>
      </c>
      <c r="I403" s="579"/>
      <c r="J403" s="580"/>
      <c r="K403" s="580"/>
      <c r="L403" s="580"/>
      <c r="M403" s="565"/>
      <c r="N403" s="580"/>
      <c r="O403" s="580"/>
      <c r="P403" s="565"/>
      <c r="Q403" s="565"/>
      <c r="R403" s="565"/>
      <c r="S403" s="571"/>
      <c r="T403" s="571"/>
      <c r="U403" s="571"/>
      <c r="V403" s="571"/>
      <c r="W403" s="564"/>
      <c r="X403" s="581"/>
      <c r="Y403" s="582"/>
      <c r="Z403" s="582"/>
      <c r="AA403" s="581"/>
      <c r="AB403" s="582"/>
      <c r="AC403" s="582"/>
      <c r="AH403" s="565">
        <v>0</v>
      </c>
      <c r="AJ403" s="45">
        <v>0</v>
      </c>
      <c r="AK403" s="45"/>
      <c r="AL403" s="45">
        <v>0</v>
      </c>
    </row>
    <row r="404" spans="2:38" s="206" customFormat="1" x14ac:dyDescent="0.2">
      <c r="B404" s="206" t="s">
        <v>524</v>
      </c>
      <c r="C404" s="578" t="s">
        <v>96</v>
      </c>
      <c r="D404" s="206">
        <v>8</v>
      </c>
      <c r="E404" s="206" t="s">
        <v>513</v>
      </c>
      <c r="I404" s="567"/>
      <c r="J404" s="565"/>
      <c r="K404" s="565"/>
      <c r="L404" s="565"/>
      <c r="M404" s="565"/>
      <c r="N404" s="565"/>
      <c r="O404" s="565"/>
      <c r="P404" s="565"/>
      <c r="Q404" s="565"/>
      <c r="R404" s="565"/>
      <c r="S404" s="571"/>
      <c r="T404" s="571"/>
      <c r="U404" s="571"/>
      <c r="V404" s="571"/>
      <c r="W404" s="564"/>
      <c r="X404" s="574"/>
      <c r="Y404" s="575"/>
      <c r="Z404" s="575"/>
      <c r="AA404" s="574"/>
      <c r="AB404" s="575"/>
      <c r="AC404" s="575"/>
      <c r="AH404" s="565">
        <v>0</v>
      </c>
      <c r="AJ404" s="42">
        <v>0</v>
      </c>
      <c r="AK404" s="42"/>
      <c r="AL404" s="42">
        <v>0</v>
      </c>
    </row>
    <row r="405" spans="2:38" s="206" customFormat="1" x14ac:dyDescent="0.2">
      <c r="B405" s="206" t="s">
        <v>525</v>
      </c>
      <c r="C405" s="578" t="s">
        <v>96</v>
      </c>
      <c r="D405" s="206">
        <v>9</v>
      </c>
      <c r="E405" s="206" t="s">
        <v>513</v>
      </c>
      <c r="I405" s="567"/>
      <c r="J405" s="565"/>
      <c r="K405" s="565"/>
      <c r="L405" s="565"/>
      <c r="M405" s="565"/>
      <c r="N405" s="565"/>
      <c r="O405" s="565"/>
      <c r="P405" s="565"/>
      <c r="Q405" s="565"/>
      <c r="R405" s="565"/>
      <c r="S405" s="571"/>
      <c r="T405" s="571"/>
      <c r="U405" s="571"/>
      <c r="V405" s="571"/>
      <c r="W405" s="564"/>
      <c r="X405" s="574"/>
      <c r="Y405" s="575"/>
      <c r="Z405" s="575"/>
      <c r="AA405" s="574"/>
      <c r="AB405" s="575"/>
      <c r="AC405" s="575"/>
      <c r="AH405" s="565">
        <v>0</v>
      </c>
      <c r="AJ405" s="42">
        <v>0</v>
      </c>
      <c r="AK405" s="42"/>
      <c r="AL405" s="42">
        <v>0</v>
      </c>
    </row>
    <row r="406" spans="2:38" s="206" customFormat="1" x14ac:dyDescent="0.2">
      <c r="B406" s="206" t="s">
        <v>526</v>
      </c>
      <c r="C406" s="578" t="s">
        <v>96</v>
      </c>
      <c r="D406" s="206">
        <v>10</v>
      </c>
      <c r="E406" s="206" t="s">
        <v>513</v>
      </c>
      <c r="I406" s="567"/>
      <c r="J406" s="565"/>
      <c r="K406" s="565"/>
      <c r="L406" s="565"/>
      <c r="M406" s="565"/>
      <c r="N406" s="565"/>
      <c r="O406" s="565"/>
      <c r="P406" s="565"/>
      <c r="Q406" s="565"/>
      <c r="R406" s="565"/>
      <c r="S406" s="571"/>
      <c r="T406" s="571"/>
      <c r="U406" s="571"/>
      <c r="V406" s="571"/>
      <c r="W406" s="564"/>
      <c r="X406" s="574"/>
      <c r="Y406" s="575"/>
      <c r="Z406" s="575"/>
      <c r="AA406" s="574"/>
      <c r="AB406" s="575"/>
      <c r="AC406" s="575"/>
      <c r="AH406" s="565">
        <v>0</v>
      </c>
      <c r="AJ406" s="42">
        <v>0</v>
      </c>
      <c r="AK406" s="42"/>
      <c r="AL406" s="42">
        <v>0</v>
      </c>
    </row>
    <row r="407" spans="2:38" s="206" customFormat="1" x14ac:dyDescent="0.2">
      <c r="B407" s="206" t="s">
        <v>527</v>
      </c>
      <c r="C407" s="578" t="s">
        <v>96</v>
      </c>
      <c r="D407" s="206">
        <v>11</v>
      </c>
      <c r="E407" s="206" t="s">
        <v>513</v>
      </c>
      <c r="I407" s="567"/>
      <c r="J407" s="565"/>
      <c r="K407" s="565"/>
      <c r="L407" s="565"/>
      <c r="M407" s="565"/>
      <c r="N407" s="565"/>
      <c r="O407" s="565"/>
      <c r="P407" s="565"/>
      <c r="Q407" s="565"/>
      <c r="R407" s="565"/>
      <c r="S407" s="571"/>
      <c r="T407" s="571"/>
      <c r="U407" s="571"/>
      <c r="V407" s="571"/>
      <c r="W407" s="564"/>
      <c r="X407" s="574"/>
      <c r="Y407" s="575"/>
      <c r="Z407" s="575"/>
      <c r="AA407" s="574"/>
      <c r="AB407" s="575"/>
      <c r="AC407" s="575"/>
      <c r="AH407" s="565">
        <v>0</v>
      </c>
      <c r="AJ407" s="42">
        <v>1</v>
      </c>
      <c r="AK407" s="42"/>
      <c r="AL407" s="42">
        <v>0</v>
      </c>
    </row>
    <row r="408" spans="2:38" s="206" customFormat="1" x14ac:dyDescent="0.2">
      <c r="B408" s="206" t="s">
        <v>528</v>
      </c>
      <c r="C408" s="578" t="s">
        <v>96</v>
      </c>
      <c r="D408" s="206">
        <v>12</v>
      </c>
      <c r="E408" s="206" t="s">
        <v>513</v>
      </c>
      <c r="I408" s="567"/>
      <c r="J408" s="565"/>
      <c r="K408" s="565"/>
      <c r="L408" s="565"/>
      <c r="M408" s="565"/>
      <c r="N408" s="565"/>
      <c r="O408" s="565"/>
      <c r="P408" s="565"/>
      <c r="Q408" s="565"/>
      <c r="R408" s="565"/>
      <c r="S408" s="571"/>
      <c r="T408" s="571"/>
      <c r="U408" s="571"/>
      <c r="V408" s="571"/>
      <c r="W408" s="564"/>
      <c r="X408" s="574"/>
      <c r="Y408" s="575"/>
      <c r="Z408" s="575"/>
      <c r="AA408" s="574"/>
      <c r="AB408" s="575"/>
      <c r="AC408" s="575"/>
      <c r="AH408" s="565">
        <v>1</v>
      </c>
      <c r="AJ408" s="42">
        <v>0</v>
      </c>
      <c r="AK408" s="42"/>
      <c r="AL408" s="42">
        <v>0</v>
      </c>
    </row>
    <row r="409" spans="2:38" s="206" customFormat="1" x14ac:dyDescent="0.2">
      <c r="B409" s="206" t="s">
        <v>529</v>
      </c>
      <c r="C409" s="578" t="s">
        <v>96</v>
      </c>
      <c r="D409" s="206">
        <v>13</v>
      </c>
      <c r="E409" s="206" t="s">
        <v>513</v>
      </c>
      <c r="I409" s="567"/>
      <c r="J409" s="565"/>
      <c r="K409" s="565"/>
      <c r="L409" s="565"/>
      <c r="M409" s="565"/>
      <c r="N409" s="565"/>
      <c r="O409" s="565"/>
      <c r="P409" s="565"/>
      <c r="Q409" s="565"/>
      <c r="R409" s="565"/>
      <c r="S409" s="571"/>
      <c r="T409" s="571"/>
      <c r="U409" s="571"/>
      <c r="V409" s="571"/>
      <c r="W409" s="564"/>
      <c r="X409" s="574"/>
      <c r="Y409" s="575"/>
      <c r="Z409" s="575"/>
      <c r="AA409" s="574"/>
      <c r="AB409" s="575"/>
      <c r="AC409" s="575"/>
      <c r="AH409" s="565">
        <v>0</v>
      </c>
      <c r="AJ409" s="42">
        <v>0</v>
      </c>
      <c r="AK409" s="42"/>
      <c r="AL409" s="42">
        <v>0</v>
      </c>
    </row>
    <row r="410" spans="2:38" s="206" customFormat="1" x14ac:dyDescent="0.2">
      <c r="B410" s="206" t="s">
        <v>530</v>
      </c>
      <c r="C410" s="578" t="s">
        <v>96</v>
      </c>
      <c r="D410" s="206">
        <v>14</v>
      </c>
      <c r="E410" s="206" t="s">
        <v>513</v>
      </c>
      <c r="I410" s="567"/>
      <c r="J410" s="565"/>
      <c r="K410" s="565"/>
      <c r="L410" s="565"/>
      <c r="M410" s="565"/>
      <c r="N410" s="565"/>
      <c r="O410" s="565"/>
      <c r="P410" s="565"/>
      <c r="Q410" s="565"/>
      <c r="R410" s="565"/>
      <c r="S410" s="571"/>
      <c r="T410" s="571"/>
      <c r="U410" s="571"/>
      <c r="V410" s="571"/>
      <c r="W410" s="564"/>
      <c r="X410" s="574"/>
      <c r="Y410" s="575"/>
      <c r="Z410" s="575"/>
      <c r="AA410" s="574"/>
      <c r="AB410" s="575"/>
      <c r="AC410" s="575"/>
      <c r="AH410" s="583">
        <v>0</v>
      </c>
      <c r="AJ410" s="42">
        <v>1</v>
      </c>
      <c r="AK410" s="42"/>
      <c r="AL410" s="42">
        <v>0</v>
      </c>
    </row>
    <row r="411" spans="2:38" s="206" customFormat="1" x14ac:dyDescent="0.2">
      <c r="B411" s="206" t="s">
        <v>531</v>
      </c>
      <c r="C411" s="578" t="s">
        <v>96</v>
      </c>
      <c r="D411" s="206">
        <v>15</v>
      </c>
      <c r="E411" s="206" t="s">
        <v>513</v>
      </c>
      <c r="I411" s="567"/>
      <c r="J411" s="565"/>
      <c r="K411" s="565"/>
      <c r="L411" s="565"/>
      <c r="M411" s="565"/>
      <c r="N411" s="565"/>
      <c r="O411" s="565"/>
      <c r="P411" s="565"/>
      <c r="Q411" s="565"/>
      <c r="R411" s="565"/>
      <c r="S411" s="571"/>
      <c r="T411" s="571"/>
      <c r="U411" s="571"/>
      <c r="V411" s="571"/>
      <c r="W411" s="564"/>
      <c r="X411" s="574"/>
      <c r="Y411" s="575"/>
      <c r="Z411" s="575"/>
      <c r="AA411" s="574"/>
      <c r="AB411" s="575"/>
      <c r="AC411" s="575"/>
      <c r="AH411" s="583">
        <v>0</v>
      </c>
      <c r="AJ411" s="42">
        <v>0</v>
      </c>
      <c r="AK411" s="42"/>
      <c r="AL411" s="42">
        <v>0</v>
      </c>
    </row>
    <row r="412" spans="2:38" s="206" customFormat="1" x14ac:dyDescent="0.2">
      <c r="B412" s="206" t="s">
        <v>532</v>
      </c>
      <c r="C412" s="578" t="s">
        <v>96</v>
      </c>
      <c r="D412" s="206">
        <v>16</v>
      </c>
      <c r="E412" s="206" t="s">
        <v>513</v>
      </c>
      <c r="I412" s="567"/>
      <c r="J412" s="565"/>
      <c r="K412" s="565"/>
      <c r="L412" s="565"/>
      <c r="M412" s="565"/>
      <c r="N412" s="565"/>
      <c r="O412" s="565"/>
      <c r="P412" s="565"/>
      <c r="Q412" s="565"/>
      <c r="R412" s="565"/>
      <c r="S412" s="571"/>
      <c r="T412" s="571"/>
      <c r="U412" s="571"/>
      <c r="V412" s="571"/>
      <c r="W412" s="564"/>
      <c r="X412" s="574"/>
      <c r="Y412" s="575"/>
      <c r="Z412" s="575"/>
      <c r="AA412" s="574"/>
      <c r="AB412" s="575"/>
      <c r="AC412" s="575"/>
      <c r="AH412" s="583">
        <v>0</v>
      </c>
      <c r="AJ412" s="42">
        <v>0</v>
      </c>
      <c r="AK412" s="42"/>
      <c r="AL412" s="42">
        <v>0</v>
      </c>
    </row>
    <row r="413" spans="2:38" s="206" customFormat="1" x14ac:dyDescent="0.2">
      <c r="B413" s="206" t="s">
        <v>533</v>
      </c>
      <c r="C413" s="578" t="s">
        <v>96</v>
      </c>
      <c r="D413" s="206">
        <v>17</v>
      </c>
      <c r="E413" s="206" t="s">
        <v>513</v>
      </c>
      <c r="I413" s="567"/>
      <c r="J413" s="565"/>
      <c r="K413" s="565"/>
      <c r="L413" s="565"/>
      <c r="M413" s="565"/>
      <c r="N413" s="565"/>
      <c r="O413" s="565"/>
      <c r="P413" s="565"/>
      <c r="Q413" s="565"/>
      <c r="R413" s="565"/>
      <c r="S413" s="571"/>
      <c r="T413" s="571"/>
      <c r="U413" s="571"/>
      <c r="V413" s="571"/>
      <c r="W413" s="564"/>
      <c r="X413" s="574"/>
      <c r="Y413" s="575"/>
      <c r="Z413" s="575"/>
      <c r="AA413" s="574"/>
      <c r="AB413" s="575"/>
      <c r="AC413" s="575"/>
      <c r="AH413" s="583">
        <v>0</v>
      </c>
      <c r="AJ413" s="42">
        <v>0</v>
      </c>
      <c r="AK413" s="42"/>
      <c r="AL413" s="42">
        <v>0</v>
      </c>
    </row>
    <row r="414" spans="2:38" s="206" customFormat="1" x14ac:dyDescent="0.2">
      <c r="B414" s="206" t="s">
        <v>534</v>
      </c>
      <c r="C414" s="578" t="s">
        <v>96</v>
      </c>
      <c r="D414" s="206">
        <v>18</v>
      </c>
      <c r="E414" s="206" t="s">
        <v>513</v>
      </c>
      <c r="I414" s="567"/>
      <c r="J414" s="565"/>
      <c r="K414" s="565"/>
      <c r="L414" s="565"/>
      <c r="M414" s="565"/>
      <c r="N414" s="565"/>
      <c r="O414" s="565"/>
      <c r="P414" s="565"/>
      <c r="Q414" s="565"/>
      <c r="R414" s="565"/>
      <c r="S414" s="571"/>
      <c r="T414" s="571"/>
      <c r="U414" s="571"/>
      <c r="V414" s="571"/>
      <c r="W414" s="564"/>
      <c r="X414" s="574"/>
      <c r="Y414" s="575"/>
      <c r="Z414" s="575"/>
      <c r="AA414" s="574"/>
      <c r="AB414" s="575"/>
      <c r="AC414" s="575"/>
      <c r="AH414" s="583">
        <v>0</v>
      </c>
      <c r="AJ414" s="42">
        <v>0</v>
      </c>
      <c r="AK414" s="42"/>
      <c r="AL414" s="42">
        <v>0</v>
      </c>
    </row>
    <row r="415" spans="2:38" s="206" customFormat="1" x14ac:dyDescent="0.2">
      <c r="B415" s="206" t="s">
        <v>535</v>
      </c>
      <c r="C415" s="578" t="s">
        <v>96</v>
      </c>
      <c r="D415" s="206">
        <v>19</v>
      </c>
      <c r="E415" s="206" t="s">
        <v>513</v>
      </c>
      <c r="I415" s="567"/>
      <c r="J415" s="565"/>
      <c r="K415" s="565"/>
      <c r="L415" s="565"/>
      <c r="M415" s="565"/>
      <c r="N415" s="565"/>
      <c r="O415" s="565"/>
      <c r="P415" s="565"/>
      <c r="Q415" s="565"/>
      <c r="R415" s="565"/>
      <c r="S415" s="571"/>
      <c r="T415" s="571"/>
      <c r="U415" s="571"/>
      <c r="V415" s="571"/>
      <c r="W415" s="564"/>
      <c r="X415" s="574"/>
      <c r="Y415" s="575"/>
      <c r="Z415" s="575"/>
      <c r="AA415" s="574"/>
      <c r="AB415" s="575"/>
      <c r="AC415" s="575"/>
      <c r="AH415" s="583">
        <v>0</v>
      </c>
      <c r="AJ415" s="42">
        <v>0</v>
      </c>
      <c r="AK415" s="42"/>
      <c r="AL415" s="42">
        <v>0</v>
      </c>
    </row>
    <row r="416" spans="2:38" s="206" customFormat="1" x14ac:dyDescent="0.2">
      <c r="B416" s="206" t="s">
        <v>536</v>
      </c>
      <c r="C416" s="578" t="s">
        <v>96</v>
      </c>
      <c r="D416" s="206">
        <v>20</v>
      </c>
      <c r="E416" s="206" t="s">
        <v>513</v>
      </c>
      <c r="I416" s="567"/>
      <c r="J416" s="565"/>
      <c r="K416" s="565"/>
      <c r="L416" s="565"/>
      <c r="M416" s="565"/>
      <c r="N416" s="565"/>
      <c r="O416" s="565"/>
      <c r="P416" s="565"/>
      <c r="Q416" s="565"/>
      <c r="R416" s="565"/>
      <c r="S416" s="571"/>
      <c r="T416" s="571"/>
      <c r="U416" s="571"/>
      <c r="V416" s="571"/>
      <c r="W416" s="564"/>
      <c r="X416" s="574"/>
      <c r="Y416" s="575"/>
      <c r="Z416" s="575"/>
      <c r="AA416" s="574"/>
      <c r="AB416" s="575"/>
      <c r="AC416" s="575"/>
      <c r="AH416" s="583">
        <v>0</v>
      </c>
      <c r="AJ416" s="42">
        <v>1</v>
      </c>
      <c r="AK416" s="42"/>
      <c r="AL416" s="42">
        <v>1</v>
      </c>
    </row>
    <row r="417" spans="2:41" s="206" customFormat="1" x14ac:dyDescent="0.2">
      <c r="B417" s="206" t="s">
        <v>537</v>
      </c>
      <c r="C417" s="578" t="s">
        <v>96</v>
      </c>
      <c r="D417" s="206">
        <v>21</v>
      </c>
      <c r="E417" s="206" t="s">
        <v>513</v>
      </c>
      <c r="I417" s="567"/>
      <c r="J417" s="565"/>
      <c r="K417" s="565"/>
      <c r="L417" s="565"/>
      <c r="M417" s="565"/>
      <c r="N417" s="565"/>
      <c r="O417" s="565"/>
      <c r="P417" s="565"/>
      <c r="Q417" s="565"/>
      <c r="R417" s="565"/>
      <c r="S417" s="571"/>
      <c r="T417" s="571"/>
      <c r="U417" s="571"/>
      <c r="V417" s="571"/>
      <c r="W417" s="564"/>
      <c r="X417" s="574"/>
      <c r="Y417" s="575"/>
      <c r="Z417" s="575"/>
      <c r="AA417" s="574"/>
      <c r="AB417" s="575"/>
      <c r="AC417" s="575"/>
      <c r="AH417" s="583">
        <v>0</v>
      </c>
      <c r="AJ417" s="42">
        <v>0</v>
      </c>
      <c r="AK417" s="42"/>
      <c r="AL417" s="42">
        <v>0</v>
      </c>
    </row>
    <row r="418" spans="2:41" s="206" customFormat="1" x14ac:dyDescent="0.2">
      <c r="B418" s="206" t="s">
        <v>538</v>
      </c>
      <c r="C418" s="578" t="s">
        <v>96</v>
      </c>
      <c r="D418" s="206">
        <v>22</v>
      </c>
      <c r="E418" s="206" t="s">
        <v>513</v>
      </c>
      <c r="I418" s="567"/>
      <c r="J418" s="565"/>
      <c r="K418" s="565"/>
      <c r="L418" s="565"/>
      <c r="M418" s="565"/>
      <c r="N418" s="565"/>
      <c r="O418" s="565"/>
      <c r="P418" s="565"/>
      <c r="Q418" s="565"/>
      <c r="R418" s="565"/>
      <c r="S418" s="571"/>
      <c r="T418" s="571"/>
      <c r="U418" s="571"/>
      <c r="V418" s="571"/>
      <c r="W418" s="564"/>
      <c r="X418" s="574"/>
      <c r="Y418" s="575"/>
      <c r="Z418" s="575"/>
      <c r="AA418" s="574"/>
      <c r="AB418" s="575"/>
      <c r="AC418" s="575"/>
      <c r="AH418" s="583">
        <v>0</v>
      </c>
      <c r="AJ418" s="42">
        <v>0</v>
      </c>
      <c r="AK418" s="42"/>
      <c r="AL418" s="42">
        <v>0</v>
      </c>
    </row>
    <row r="419" spans="2:41" s="206" customFormat="1" x14ac:dyDescent="0.2">
      <c r="B419" s="206" t="s">
        <v>539</v>
      </c>
      <c r="C419" s="578" t="s">
        <v>96</v>
      </c>
      <c r="D419" s="206">
        <v>23</v>
      </c>
      <c r="E419" s="206" t="s">
        <v>513</v>
      </c>
      <c r="I419" s="567"/>
      <c r="J419" s="565"/>
      <c r="K419" s="565"/>
      <c r="L419" s="565"/>
      <c r="M419" s="565"/>
      <c r="N419" s="565"/>
      <c r="O419" s="565"/>
      <c r="P419" s="565"/>
      <c r="Q419" s="565"/>
      <c r="R419" s="565"/>
      <c r="S419" s="571"/>
      <c r="T419" s="571"/>
      <c r="U419" s="571"/>
      <c r="V419" s="571"/>
      <c r="W419" s="564"/>
      <c r="X419" s="574"/>
      <c r="Y419" s="575"/>
      <c r="Z419" s="575"/>
      <c r="AA419" s="574"/>
      <c r="AB419" s="575"/>
      <c r="AC419" s="575"/>
      <c r="AH419" s="583">
        <v>0</v>
      </c>
      <c r="AJ419" s="42">
        <v>0</v>
      </c>
      <c r="AK419" s="42"/>
      <c r="AL419" s="42">
        <v>0</v>
      </c>
    </row>
    <row r="420" spans="2:41" s="206" customFormat="1" x14ac:dyDescent="0.2">
      <c r="B420" s="206" t="s">
        <v>540</v>
      </c>
      <c r="C420" s="206" t="s">
        <v>96</v>
      </c>
      <c r="D420" s="206">
        <v>24</v>
      </c>
      <c r="E420" s="206" t="s">
        <v>513</v>
      </c>
      <c r="I420" s="567"/>
      <c r="J420" s="565"/>
      <c r="K420" s="565"/>
      <c r="L420" s="565"/>
      <c r="M420" s="565"/>
      <c r="N420" s="565"/>
      <c r="O420" s="565"/>
      <c r="P420" s="565"/>
      <c r="Q420" s="565"/>
      <c r="R420" s="565"/>
      <c r="S420" s="563"/>
      <c r="T420" s="563"/>
      <c r="U420" s="563"/>
      <c r="V420" s="563"/>
      <c r="W420" s="564"/>
      <c r="X420" s="574"/>
      <c r="Y420" s="575"/>
      <c r="Z420" s="575"/>
      <c r="AA420" s="574"/>
      <c r="AB420" s="575"/>
      <c r="AC420" s="575"/>
      <c r="AH420" s="583">
        <v>0</v>
      </c>
      <c r="AJ420" s="42">
        <v>1</v>
      </c>
      <c r="AK420" s="42"/>
      <c r="AL420" s="42">
        <v>0</v>
      </c>
    </row>
    <row r="421" spans="2:41" s="206" customFormat="1" x14ac:dyDescent="0.2">
      <c r="B421" s="206" t="s">
        <v>541</v>
      </c>
      <c r="C421" s="206" t="s">
        <v>96</v>
      </c>
      <c r="D421" s="206">
        <v>25</v>
      </c>
      <c r="E421" s="206" t="s">
        <v>513</v>
      </c>
      <c r="I421" s="567"/>
      <c r="J421" s="565"/>
      <c r="K421" s="565"/>
      <c r="L421" s="565"/>
      <c r="M421" s="565"/>
      <c r="N421" s="565"/>
      <c r="O421" s="565"/>
      <c r="P421" s="565"/>
      <c r="Q421" s="565"/>
      <c r="R421" s="565"/>
      <c r="S421" s="563"/>
      <c r="T421" s="563"/>
      <c r="U421" s="563"/>
      <c r="V421" s="563"/>
      <c r="W421" s="564"/>
      <c r="X421" s="574"/>
      <c r="Y421" s="575"/>
      <c r="Z421" s="575"/>
      <c r="AA421" s="574"/>
      <c r="AB421" s="575"/>
      <c r="AC421" s="575"/>
      <c r="AH421" s="583">
        <v>0</v>
      </c>
      <c r="AJ421" s="42">
        <v>0</v>
      </c>
      <c r="AK421" s="42"/>
      <c r="AL421" s="42">
        <v>0</v>
      </c>
    </row>
    <row r="422" spans="2:41" s="206" customFormat="1" x14ac:dyDescent="0.2">
      <c r="B422" s="206" t="s">
        <v>542</v>
      </c>
      <c r="C422" s="206" t="s">
        <v>96</v>
      </c>
      <c r="D422" s="206">
        <v>26</v>
      </c>
      <c r="E422" s="206" t="s">
        <v>513</v>
      </c>
      <c r="I422" s="567"/>
      <c r="J422" s="565"/>
      <c r="K422" s="565"/>
      <c r="L422" s="565"/>
      <c r="M422" s="565"/>
      <c r="N422" s="565"/>
      <c r="O422" s="565"/>
      <c r="P422" s="565"/>
      <c r="Q422" s="565"/>
      <c r="R422" s="565"/>
      <c r="S422" s="563"/>
      <c r="T422" s="563"/>
      <c r="U422" s="563"/>
      <c r="V422" s="563"/>
      <c r="W422" s="564"/>
      <c r="X422" s="574"/>
      <c r="Y422" s="575"/>
      <c r="Z422" s="575"/>
      <c r="AA422" s="574"/>
      <c r="AB422" s="575"/>
      <c r="AC422" s="575"/>
      <c r="AH422" s="583">
        <v>0</v>
      </c>
      <c r="AJ422" s="42">
        <v>0</v>
      </c>
      <c r="AK422" s="42"/>
      <c r="AL422" s="42">
        <v>0</v>
      </c>
    </row>
    <row r="423" spans="2:41" s="206" customFormat="1" x14ac:dyDescent="0.2">
      <c r="B423" s="206" t="s">
        <v>543</v>
      </c>
      <c r="C423" s="206" t="s">
        <v>96</v>
      </c>
      <c r="D423" s="206">
        <v>27</v>
      </c>
      <c r="E423" s="206" t="s">
        <v>513</v>
      </c>
      <c r="I423" s="567"/>
      <c r="J423" s="565"/>
      <c r="K423" s="565"/>
      <c r="L423" s="565"/>
      <c r="M423" s="565"/>
      <c r="N423" s="565"/>
      <c r="O423" s="565"/>
      <c r="P423" s="565"/>
      <c r="Q423" s="565"/>
      <c r="R423" s="565"/>
      <c r="S423" s="563"/>
      <c r="T423" s="563"/>
      <c r="U423" s="563"/>
      <c r="V423" s="563"/>
      <c r="W423" s="564"/>
      <c r="X423" s="574"/>
      <c r="Y423" s="575"/>
      <c r="Z423" s="575"/>
      <c r="AA423" s="574"/>
      <c r="AB423" s="575"/>
      <c r="AC423" s="575"/>
      <c r="AH423" s="583">
        <v>0</v>
      </c>
      <c r="AJ423" s="42">
        <v>0</v>
      </c>
      <c r="AK423" s="42"/>
      <c r="AL423" s="42">
        <v>0</v>
      </c>
    </row>
    <row r="424" spans="2:41" s="206" customFormat="1" x14ac:dyDescent="0.2">
      <c r="B424" s="206" t="s">
        <v>544</v>
      </c>
      <c r="C424" s="206" t="s">
        <v>96</v>
      </c>
      <c r="D424" s="206">
        <v>28</v>
      </c>
      <c r="E424" s="206" t="s">
        <v>513</v>
      </c>
      <c r="I424" s="567"/>
      <c r="J424" s="565"/>
      <c r="K424" s="565"/>
      <c r="L424" s="565"/>
      <c r="M424" s="565"/>
      <c r="N424" s="565"/>
      <c r="O424" s="565"/>
      <c r="P424" s="565"/>
      <c r="Q424" s="565"/>
      <c r="R424" s="565"/>
      <c r="S424" s="563"/>
      <c r="T424" s="563"/>
      <c r="U424" s="563"/>
      <c r="V424" s="563"/>
      <c r="W424" s="564"/>
      <c r="X424" s="574"/>
      <c r="Y424" s="575"/>
      <c r="Z424" s="575"/>
      <c r="AA424" s="574"/>
      <c r="AB424" s="575"/>
      <c r="AC424" s="575"/>
      <c r="AH424" s="583">
        <v>0</v>
      </c>
      <c r="AJ424" s="42">
        <v>1</v>
      </c>
      <c r="AK424" s="42"/>
      <c r="AL424" s="42">
        <v>0</v>
      </c>
    </row>
    <row r="425" spans="2:41" s="206" customFormat="1" x14ac:dyDescent="0.2">
      <c r="B425" s="206" t="s">
        <v>545</v>
      </c>
      <c r="C425" s="206" t="s">
        <v>96</v>
      </c>
      <c r="D425" s="206">
        <v>29</v>
      </c>
      <c r="E425" s="206" t="s">
        <v>513</v>
      </c>
      <c r="I425" s="567"/>
      <c r="J425" s="565"/>
      <c r="K425" s="565"/>
      <c r="L425" s="565"/>
      <c r="M425" s="565"/>
      <c r="N425" s="565"/>
      <c r="O425" s="565"/>
      <c r="P425" s="565"/>
      <c r="Q425" s="565"/>
      <c r="R425" s="565"/>
      <c r="S425" s="563"/>
      <c r="T425" s="563"/>
      <c r="U425" s="563"/>
      <c r="V425" s="563"/>
      <c r="W425" s="564"/>
      <c r="X425" s="574"/>
      <c r="Y425" s="575"/>
      <c r="Z425" s="575"/>
      <c r="AA425" s="574"/>
      <c r="AB425" s="575"/>
      <c r="AC425" s="575"/>
      <c r="AH425" s="583">
        <v>0</v>
      </c>
      <c r="AJ425" s="42">
        <v>1</v>
      </c>
      <c r="AK425" s="42"/>
      <c r="AL425" s="42">
        <v>0</v>
      </c>
    </row>
    <row r="426" spans="2:41" s="206" customFormat="1" x14ac:dyDescent="0.2">
      <c r="B426" s="206" t="s">
        <v>546</v>
      </c>
      <c r="C426" s="206" t="s">
        <v>96</v>
      </c>
      <c r="D426" s="206">
        <v>30</v>
      </c>
      <c r="E426" s="206" t="s">
        <v>513</v>
      </c>
      <c r="I426" s="567"/>
      <c r="J426" s="565"/>
      <c r="K426" s="565"/>
      <c r="L426" s="565"/>
      <c r="M426" s="565"/>
      <c r="N426" s="565"/>
      <c r="O426" s="565"/>
      <c r="P426" s="565"/>
      <c r="Q426" s="565"/>
      <c r="R426" s="565"/>
      <c r="S426" s="563"/>
      <c r="T426" s="563"/>
      <c r="U426" s="563"/>
      <c r="V426" s="563"/>
      <c r="W426" s="564"/>
      <c r="X426" s="574"/>
      <c r="Y426" s="575"/>
      <c r="Z426" s="575"/>
      <c r="AA426" s="574"/>
      <c r="AB426" s="575"/>
      <c r="AC426" s="575"/>
      <c r="AH426" s="583">
        <v>0</v>
      </c>
      <c r="AJ426" s="42">
        <v>1</v>
      </c>
      <c r="AK426" s="42"/>
      <c r="AL426" s="42">
        <v>0</v>
      </c>
    </row>
    <row r="427" spans="2:41" s="206" customFormat="1" x14ac:dyDescent="0.2">
      <c r="B427" s="206" t="s">
        <v>547</v>
      </c>
      <c r="C427" s="206" t="s">
        <v>96</v>
      </c>
      <c r="D427" s="206">
        <v>31</v>
      </c>
      <c r="E427" s="206" t="s">
        <v>513</v>
      </c>
      <c r="I427" s="567"/>
      <c r="J427" s="565"/>
      <c r="K427" s="565"/>
      <c r="L427" s="565"/>
      <c r="M427" s="565"/>
      <c r="N427" s="565"/>
      <c r="O427" s="565"/>
      <c r="P427" s="565"/>
      <c r="Q427" s="565"/>
      <c r="R427" s="565"/>
      <c r="S427" s="563"/>
      <c r="T427" s="563"/>
      <c r="U427" s="563"/>
      <c r="V427" s="563"/>
      <c r="W427" s="564"/>
      <c r="X427" s="574"/>
      <c r="Y427" s="575"/>
      <c r="Z427" s="575"/>
      <c r="AA427" s="574"/>
      <c r="AB427" s="575"/>
      <c r="AC427" s="575"/>
      <c r="AH427" s="583">
        <v>0</v>
      </c>
      <c r="AJ427" s="42">
        <v>1</v>
      </c>
      <c r="AK427" s="42"/>
      <c r="AL427" s="42">
        <v>1</v>
      </c>
    </row>
    <row r="428" spans="2:41" s="561" customFormat="1" x14ac:dyDescent="0.2">
      <c r="B428" s="561" t="s">
        <v>548</v>
      </c>
      <c r="I428" s="567"/>
      <c r="J428" s="562"/>
      <c r="K428" s="562"/>
      <c r="L428" s="562"/>
      <c r="M428" s="562"/>
      <c r="N428" s="562"/>
      <c r="O428" s="562"/>
      <c r="P428" s="562"/>
      <c r="Q428" s="562"/>
      <c r="R428" s="562"/>
      <c r="S428" s="563"/>
      <c r="T428" s="563"/>
      <c r="U428" s="563"/>
      <c r="V428" s="563"/>
      <c r="W428" s="564"/>
      <c r="X428" s="574"/>
      <c r="Y428" s="575"/>
      <c r="Z428" s="575"/>
      <c r="AA428" s="574"/>
      <c r="AB428" s="575"/>
      <c r="AC428" s="575"/>
      <c r="AH428" s="583">
        <v>0</v>
      </c>
      <c r="AJ428" s="47">
        <v>0</v>
      </c>
      <c r="AK428" s="47"/>
      <c r="AL428" s="47">
        <v>0</v>
      </c>
      <c r="AM428" s="566"/>
      <c r="AN428" s="566"/>
      <c r="AO428" s="566"/>
    </row>
    <row r="429" spans="2:41" s="561" customFormat="1" x14ac:dyDescent="0.2">
      <c r="B429" s="561" t="s">
        <v>549</v>
      </c>
      <c r="I429" s="567"/>
      <c r="J429" s="562"/>
      <c r="K429" s="562"/>
      <c r="L429" s="562"/>
      <c r="M429" s="562"/>
      <c r="N429" s="562"/>
      <c r="O429" s="562"/>
      <c r="P429" s="562"/>
      <c r="Q429" s="562"/>
      <c r="R429" s="562"/>
      <c r="S429" s="563"/>
      <c r="T429" s="563"/>
      <c r="U429" s="563"/>
      <c r="V429" s="563"/>
      <c r="W429" s="564"/>
      <c r="X429" s="574"/>
      <c r="Y429" s="575"/>
      <c r="Z429" s="575"/>
      <c r="AA429" s="574"/>
      <c r="AB429" s="575"/>
      <c r="AC429" s="575"/>
      <c r="AH429" s="583">
        <v>0</v>
      </c>
      <c r="AJ429" s="47">
        <v>1</v>
      </c>
      <c r="AK429" s="47"/>
      <c r="AL429" s="47">
        <v>0</v>
      </c>
      <c r="AM429" s="566"/>
      <c r="AN429" s="566"/>
      <c r="AO429" s="566"/>
    </row>
    <row r="430" spans="2:41" s="561" customFormat="1" x14ac:dyDescent="0.2">
      <c r="B430" s="561" t="s">
        <v>550</v>
      </c>
      <c r="I430" s="567"/>
      <c r="J430" s="562"/>
      <c r="K430" s="562"/>
      <c r="L430" s="562"/>
      <c r="M430" s="562"/>
      <c r="N430" s="562"/>
      <c r="O430" s="562"/>
      <c r="P430" s="562"/>
      <c r="Q430" s="562"/>
      <c r="R430" s="562"/>
      <c r="S430" s="563"/>
      <c r="T430" s="563"/>
      <c r="U430" s="563"/>
      <c r="V430" s="563"/>
      <c r="W430" s="564"/>
      <c r="X430" s="574"/>
      <c r="Y430" s="575"/>
      <c r="Z430" s="575"/>
      <c r="AA430" s="574"/>
      <c r="AB430" s="575"/>
      <c r="AC430" s="575"/>
      <c r="AH430" s="583">
        <v>0</v>
      </c>
      <c r="AJ430" s="47">
        <v>1</v>
      </c>
      <c r="AK430" s="47"/>
      <c r="AL430" s="47">
        <v>0</v>
      </c>
      <c r="AM430" s="566"/>
      <c r="AN430" s="566"/>
      <c r="AO430" s="566"/>
    </row>
    <row r="431" spans="2:41" s="561" customFormat="1" x14ac:dyDescent="0.2">
      <c r="B431" s="561" t="s">
        <v>551</v>
      </c>
      <c r="H431" s="584" t="s">
        <v>258</v>
      </c>
      <c r="I431" s="567"/>
      <c r="J431" s="562"/>
      <c r="K431" s="562"/>
      <c r="L431" s="562"/>
      <c r="M431" s="562"/>
      <c r="N431" s="562"/>
      <c r="O431" s="562"/>
      <c r="P431" s="562"/>
      <c r="Q431" s="562"/>
      <c r="R431" s="562"/>
      <c r="S431" s="563"/>
      <c r="T431" s="563"/>
      <c r="U431" s="563"/>
      <c r="V431" s="563"/>
      <c r="W431" s="564"/>
      <c r="X431" s="574"/>
      <c r="Y431" s="575"/>
      <c r="Z431" s="575"/>
      <c r="AA431" s="574"/>
      <c r="AB431" s="575"/>
      <c r="AC431" s="575"/>
      <c r="AH431" s="583">
        <v>0</v>
      </c>
      <c r="AJ431" s="47">
        <v>0</v>
      </c>
      <c r="AK431" s="47"/>
      <c r="AL431" s="47">
        <v>1</v>
      </c>
      <c r="AM431" s="566"/>
      <c r="AN431" s="566"/>
      <c r="AO431" s="566"/>
    </row>
    <row r="432" spans="2:41" s="561" customFormat="1" x14ac:dyDescent="0.2">
      <c r="B432" s="561" t="s">
        <v>552</v>
      </c>
      <c r="H432" s="584" t="s">
        <v>258</v>
      </c>
      <c r="I432" s="567"/>
      <c r="J432" s="562"/>
      <c r="K432" s="562"/>
      <c r="L432" s="562"/>
      <c r="M432" s="562"/>
      <c r="N432" s="562"/>
      <c r="O432" s="562"/>
      <c r="P432" s="562"/>
      <c r="Q432" s="562"/>
      <c r="R432" s="562"/>
      <c r="S432" s="563"/>
      <c r="T432" s="563"/>
      <c r="U432" s="563"/>
      <c r="V432" s="563"/>
      <c r="W432" s="564"/>
      <c r="X432" s="574"/>
      <c r="Y432" s="575"/>
      <c r="Z432" s="575"/>
      <c r="AA432" s="574"/>
      <c r="AB432" s="575"/>
      <c r="AC432" s="575"/>
      <c r="AH432" s="583">
        <v>0</v>
      </c>
      <c r="AJ432" s="47">
        <v>1</v>
      </c>
      <c r="AK432" s="47"/>
      <c r="AL432" s="47">
        <v>1</v>
      </c>
      <c r="AM432" s="566"/>
      <c r="AN432" s="566"/>
      <c r="AO432" s="566"/>
    </row>
    <row r="433" spans="2:41" s="561" customFormat="1" x14ac:dyDescent="0.2">
      <c r="B433" s="561" t="s">
        <v>553</v>
      </c>
      <c r="H433" s="584" t="s">
        <v>258</v>
      </c>
      <c r="I433" s="567"/>
      <c r="J433" s="562"/>
      <c r="K433" s="562"/>
      <c r="L433" s="562"/>
      <c r="M433" s="562"/>
      <c r="N433" s="562"/>
      <c r="O433" s="562"/>
      <c r="P433" s="562"/>
      <c r="Q433" s="562"/>
      <c r="R433" s="562"/>
      <c r="S433" s="563"/>
      <c r="T433" s="563"/>
      <c r="U433" s="563"/>
      <c r="V433" s="563"/>
      <c r="W433" s="564"/>
      <c r="X433" s="574"/>
      <c r="Y433" s="575"/>
      <c r="Z433" s="575"/>
      <c r="AA433" s="574"/>
      <c r="AB433" s="575"/>
      <c r="AC433" s="575"/>
      <c r="AH433" s="583">
        <v>0</v>
      </c>
      <c r="AJ433" s="47">
        <v>1</v>
      </c>
      <c r="AK433" s="47"/>
      <c r="AL433" s="47">
        <v>0</v>
      </c>
      <c r="AM433" s="566"/>
      <c r="AN433" s="566"/>
      <c r="AO433" s="566"/>
    </row>
    <row r="434" spans="2:41" s="561" customFormat="1" x14ac:dyDescent="0.2">
      <c r="B434" s="561" t="s">
        <v>548</v>
      </c>
      <c r="H434" s="584"/>
      <c r="I434" s="567"/>
      <c r="J434" s="562"/>
      <c r="K434" s="562"/>
      <c r="L434" s="562"/>
      <c r="M434" s="562"/>
      <c r="N434" s="562"/>
      <c r="O434" s="562"/>
      <c r="P434" s="562"/>
      <c r="Q434" s="562"/>
      <c r="R434" s="562"/>
      <c r="S434" s="563"/>
      <c r="T434" s="563"/>
      <c r="U434" s="563"/>
      <c r="V434" s="563"/>
      <c r="W434" s="564"/>
      <c r="X434" s="574"/>
      <c r="Y434" s="575"/>
      <c r="Z434" s="575"/>
      <c r="AA434" s="574"/>
      <c r="AB434" s="575"/>
      <c r="AC434" s="575"/>
      <c r="AH434" s="583">
        <v>0</v>
      </c>
      <c r="AJ434" s="47">
        <v>0</v>
      </c>
      <c r="AK434" s="47"/>
      <c r="AL434" s="47"/>
      <c r="AM434" s="566"/>
      <c r="AN434" s="566"/>
      <c r="AO434" s="566"/>
    </row>
    <row r="435" spans="2:41" s="561" customFormat="1" x14ac:dyDescent="0.2">
      <c r="B435" s="561" t="s">
        <v>549</v>
      </c>
      <c r="H435" s="584"/>
      <c r="I435" s="567"/>
      <c r="J435" s="562"/>
      <c r="K435" s="562"/>
      <c r="L435" s="562"/>
      <c r="M435" s="562"/>
      <c r="N435" s="562"/>
      <c r="O435" s="562"/>
      <c r="P435" s="562"/>
      <c r="Q435" s="562"/>
      <c r="R435" s="562"/>
      <c r="S435" s="563"/>
      <c r="T435" s="563"/>
      <c r="U435" s="563"/>
      <c r="V435" s="563"/>
      <c r="W435" s="564"/>
      <c r="X435" s="574"/>
      <c r="Y435" s="575"/>
      <c r="Z435" s="575"/>
      <c r="AA435" s="574"/>
      <c r="AB435" s="575"/>
      <c r="AC435" s="575"/>
      <c r="AH435" s="583">
        <v>0</v>
      </c>
      <c r="AJ435" s="47">
        <v>1</v>
      </c>
      <c r="AK435" s="47"/>
      <c r="AL435" s="47">
        <v>1</v>
      </c>
      <c r="AM435" s="566"/>
      <c r="AN435" s="566"/>
      <c r="AO435" s="566"/>
    </row>
    <row r="436" spans="2:41" s="561" customFormat="1" x14ac:dyDescent="0.2">
      <c r="B436" s="561" t="s">
        <v>550</v>
      </c>
      <c r="H436" s="584"/>
      <c r="I436" s="567"/>
      <c r="J436" s="562"/>
      <c r="K436" s="562"/>
      <c r="L436" s="562"/>
      <c r="M436" s="562"/>
      <c r="N436" s="562"/>
      <c r="O436" s="562"/>
      <c r="P436" s="562"/>
      <c r="Q436" s="562"/>
      <c r="R436" s="562"/>
      <c r="S436" s="563"/>
      <c r="T436" s="563"/>
      <c r="U436" s="563"/>
      <c r="V436" s="563"/>
      <c r="W436" s="564"/>
      <c r="X436" s="574"/>
      <c r="Y436" s="575"/>
      <c r="Z436" s="575"/>
      <c r="AA436" s="574"/>
      <c r="AB436" s="575"/>
      <c r="AC436" s="575"/>
      <c r="AH436" s="583">
        <v>0</v>
      </c>
      <c r="AJ436" s="47">
        <v>0</v>
      </c>
      <c r="AK436" s="47"/>
      <c r="AL436" s="47"/>
      <c r="AM436" s="566"/>
      <c r="AN436" s="566"/>
      <c r="AO436" s="566"/>
    </row>
    <row r="437" spans="2:41" s="561" customFormat="1" x14ac:dyDescent="0.2">
      <c r="B437" s="561" t="s">
        <v>554</v>
      </c>
      <c r="I437" s="567"/>
      <c r="J437" s="562"/>
      <c r="K437" s="562"/>
      <c r="L437" s="562"/>
      <c r="M437" s="562"/>
      <c r="N437" s="562"/>
      <c r="O437" s="562"/>
      <c r="P437" s="562"/>
      <c r="Q437" s="562"/>
      <c r="R437" s="562"/>
      <c r="S437" s="563"/>
      <c r="T437" s="563"/>
      <c r="U437" s="563"/>
      <c r="V437" s="563"/>
      <c r="W437" s="564"/>
      <c r="X437" s="574"/>
      <c r="Y437" s="575"/>
      <c r="Z437" s="575"/>
      <c r="AA437" s="574"/>
      <c r="AB437" s="575"/>
      <c r="AC437" s="575"/>
      <c r="AH437" s="583">
        <v>0</v>
      </c>
      <c r="AJ437" s="47">
        <v>0</v>
      </c>
      <c r="AK437" s="47">
        <v>8</v>
      </c>
      <c r="AL437" s="47">
        <v>1</v>
      </c>
      <c r="AM437" s="566"/>
      <c r="AN437" s="566"/>
      <c r="AO437" s="566"/>
    </row>
    <row r="438" spans="2:41" s="561" customFormat="1" x14ac:dyDescent="0.2">
      <c r="B438" s="561" t="s">
        <v>555</v>
      </c>
      <c r="I438" s="567"/>
      <c r="J438" s="562"/>
      <c r="K438" s="562"/>
      <c r="L438" s="562"/>
      <c r="M438" s="562"/>
      <c r="N438" s="562"/>
      <c r="O438" s="562"/>
      <c r="P438" s="562"/>
      <c r="Q438" s="562"/>
      <c r="R438" s="562"/>
      <c r="S438" s="563"/>
      <c r="T438" s="563"/>
      <c r="U438" s="563"/>
      <c r="V438" s="563"/>
      <c r="W438" s="564"/>
      <c r="X438" s="574"/>
      <c r="Y438" s="575"/>
      <c r="Z438" s="575"/>
      <c r="AA438" s="574"/>
      <c r="AB438" s="575"/>
      <c r="AC438" s="575"/>
      <c r="AH438" s="583">
        <v>0</v>
      </c>
      <c r="AJ438" s="47">
        <v>1</v>
      </c>
      <c r="AK438" s="47"/>
      <c r="AL438" s="47">
        <v>0</v>
      </c>
      <c r="AM438" s="566"/>
      <c r="AN438" s="566"/>
      <c r="AO438" s="566"/>
    </row>
    <row r="439" spans="2:41" s="561" customFormat="1" x14ac:dyDescent="0.2">
      <c r="B439" s="561" t="s">
        <v>556</v>
      </c>
      <c r="I439" s="567"/>
      <c r="J439" s="562"/>
      <c r="K439" s="562"/>
      <c r="L439" s="562"/>
      <c r="M439" s="562"/>
      <c r="N439" s="562"/>
      <c r="O439" s="562"/>
      <c r="P439" s="562"/>
      <c r="Q439" s="562"/>
      <c r="R439" s="562"/>
      <c r="S439" s="563"/>
      <c r="T439" s="563"/>
      <c r="U439" s="563"/>
      <c r="V439" s="563"/>
      <c r="W439" s="564"/>
      <c r="X439" s="574"/>
      <c r="Y439" s="575"/>
      <c r="Z439" s="575"/>
      <c r="AA439" s="574"/>
      <c r="AB439" s="575"/>
      <c r="AC439" s="575"/>
      <c r="AH439" s="583">
        <v>0</v>
      </c>
      <c r="AJ439" s="47">
        <v>1</v>
      </c>
      <c r="AK439" s="47"/>
      <c r="AL439" s="47">
        <v>1</v>
      </c>
      <c r="AM439" s="566"/>
      <c r="AN439" s="566"/>
      <c r="AO439" s="566"/>
    </row>
    <row r="440" spans="2:41" s="561" customFormat="1" x14ac:dyDescent="0.2">
      <c r="B440" s="561" t="s">
        <v>557</v>
      </c>
      <c r="I440" s="567"/>
      <c r="J440" s="562"/>
      <c r="K440" s="562"/>
      <c r="L440" s="562"/>
      <c r="M440" s="562"/>
      <c r="N440" s="562"/>
      <c r="O440" s="562"/>
      <c r="P440" s="562"/>
      <c r="Q440" s="562"/>
      <c r="R440" s="562"/>
      <c r="S440" s="563"/>
      <c r="T440" s="563"/>
      <c r="U440" s="563"/>
      <c r="V440" s="563"/>
      <c r="W440" s="564"/>
      <c r="X440" s="574"/>
      <c r="Y440" s="575"/>
      <c r="Z440" s="575"/>
      <c r="AA440" s="574"/>
      <c r="AB440" s="575"/>
      <c r="AC440" s="575"/>
      <c r="AH440" s="583">
        <v>0</v>
      </c>
      <c r="AJ440" s="47">
        <v>1</v>
      </c>
      <c r="AK440" s="47"/>
      <c r="AL440" s="47">
        <v>1</v>
      </c>
      <c r="AM440" s="566"/>
      <c r="AN440" s="566"/>
      <c r="AO440" s="566"/>
    </row>
    <row r="441" spans="2:41" s="561" customFormat="1" x14ac:dyDescent="0.2">
      <c r="B441" s="561" t="s">
        <v>558</v>
      </c>
      <c r="I441" s="567"/>
      <c r="J441" s="562"/>
      <c r="K441" s="562"/>
      <c r="L441" s="562"/>
      <c r="M441" s="562"/>
      <c r="N441" s="562"/>
      <c r="O441" s="562"/>
      <c r="P441" s="562"/>
      <c r="Q441" s="562"/>
      <c r="R441" s="562"/>
      <c r="S441" s="563"/>
      <c r="T441" s="563"/>
      <c r="U441" s="563"/>
      <c r="V441" s="563"/>
      <c r="W441" s="564"/>
      <c r="X441" s="574"/>
      <c r="Y441" s="575"/>
      <c r="Z441" s="575"/>
      <c r="AA441" s="574"/>
      <c r="AB441" s="575"/>
      <c r="AC441" s="575"/>
      <c r="AH441" s="583">
        <v>0</v>
      </c>
      <c r="AJ441" s="47">
        <v>1</v>
      </c>
      <c r="AK441" s="47"/>
      <c r="AL441" s="47">
        <v>1</v>
      </c>
      <c r="AM441" s="566"/>
      <c r="AN441" s="566"/>
      <c r="AO441" s="566"/>
    </row>
    <row r="442" spans="2:41" s="561" customFormat="1" x14ac:dyDescent="0.2">
      <c r="B442" s="561" t="s">
        <v>559</v>
      </c>
      <c r="I442" s="567"/>
      <c r="J442" s="562"/>
      <c r="K442" s="562"/>
      <c r="L442" s="562"/>
      <c r="M442" s="562"/>
      <c r="N442" s="562"/>
      <c r="O442" s="562"/>
      <c r="P442" s="562"/>
      <c r="Q442" s="562"/>
      <c r="R442" s="562"/>
      <c r="S442" s="563"/>
      <c r="T442" s="563"/>
      <c r="U442" s="563"/>
      <c r="V442" s="563"/>
      <c r="W442" s="564"/>
      <c r="X442" s="574"/>
      <c r="Y442" s="575"/>
      <c r="Z442" s="575"/>
      <c r="AA442" s="574"/>
      <c r="AB442" s="575"/>
      <c r="AC442" s="575"/>
      <c r="AH442" s="583">
        <v>0</v>
      </c>
      <c r="AJ442" s="47">
        <v>1</v>
      </c>
      <c r="AK442" s="47"/>
      <c r="AL442" s="47">
        <v>1</v>
      </c>
      <c r="AM442" s="566"/>
      <c r="AN442" s="566"/>
      <c r="AO442" s="566"/>
    </row>
    <row r="443" spans="2:41" s="561" customFormat="1" x14ac:dyDescent="0.2">
      <c r="B443" s="561" t="s">
        <v>560</v>
      </c>
      <c r="I443" s="567"/>
      <c r="J443" s="562"/>
      <c r="K443" s="562"/>
      <c r="L443" s="562"/>
      <c r="M443" s="562"/>
      <c r="N443" s="562"/>
      <c r="O443" s="562"/>
      <c r="P443" s="562"/>
      <c r="Q443" s="562"/>
      <c r="R443" s="562"/>
      <c r="S443" s="563"/>
      <c r="T443" s="563"/>
      <c r="U443" s="563"/>
      <c r="V443" s="563"/>
      <c r="W443" s="564"/>
      <c r="X443" s="574"/>
      <c r="Y443" s="575"/>
      <c r="Z443" s="575"/>
      <c r="AA443" s="574"/>
      <c r="AB443" s="575"/>
      <c r="AC443" s="575"/>
      <c r="AH443" s="583">
        <v>0</v>
      </c>
      <c r="AJ443" s="47">
        <v>1</v>
      </c>
      <c r="AK443" s="47"/>
      <c r="AL443" s="47">
        <v>1</v>
      </c>
      <c r="AM443" s="566"/>
      <c r="AN443" s="566"/>
      <c r="AO443" s="566"/>
    </row>
    <row r="444" spans="2:41" s="561" customFormat="1" x14ac:dyDescent="0.2">
      <c r="B444" s="561" t="s">
        <v>561</v>
      </c>
      <c r="I444" s="567"/>
      <c r="J444" s="562"/>
      <c r="K444" s="562"/>
      <c r="L444" s="562"/>
      <c r="M444" s="562"/>
      <c r="N444" s="562"/>
      <c r="O444" s="562"/>
      <c r="P444" s="562"/>
      <c r="Q444" s="562"/>
      <c r="R444" s="562"/>
      <c r="S444" s="563"/>
      <c r="T444" s="563"/>
      <c r="U444" s="563"/>
      <c r="V444" s="563"/>
      <c r="W444" s="564"/>
      <c r="X444" s="574"/>
      <c r="Y444" s="575"/>
      <c r="Z444" s="575"/>
      <c r="AA444" s="574"/>
      <c r="AB444" s="575"/>
      <c r="AC444" s="575"/>
      <c r="AH444" s="583">
        <v>0</v>
      </c>
      <c r="AJ444" s="47">
        <v>1</v>
      </c>
      <c r="AK444" s="47"/>
      <c r="AL444" s="47">
        <v>1</v>
      </c>
      <c r="AM444" s="566"/>
      <c r="AN444" s="566"/>
      <c r="AO444" s="566"/>
    </row>
    <row r="445" spans="2:41" s="561" customFormat="1" x14ac:dyDescent="0.2">
      <c r="B445" s="561" t="s">
        <v>562</v>
      </c>
      <c r="I445" s="567"/>
      <c r="J445" s="562"/>
      <c r="K445" s="562"/>
      <c r="L445" s="562"/>
      <c r="M445" s="562"/>
      <c r="N445" s="562"/>
      <c r="O445" s="562"/>
      <c r="P445" s="562"/>
      <c r="Q445" s="562"/>
      <c r="R445" s="562"/>
      <c r="S445" s="563"/>
      <c r="T445" s="563"/>
      <c r="U445" s="563"/>
      <c r="V445" s="563"/>
      <c r="W445" s="564"/>
      <c r="X445" s="574"/>
      <c r="Y445" s="575"/>
      <c r="Z445" s="575"/>
      <c r="AA445" s="574"/>
      <c r="AB445" s="575"/>
      <c r="AC445" s="575"/>
      <c r="AH445" s="583">
        <v>0</v>
      </c>
      <c r="AJ445" s="47">
        <v>1</v>
      </c>
      <c r="AK445" s="47"/>
      <c r="AL445" s="47">
        <v>1</v>
      </c>
      <c r="AM445" s="567"/>
      <c r="AN445" s="567"/>
      <c r="AO445" s="567"/>
    </row>
    <row r="446" spans="2:41" s="561" customFormat="1" x14ac:dyDescent="0.2">
      <c r="B446" s="561" t="s">
        <v>563</v>
      </c>
      <c r="I446" s="567"/>
      <c r="J446" s="562"/>
      <c r="K446" s="562"/>
      <c r="L446" s="562"/>
      <c r="M446" s="562"/>
      <c r="N446" s="562"/>
      <c r="O446" s="562"/>
      <c r="P446" s="562"/>
      <c r="Q446" s="562"/>
      <c r="R446" s="562"/>
      <c r="S446" s="563"/>
      <c r="T446" s="563"/>
      <c r="U446" s="563"/>
      <c r="V446" s="563"/>
      <c r="W446" s="564"/>
      <c r="X446" s="574"/>
      <c r="Y446" s="575"/>
      <c r="Z446" s="575"/>
      <c r="AA446" s="574"/>
      <c r="AB446" s="575"/>
      <c r="AC446" s="575"/>
      <c r="AH446" s="583">
        <v>0</v>
      </c>
      <c r="AJ446" s="47">
        <v>1</v>
      </c>
      <c r="AK446" s="47"/>
      <c r="AL446" s="47">
        <v>1</v>
      </c>
      <c r="AM446" s="567"/>
      <c r="AN446" s="567"/>
      <c r="AO446" s="567"/>
    </row>
    <row r="447" spans="2:41" s="561" customFormat="1" x14ac:dyDescent="0.2">
      <c r="B447" s="561" t="s">
        <v>564</v>
      </c>
      <c r="I447" s="567"/>
      <c r="J447" s="562"/>
      <c r="K447" s="562"/>
      <c r="L447" s="562"/>
      <c r="M447" s="562"/>
      <c r="N447" s="562"/>
      <c r="O447" s="562"/>
      <c r="P447" s="562"/>
      <c r="Q447" s="562"/>
      <c r="R447" s="562"/>
      <c r="S447" s="563"/>
      <c r="T447" s="563"/>
      <c r="U447" s="563"/>
      <c r="V447" s="563"/>
      <c r="W447" s="564"/>
      <c r="X447" s="574"/>
      <c r="Y447" s="575"/>
      <c r="Z447" s="575"/>
      <c r="AA447" s="574"/>
      <c r="AB447" s="575"/>
      <c r="AC447" s="575"/>
      <c r="AH447" s="583">
        <v>0</v>
      </c>
      <c r="AJ447" s="47">
        <v>1</v>
      </c>
      <c r="AK447" s="47"/>
      <c r="AL447" s="47">
        <v>1</v>
      </c>
      <c r="AM447" s="567"/>
      <c r="AN447" s="567"/>
      <c r="AO447" s="567"/>
    </row>
    <row r="448" spans="2:41" s="561" customFormat="1" x14ac:dyDescent="0.2">
      <c r="B448" s="561" t="s">
        <v>565</v>
      </c>
      <c r="I448" s="567"/>
      <c r="J448" s="562"/>
      <c r="K448" s="562"/>
      <c r="L448" s="562"/>
      <c r="M448" s="562"/>
      <c r="N448" s="562"/>
      <c r="O448" s="562"/>
      <c r="P448" s="562"/>
      <c r="Q448" s="562"/>
      <c r="R448" s="562"/>
      <c r="S448" s="563"/>
      <c r="T448" s="563"/>
      <c r="U448" s="563"/>
      <c r="V448" s="563"/>
      <c r="W448" s="564"/>
      <c r="X448" s="574"/>
      <c r="Y448" s="575"/>
      <c r="Z448" s="575"/>
      <c r="AA448" s="574"/>
      <c r="AB448" s="575"/>
      <c r="AC448" s="575"/>
      <c r="AH448" s="583">
        <v>0</v>
      </c>
      <c r="AJ448" s="47">
        <v>1</v>
      </c>
      <c r="AK448" s="47"/>
      <c r="AL448" s="47">
        <v>1</v>
      </c>
      <c r="AM448" s="567"/>
      <c r="AN448" s="567"/>
      <c r="AO448" s="567"/>
    </row>
    <row r="449" spans="1:41" s="280" customFormat="1" x14ac:dyDescent="0.2">
      <c r="A449" s="280" t="s">
        <v>40</v>
      </c>
      <c r="B449" s="280" t="s">
        <v>41</v>
      </c>
      <c r="I449" s="329"/>
      <c r="J449" s="320">
        <f>COUNT(A450:A501)</f>
        <v>5</v>
      </c>
      <c r="K449" s="321">
        <v>0.8</v>
      </c>
      <c r="L449" s="320">
        <f>SUM(L450:L501)</f>
        <v>10</v>
      </c>
      <c r="M449" s="321">
        <f>COUNTIF(M450:M501,1)/L449</f>
        <v>0.3</v>
      </c>
      <c r="N449" s="320">
        <f>SUM(N450:N501)</f>
        <v>52</v>
      </c>
      <c r="O449" s="321">
        <f>COUNTIF(O450:O501,1)/N449</f>
        <v>9.6153846153846159E-2</v>
      </c>
      <c r="P449" s="524">
        <f>AVERAGE(O450:O501)</f>
        <v>9.6153846153846159E-2</v>
      </c>
      <c r="Q449" s="524">
        <f>_xlfn.STDEV.P(O450:O501)</f>
        <v>0.2948021099376133</v>
      </c>
      <c r="R449" s="525">
        <f>STDEV(O450:O501)/(SQRT(COUNT(O450:O501)))</f>
        <v>4.1280552327507575E-2</v>
      </c>
      <c r="S449" s="373">
        <f>((S450*N450)+(S457*N457)+(S465*N465)+(S473*N473)+(S475*N475)+(S482*N482)+(S484*N484)+(S486*N486)+(S500*N500)+(S501*N501))/N449</f>
        <v>9.6153846153846159E-2</v>
      </c>
      <c r="T449" s="373"/>
      <c r="U449" s="373">
        <f>_xlfn.STDEV.P(T450:T459)</f>
        <v>0.31044734017286757</v>
      </c>
      <c r="V449" s="373"/>
      <c r="W449" s="327"/>
      <c r="X449" s="331"/>
      <c r="Y449" s="332"/>
      <c r="Z449" s="332"/>
      <c r="AA449" s="331"/>
      <c r="AB449" s="332"/>
      <c r="AC449" s="332"/>
      <c r="AH449" s="196">
        <v>0</v>
      </c>
      <c r="AJ449" s="328">
        <f>COUNT(D502:D511)</f>
        <v>5</v>
      </c>
      <c r="AK449" s="328"/>
      <c r="AL449" s="328"/>
    </row>
    <row r="450" spans="1:41" s="19" customFormat="1" x14ac:dyDescent="0.2">
      <c r="A450" s="19">
        <v>1</v>
      </c>
      <c r="B450" s="112" t="s">
        <v>566</v>
      </c>
      <c r="C450" s="37" t="s">
        <v>96</v>
      </c>
      <c r="D450" s="37">
        <v>5</v>
      </c>
      <c r="E450" s="37" t="s">
        <v>513</v>
      </c>
      <c r="I450" s="1"/>
      <c r="J450" s="144" t="s">
        <v>27</v>
      </c>
      <c r="K450" s="144">
        <v>1</v>
      </c>
      <c r="L450" s="144">
        <v>1</v>
      </c>
      <c r="M450" s="144">
        <v>1</v>
      </c>
      <c r="N450" s="144">
        <v>7</v>
      </c>
      <c r="O450" s="192">
        <v>0</v>
      </c>
      <c r="P450" s="192"/>
      <c r="Q450" s="192"/>
      <c r="R450" s="192"/>
      <c r="S450" s="371">
        <f>SUM(O450:O456)/N450</f>
        <v>0.42857142857142855</v>
      </c>
      <c r="T450" s="371">
        <f>+S450</f>
        <v>0.42857142857142855</v>
      </c>
      <c r="U450" s="371"/>
      <c r="V450" s="371"/>
      <c r="W450" s="217"/>
      <c r="X450" s="71"/>
      <c r="Y450" s="70"/>
      <c r="Z450" s="70"/>
      <c r="AA450" s="71"/>
      <c r="AB450" s="70"/>
      <c r="AC450" s="70"/>
      <c r="AH450" s="196">
        <v>0</v>
      </c>
      <c r="AJ450" s="42"/>
      <c r="AK450" s="42"/>
      <c r="AL450" s="42"/>
    </row>
    <row r="451" spans="1:41" s="19" customFormat="1" x14ac:dyDescent="0.2">
      <c r="B451" s="112" t="s">
        <v>567</v>
      </c>
      <c r="C451" s="37"/>
      <c r="D451" s="37"/>
      <c r="E451" s="37"/>
      <c r="I451" s="1"/>
      <c r="J451" s="144"/>
      <c r="K451" s="144"/>
      <c r="L451" s="144"/>
      <c r="M451" s="144"/>
      <c r="N451" s="144"/>
      <c r="O451" s="192">
        <v>1</v>
      </c>
      <c r="P451" s="192"/>
      <c r="Q451" s="192"/>
      <c r="R451" s="192"/>
      <c r="S451" s="371"/>
      <c r="T451" s="371">
        <f>+S457</f>
        <v>0</v>
      </c>
      <c r="U451" s="371"/>
      <c r="V451" s="371"/>
      <c r="W451" s="217"/>
      <c r="X451" s="71"/>
      <c r="Y451" s="70"/>
      <c r="Z451" s="70"/>
      <c r="AA451" s="71"/>
      <c r="AB451" s="70"/>
      <c r="AC451" s="70"/>
      <c r="AH451" s="196">
        <v>0</v>
      </c>
      <c r="AJ451" s="42"/>
      <c r="AK451" s="42"/>
      <c r="AL451" s="42"/>
    </row>
    <row r="452" spans="1:41" s="19" customFormat="1" x14ac:dyDescent="0.2">
      <c r="B452" s="112" t="s">
        <v>568</v>
      </c>
      <c r="C452" s="37"/>
      <c r="D452" s="37"/>
      <c r="E452" s="37"/>
      <c r="I452" s="1"/>
      <c r="J452" s="144"/>
      <c r="K452" s="144"/>
      <c r="L452" s="144"/>
      <c r="M452" s="144"/>
      <c r="N452" s="144"/>
      <c r="O452" s="192">
        <v>1</v>
      </c>
      <c r="P452" s="192"/>
      <c r="Q452" s="192"/>
      <c r="R452" s="192"/>
      <c r="S452" s="371"/>
      <c r="T452" s="371">
        <f>+S465</f>
        <v>0</v>
      </c>
      <c r="U452" s="371"/>
      <c r="V452" s="371"/>
      <c r="W452" s="217"/>
      <c r="X452" s="71"/>
      <c r="Y452" s="70"/>
      <c r="Z452" s="70"/>
      <c r="AA452" s="71"/>
      <c r="AB452" s="70"/>
      <c r="AC452" s="70"/>
      <c r="AH452" s="196">
        <v>0</v>
      </c>
      <c r="AJ452" s="42"/>
      <c r="AK452" s="42"/>
      <c r="AL452" s="42"/>
    </row>
    <row r="453" spans="1:41" s="19" customFormat="1" x14ac:dyDescent="0.2">
      <c r="B453" s="112" t="s">
        <v>569</v>
      </c>
      <c r="C453" s="37"/>
      <c r="D453" s="37"/>
      <c r="E453" s="37"/>
      <c r="I453" s="1"/>
      <c r="J453" s="144"/>
      <c r="K453" s="144"/>
      <c r="L453" s="144"/>
      <c r="M453" s="144"/>
      <c r="N453" s="144"/>
      <c r="O453" s="192">
        <v>1</v>
      </c>
      <c r="P453" s="192"/>
      <c r="Q453" s="192"/>
      <c r="R453" s="192"/>
      <c r="S453" s="371"/>
      <c r="T453" s="371">
        <f>+S473</f>
        <v>0</v>
      </c>
      <c r="U453" s="371"/>
      <c r="V453" s="371"/>
      <c r="W453" s="217"/>
      <c r="X453" s="71"/>
      <c r="Y453" s="70"/>
      <c r="Z453" s="70"/>
      <c r="AA453" s="71"/>
      <c r="AB453" s="70"/>
      <c r="AC453" s="70"/>
      <c r="AH453" s="196">
        <v>0</v>
      </c>
      <c r="AJ453" s="42"/>
      <c r="AK453" s="42"/>
      <c r="AL453" s="42"/>
    </row>
    <row r="454" spans="1:41" s="19" customFormat="1" x14ac:dyDescent="0.2">
      <c r="B454" s="112" t="s">
        <v>570</v>
      </c>
      <c r="C454" s="37"/>
      <c r="D454" s="37"/>
      <c r="E454" s="37"/>
      <c r="I454" s="1"/>
      <c r="J454" s="144"/>
      <c r="K454" s="144"/>
      <c r="L454" s="144"/>
      <c r="M454" s="144"/>
      <c r="N454" s="144"/>
      <c r="O454" s="192">
        <v>0</v>
      </c>
      <c r="P454" s="192"/>
      <c r="Q454" s="192"/>
      <c r="R454" s="192"/>
      <c r="S454" s="371"/>
      <c r="T454" s="371">
        <f>+S475</f>
        <v>0</v>
      </c>
      <c r="U454" s="371"/>
      <c r="V454" s="371"/>
      <c r="W454" s="217"/>
      <c r="X454" s="71"/>
      <c r="Y454" s="70"/>
      <c r="Z454" s="70"/>
      <c r="AA454" s="71"/>
      <c r="AB454" s="70"/>
      <c r="AC454" s="70"/>
      <c r="AH454" s="196">
        <v>0</v>
      </c>
      <c r="AJ454" s="42"/>
      <c r="AK454" s="42"/>
      <c r="AL454" s="42"/>
    </row>
    <row r="455" spans="1:41" s="19" customFormat="1" x14ac:dyDescent="0.2">
      <c r="B455" s="112" t="s">
        <v>571</v>
      </c>
      <c r="C455" s="37" t="s">
        <v>96</v>
      </c>
      <c r="D455" s="37">
        <v>5</v>
      </c>
      <c r="E455" s="37" t="s">
        <v>513</v>
      </c>
      <c r="G455" s="37" t="s">
        <v>126</v>
      </c>
      <c r="I455" s="1"/>
      <c r="J455" s="144"/>
      <c r="K455" s="144"/>
      <c r="L455" s="144"/>
      <c r="M455" s="144"/>
      <c r="N455" s="144"/>
      <c r="O455" s="192">
        <v>0</v>
      </c>
      <c r="P455" s="192"/>
      <c r="Q455" s="192"/>
      <c r="R455" s="192"/>
      <c r="S455" s="371" t="s">
        <v>27</v>
      </c>
      <c r="T455" s="371">
        <f>+S482</f>
        <v>0</v>
      </c>
      <c r="U455" s="371"/>
      <c r="V455" s="371"/>
      <c r="W455" s="217"/>
      <c r="X455" s="71"/>
      <c r="Y455" s="70"/>
      <c r="Z455" s="70"/>
      <c r="AA455" s="71"/>
      <c r="AB455" s="70"/>
      <c r="AC455" s="70"/>
      <c r="AH455" s="196">
        <v>0</v>
      </c>
      <c r="AJ455" s="42"/>
      <c r="AK455" s="42"/>
      <c r="AL455" s="42"/>
    </row>
    <row r="456" spans="1:41" s="19" customFormat="1" x14ac:dyDescent="0.2">
      <c r="B456" s="112" t="s">
        <v>572</v>
      </c>
      <c r="C456" s="37" t="s">
        <v>96</v>
      </c>
      <c r="D456" s="37">
        <v>5</v>
      </c>
      <c r="E456" s="37" t="s">
        <v>513</v>
      </c>
      <c r="G456" s="37" t="s">
        <v>126</v>
      </c>
      <c r="I456" s="1"/>
      <c r="J456" s="144"/>
      <c r="K456" s="144"/>
      <c r="L456" s="144"/>
      <c r="M456" s="144"/>
      <c r="N456" s="144"/>
      <c r="O456" s="192">
        <v>0</v>
      </c>
      <c r="P456" s="192"/>
      <c r="Q456" s="192"/>
      <c r="R456" s="192"/>
      <c r="S456" s="371"/>
      <c r="T456" s="371">
        <f>+S484</f>
        <v>0</v>
      </c>
      <c r="U456" s="371"/>
      <c r="V456" s="371"/>
      <c r="W456" s="217"/>
      <c r="X456" s="71"/>
      <c r="Y456" s="70"/>
      <c r="Z456" s="70"/>
      <c r="AA456" s="71"/>
      <c r="AB456" s="70"/>
      <c r="AC456" s="70"/>
      <c r="AH456" s="196">
        <v>0</v>
      </c>
      <c r="AJ456" s="42"/>
      <c r="AK456" s="42"/>
      <c r="AL456" s="42"/>
    </row>
    <row r="457" spans="1:41" x14ac:dyDescent="0.2">
      <c r="B457" s="91" t="s">
        <v>573</v>
      </c>
      <c r="E457"/>
      <c r="F457"/>
      <c r="G457" t="s">
        <v>126</v>
      </c>
      <c r="H457"/>
      <c r="I457" s="1"/>
      <c r="J457" s="139"/>
      <c r="K457" s="139"/>
      <c r="L457" s="139">
        <v>1</v>
      </c>
      <c r="M457" s="139">
        <v>0</v>
      </c>
      <c r="N457" s="139">
        <v>8</v>
      </c>
      <c r="O457" s="190">
        <v>0</v>
      </c>
      <c r="S457" s="371">
        <f>SUM(O457:O464)/N457</f>
        <v>0</v>
      </c>
      <c r="T457" s="371">
        <f>+S486</f>
        <v>7.1428571428571425E-2</v>
      </c>
      <c r="U457" s="371"/>
      <c r="V457" s="371"/>
      <c r="W457" s="217"/>
      <c r="X457" s="71"/>
      <c r="Y457" s="70"/>
      <c r="Z457" s="70"/>
      <c r="AA457" s="71"/>
      <c r="AB457" s="70"/>
      <c r="AC457" s="70"/>
      <c r="AH457" s="196">
        <v>0</v>
      </c>
      <c r="AM457" s="18"/>
      <c r="AN457" s="18"/>
      <c r="AO457" s="18"/>
    </row>
    <row r="458" spans="1:41" x14ac:dyDescent="0.2">
      <c r="B458" s="91" t="s">
        <v>574</v>
      </c>
      <c r="E458"/>
      <c r="F458"/>
      <c r="G458" t="s">
        <v>126</v>
      </c>
      <c r="H458"/>
      <c r="I458" s="55"/>
      <c r="J458" s="139"/>
      <c r="K458" s="139"/>
      <c r="L458" s="139"/>
      <c r="M458" s="139" t="s">
        <v>27</v>
      </c>
      <c r="O458" s="190">
        <v>0</v>
      </c>
      <c r="S458" s="371"/>
      <c r="T458" s="371">
        <f>+S500</f>
        <v>1</v>
      </c>
      <c r="U458" s="371"/>
      <c r="V458" s="371"/>
      <c r="W458" s="217"/>
      <c r="X458" s="56"/>
      <c r="Y458" s="57"/>
      <c r="Z458" s="57"/>
      <c r="AA458" s="56"/>
      <c r="AB458" s="57"/>
      <c r="AC458" s="57"/>
      <c r="AH458" s="196">
        <v>0</v>
      </c>
      <c r="AM458" s="18"/>
      <c r="AN458" s="18"/>
      <c r="AO458" s="18"/>
    </row>
    <row r="459" spans="1:41" x14ac:dyDescent="0.2">
      <c r="B459" s="91" t="s">
        <v>575</v>
      </c>
      <c r="E459"/>
      <c r="F459"/>
      <c r="G459" t="s">
        <v>126</v>
      </c>
      <c r="H459"/>
      <c r="I459" s="19"/>
      <c r="J459" s="139"/>
      <c r="K459" s="139"/>
      <c r="L459" s="139"/>
      <c r="M459" s="139" t="s">
        <v>27</v>
      </c>
      <c r="O459" s="190">
        <v>0</v>
      </c>
      <c r="S459" s="371"/>
      <c r="T459" s="371">
        <f>+S501</f>
        <v>0</v>
      </c>
      <c r="U459" s="371"/>
      <c r="V459" s="371"/>
      <c r="W459" s="217"/>
      <c r="X459" s="29"/>
      <c r="Y459" s="30"/>
      <c r="Z459" s="30"/>
      <c r="AA459" s="29"/>
      <c r="AB459" s="30"/>
      <c r="AC459" s="30"/>
      <c r="AH459" s="196">
        <v>0</v>
      </c>
      <c r="AM459" s="18"/>
      <c r="AN459" s="18"/>
      <c r="AO459" s="18"/>
    </row>
    <row r="460" spans="1:41" x14ac:dyDescent="0.2">
      <c r="B460" s="91" t="s">
        <v>576</v>
      </c>
      <c r="E460"/>
      <c r="F460"/>
      <c r="G460" t="s">
        <v>126</v>
      </c>
      <c r="H460"/>
      <c r="I460" s="19"/>
      <c r="J460" s="139"/>
      <c r="K460" s="139"/>
      <c r="L460" s="139"/>
      <c r="M460" s="139" t="s">
        <v>27</v>
      </c>
      <c r="O460" s="190">
        <v>0</v>
      </c>
      <c r="S460" s="371"/>
      <c r="T460" s="382">
        <f>AVERAGE(T450:T459)</f>
        <v>0.15</v>
      </c>
      <c r="U460" s="382"/>
      <c r="V460" s="380">
        <f>STDEV(T450:T459)/(SQRT(COUNT(T450:T459)))</f>
        <v>0.10348244672428918</v>
      </c>
      <c r="W460" s="217"/>
      <c r="X460" s="29"/>
      <c r="Y460" s="30"/>
      <c r="Z460" s="30"/>
      <c r="AA460" s="29"/>
      <c r="AB460" s="30"/>
      <c r="AC460" s="30"/>
      <c r="AH460" s="196">
        <v>0</v>
      </c>
      <c r="AM460" s="18"/>
      <c r="AN460" s="18"/>
      <c r="AO460" s="18"/>
    </row>
    <row r="461" spans="1:41" x14ac:dyDescent="0.2">
      <c r="B461" s="91" t="s">
        <v>577</v>
      </c>
      <c r="E461"/>
      <c r="F461"/>
      <c r="G461" t="s">
        <v>126</v>
      </c>
      <c r="H461"/>
      <c r="I461" s="19"/>
      <c r="J461" s="139"/>
      <c r="K461" s="139"/>
      <c r="L461" s="139"/>
      <c r="M461" s="139" t="s">
        <v>27</v>
      </c>
      <c r="O461" s="190">
        <v>0</v>
      </c>
      <c r="S461" s="371"/>
      <c r="T461" s="371"/>
      <c r="U461" s="371"/>
      <c r="V461" s="371"/>
      <c r="W461" s="217"/>
      <c r="X461" s="29"/>
      <c r="Y461" s="30"/>
      <c r="Z461" s="30"/>
      <c r="AA461" s="29"/>
      <c r="AB461" s="30"/>
      <c r="AC461" s="30"/>
      <c r="AH461" s="196">
        <v>0</v>
      </c>
      <c r="AM461" s="18"/>
      <c r="AN461" s="18"/>
      <c r="AO461" s="18"/>
    </row>
    <row r="462" spans="1:41" x14ac:dyDescent="0.2">
      <c r="B462" s="91" t="s">
        <v>578</v>
      </c>
      <c r="E462"/>
      <c r="F462"/>
      <c r="G462" t="s">
        <v>126</v>
      </c>
      <c r="H462"/>
      <c r="I462" s="19"/>
      <c r="J462" s="139"/>
      <c r="K462" s="139"/>
      <c r="L462" s="139"/>
      <c r="M462" s="139" t="s">
        <v>27</v>
      </c>
      <c r="O462" s="190">
        <v>0</v>
      </c>
      <c r="S462" s="371"/>
      <c r="T462" s="371"/>
      <c r="U462" s="371"/>
      <c r="V462" s="371"/>
      <c r="W462" s="217"/>
      <c r="X462" s="29"/>
      <c r="Y462" s="30"/>
      <c r="Z462" s="30"/>
      <c r="AA462" s="29"/>
      <c r="AB462" s="30"/>
      <c r="AC462" s="30"/>
      <c r="AH462" s="196">
        <v>0</v>
      </c>
      <c r="AM462" s="18"/>
      <c r="AN462" s="18"/>
      <c r="AO462" s="18"/>
    </row>
    <row r="463" spans="1:41" x14ac:dyDescent="0.2">
      <c r="B463" s="91" t="s">
        <v>579</v>
      </c>
      <c r="E463"/>
      <c r="F463"/>
      <c r="G463" t="s">
        <v>126</v>
      </c>
      <c r="H463"/>
      <c r="I463" s="19"/>
      <c r="J463" s="139"/>
      <c r="K463" s="139"/>
      <c r="L463" s="139"/>
      <c r="M463" s="139" t="s">
        <v>27</v>
      </c>
      <c r="O463" s="190">
        <v>0</v>
      </c>
      <c r="S463" s="371"/>
      <c r="T463" s="371"/>
      <c r="U463" s="371"/>
      <c r="V463" s="371"/>
      <c r="W463" s="217"/>
      <c r="X463" s="29"/>
      <c r="Y463" s="30"/>
      <c r="Z463" s="30"/>
      <c r="AA463" s="29"/>
      <c r="AB463" s="30"/>
      <c r="AC463" s="30"/>
      <c r="AH463" s="196">
        <v>0</v>
      </c>
      <c r="AM463" s="18"/>
      <c r="AN463" s="18"/>
      <c r="AO463" s="18"/>
    </row>
    <row r="464" spans="1:41" x14ac:dyDescent="0.2">
      <c r="B464" s="91" t="s">
        <v>580</v>
      </c>
      <c r="E464"/>
      <c r="F464"/>
      <c r="G464" t="s">
        <v>126</v>
      </c>
      <c r="H464"/>
      <c r="I464" s="19"/>
      <c r="J464" s="139"/>
      <c r="K464" s="139"/>
      <c r="L464" s="139"/>
      <c r="M464" s="139" t="s">
        <v>27</v>
      </c>
      <c r="O464" s="190">
        <v>0</v>
      </c>
      <c r="S464" s="371" t="s">
        <v>27</v>
      </c>
      <c r="T464" s="371"/>
      <c r="U464" s="371"/>
      <c r="V464" s="371"/>
      <c r="W464" s="217"/>
      <c r="X464" s="29"/>
      <c r="Y464" s="30"/>
      <c r="Z464" s="30"/>
      <c r="AA464" s="29"/>
      <c r="AB464" s="30"/>
      <c r="AC464" s="30"/>
      <c r="AH464" s="196">
        <v>1</v>
      </c>
      <c r="AM464" s="18"/>
      <c r="AN464" s="18"/>
      <c r="AO464" s="18"/>
    </row>
    <row r="465" spans="1:41" s="19" customFormat="1" x14ac:dyDescent="0.2">
      <c r="A465" s="19">
        <v>2</v>
      </c>
      <c r="B465" s="112" t="s">
        <v>581</v>
      </c>
      <c r="C465" s="37" t="s">
        <v>96</v>
      </c>
      <c r="D465" s="37">
        <v>5</v>
      </c>
      <c r="E465" s="37" t="s">
        <v>513</v>
      </c>
      <c r="G465" s="37" t="s">
        <v>126</v>
      </c>
      <c r="J465" s="144" t="s">
        <v>27</v>
      </c>
      <c r="K465" s="144">
        <v>1</v>
      </c>
      <c r="L465" s="144">
        <v>1</v>
      </c>
      <c r="M465" s="144">
        <v>0</v>
      </c>
      <c r="N465" s="144">
        <v>8</v>
      </c>
      <c r="O465" s="192">
        <v>0</v>
      </c>
      <c r="P465" s="192"/>
      <c r="Q465" s="192"/>
      <c r="R465" s="192"/>
      <c r="S465" s="371">
        <f>SUM(O465:O472)/N465</f>
        <v>0</v>
      </c>
      <c r="T465" s="371"/>
      <c r="U465" s="371"/>
      <c r="V465" s="371"/>
      <c r="W465" s="217"/>
      <c r="X465" s="29"/>
      <c r="Y465" s="30"/>
      <c r="Z465" s="30"/>
      <c r="AA465" s="29"/>
      <c r="AB465" s="30"/>
      <c r="AC465" s="30"/>
      <c r="AH465" s="196">
        <v>0</v>
      </c>
      <c r="AJ465" s="42"/>
      <c r="AK465" s="42"/>
      <c r="AL465" s="42"/>
    </row>
    <row r="466" spans="1:41" x14ac:dyDescent="0.2">
      <c r="B466" s="91" t="s">
        <v>582</v>
      </c>
      <c r="E466"/>
      <c r="F466"/>
      <c r="G466" t="s">
        <v>126</v>
      </c>
      <c r="H466"/>
      <c r="I466" s="19"/>
      <c r="J466" s="139"/>
      <c r="K466" s="139"/>
      <c r="L466" s="139"/>
      <c r="M466" s="145" t="s">
        <v>27</v>
      </c>
      <c r="O466" s="190">
        <v>0</v>
      </c>
      <c r="S466" s="371"/>
      <c r="T466" s="371"/>
      <c r="U466" s="371"/>
      <c r="V466" s="371"/>
      <c r="W466" s="217"/>
      <c r="X466" s="29"/>
      <c r="Y466" s="30"/>
      <c r="Z466" s="30"/>
      <c r="AA466" s="29"/>
      <c r="AB466" s="30"/>
      <c r="AC466" s="30"/>
      <c r="AH466" s="196">
        <v>1</v>
      </c>
      <c r="AM466" s="18"/>
      <c r="AN466" s="18"/>
      <c r="AO466" s="18"/>
    </row>
    <row r="467" spans="1:41" x14ac:dyDescent="0.2">
      <c r="B467" s="91" t="s">
        <v>583</v>
      </c>
      <c r="E467"/>
      <c r="F467"/>
      <c r="G467" t="s">
        <v>126</v>
      </c>
      <c r="H467"/>
      <c r="I467" s="19"/>
      <c r="J467" s="139"/>
      <c r="K467" s="139"/>
      <c r="L467" s="139"/>
      <c r="M467" s="145" t="s">
        <v>27</v>
      </c>
      <c r="O467" s="190">
        <v>0</v>
      </c>
      <c r="S467" s="371"/>
      <c r="T467" s="371"/>
      <c r="U467" s="371"/>
      <c r="V467" s="371"/>
      <c r="W467" s="217"/>
      <c r="X467" s="29"/>
      <c r="Y467" s="30"/>
      <c r="Z467" s="30"/>
      <c r="AA467" s="29"/>
      <c r="AB467" s="30"/>
      <c r="AC467" s="30"/>
      <c r="AH467" s="196">
        <v>1</v>
      </c>
      <c r="AM467" s="18"/>
      <c r="AN467" s="18"/>
      <c r="AO467" s="18"/>
    </row>
    <row r="468" spans="1:41" x14ac:dyDescent="0.2">
      <c r="B468" s="91" t="s">
        <v>584</v>
      </c>
      <c r="E468"/>
      <c r="F468"/>
      <c r="G468" t="s">
        <v>126</v>
      </c>
      <c r="H468"/>
      <c r="I468" s="19"/>
      <c r="J468" s="139"/>
      <c r="K468" s="139"/>
      <c r="L468" s="139"/>
      <c r="M468" s="145" t="s">
        <v>27</v>
      </c>
      <c r="O468" s="190">
        <v>0</v>
      </c>
      <c r="S468" s="371"/>
      <c r="T468" s="371"/>
      <c r="U468" s="371"/>
      <c r="V468" s="371"/>
      <c r="W468" s="217"/>
      <c r="X468" s="29"/>
      <c r="Y468" s="30"/>
      <c r="Z468" s="30"/>
      <c r="AA468" s="29"/>
      <c r="AB468" s="30"/>
      <c r="AC468" s="30"/>
      <c r="AH468" s="196">
        <v>0</v>
      </c>
      <c r="AM468" s="18"/>
      <c r="AN468" s="18"/>
      <c r="AO468" s="18"/>
    </row>
    <row r="469" spans="1:41" x14ac:dyDescent="0.2">
      <c r="B469" s="91" t="s">
        <v>585</v>
      </c>
      <c r="E469"/>
      <c r="F469"/>
      <c r="G469" t="s">
        <v>126</v>
      </c>
      <c r="H469"/>
      <c r="I469" s="19"/>
      <c r="J469" s="139"/>
      <c r="K469" s="139"/>
      <c r="L469" s="139"/>
      <c r="O469" s="190">
        <v>0</v>
      </c>
      <c r="S469" s="371"/>
      <c r="T469" s="371"/>
      <c r="U469" s="371"/>
      <c r="V469" s="371"/>
      <c r="W469" s="217"/>
      <c r="X469" s="29"/>
      <c r="Y469" s="30"/>
      <c r="Z469" s="30"/>
      <c r="AA469" s="29"/>
      <c r="AB469" s="30"/>
      <c r="AC469" s="30"/>
      <c r="AH469" s="196">
        <v>0</v>
      </c>
      <c r="AM469" s="18"/>
      <c r="AN469" s="18"/>
      <c r="AO469" s="18"/>
    </row>
    <row r="470" spans="1:41" x14ac:dyDescent="0.2">
      <c r="B470" s="91" t="s">
        <v>586</v>
      </c>
      <c r="E470"/>
      <c r="F470"/>
      <c r="G470" t="s">
        <v>126</v>
      </c>
      <c r="H470"/>
      <c r="I470" s="19"/>
      <c r="J470" s="139"/>
      <c r="K470" s="139"/>
      <c r="L470" s="139"/>
      <c r="O470" s="190">
        <v>0</v>
      </c>
      <c r="S470" s="371"/>
      <c r="T470" s="371"/>
      <c r="U470" s="371"/>
      <c r="V470" s="371"/>
      <c r="W470" s="217"/>
      <c r="X470" s="33"/>
      <c r="Y470" s="34"/>
      <c r="Z470" s="34"/>
      <c r="AA470" s="33"/>
      <c r="AB470" s="34"/>
      <c r="AC470" s="34"/>
      <c r="AH470" s="196">
        <v>0</v>
      </c>
      <c r="AM470" s="18"/>
      <c r="AN470" s="18"/>
      <c r="AO470" s="18"/>
    </row>
    <row r="471" spans="1:41" x14ac:dyDescent="0.2">
      <c r="B471" s="91" t="s">
        <v>587</v>
      </c>
      <c r="E471"/>
      <c r="F471"/>
      <c r="G471" t="s">
        <v>27</v>
      </c>
      <c r="H471"/>
      <c r="I471" s="19"/>
      <c r="J471" s="139"/>
      <c r="K471" s="139"/>
      <c r="L471" s="139"/>
      <c r="O471" s="190">
        <v>0</v>
      </c>
      <c r="S471" s="371"/>
      <c r="T471" s="371"/>
      <c r="U471" s="371"/>
      <c r="V471" s="371"/>
      <c r="W471" s="217"/>
      <c r="X471" s="29"/>
      <c r="Y471" s="30"/>
      <c r="Z471" s="30"/>
      <c r="AA471" s="29"/>
      <c r="AB471" s="30"/>
      <c r="AC471" s="30"/>
      <c r="AH471" s="196">
        <v>0</v>
      </c>
      <c r="AM471" s="18"/>
      <c r="AN471" s="18"/>
      <c r="AO471" s="18"/>
    </row>
    <row r="472" spans="1:41" x14ac:dyDescent="0.2">
      <c r="B472" s="91" t="s">
        <v>588</v>
      </c>
      <c r="E472"/>
      <c r="F472"/>
      <c r="G472" t="s">
        <v>27</v>
      </c>
      <c r="H472"/>
      <c r="I472" s="19"/>
      <c r="J472" s="139"/>
      <c r="K472" s="139"/>
      <c r="L472" s="139"/>
      <c r="O472" s="190">
        <v>0</v>
      </c>
      <c r="S472" s="371"/>
      <c r="T472" s="371"/>
      <c r="U472" s="371"/>
      <c r="V472" s="371"/>
      <c r="W472" s="217"/>
      <c r="X472" s="29"/>
      <c r="Y472" s="30"/>
      <c r="Z472" s="30"/>
      <c r="AA472" s="29"/>
      <c r="AB472" s="30"/>
      <c r="AC472" s="30"/>
      <c r="AH472" s="196">
        <v>0</v>
      </c>
      <c r="AM472" s="18"/>
      <c r="AN472" s="18"/>
      <c r="AO472" s="18"/>
    </row>
    <row r="473" spans="1:41" x14ac:dyDescent="0.2">
      <c r="B473" s="91" t="s">
        <v>589</v>
      </c>
      <c r="E473"/>
      <c r="F473"/>
      <c r="G473"/>
      <c r="H473"/>
      <c r="I473" s="19"/>
      <c r="J473" s="139"/>
      <c r="K473" s="139"/>
      <c r="L473" s="139">
        <v>1</v>
      </c>
      <c r="M473" s="139">
        <v>0</v>
      </c>
      <c r="N473" s="139">
        <v>2</v>
      </c>
      <c r="O473" s="190">
        <v>0</v>
      </c>
      <c r="S473" s="371">
        <v>0</v>
      </c>
      <c r="T473" s="371"/>
      <c r="U473" s="371"/>
      <c r="V473" s="371"/>
      <c r="W473" s="217"/>
      <c r="X473" s="29"/>
      <c r="Y473" s="30"/>
      <c r="Z473" s="30"/>
      <c r="AA473" s="29"/>
      <c r="AB473" s="30"/>
      <c r="AC473" s="30"/>
      <c r="AH473" s="196">
        <v>0</v>
      </c>
      <c r="AM473" s="1"/>
      <c r="AN473" s="1"/>
      <c r="AO473" s="1"/>
    </row>
    <row r="474" spans="1:41" x14ac:dyDescent="0.2">
      <c r="B474" s="91" t="s">
        <v>590</v>
      </c>
      <c r="E474"/>
      <c r="F474"/>
      <c r="G474"/>
      <c r="H474"/>
      <c r="I474" s="19"/>
      <c r="J474" s="139"/>
      <c r="K474" s="139"/>
      <c r="L474" s="139"/>
      <c r="O474" s="190">
        <v>0</v>
      </c>
      <c r="S474" s="371" t="s">
        <v>27</v>
      </c>
      <c r="T474" s="371"/>
      <c r="U474" s="371"/>
      <c r="V474" s="371"/>
      <c r="W474" s="217"/>
      <c r="X474" s="29"/>
      <c r="Y474" s="30"/>
      <c r="Z474" s="30"/>
      <c r="AA474" s="29"/>
      <c r="AB474" s="30"/>
      <c r="AC474" s="30"/>
      <c r="AH474" s="192">
        <v>0</v>
      </c>
      <c r="AM474" s="1"/>
      <c r="AN474" s="1"/>
      <c r="AO474" s="1"/>
    </row>
    <row r="475" spans="1:41" s="19" customFormat="1" x14ac:dyDescent="0.2">
      <c r="A475" s="19" t="s">
        <v>27</v>
      </c>
      <c r="B475" s="112" t="s">
        <v>591</v>
      </c>
      <c r="C475" s="19" t="s">
        <v>96</v>
      </c>
      <c r="D475" s="19">
        <v>5</v>
      </c>
      <c r="E475" s="19" t="s">
        <v>513</v>
      </c>
      <c r="G475" s="37" t="s">
        <v>126</v>
      </c>
      <c r="J475" s="144"/>
      <c r="K475" s="144">
        <v>1</v>
      </c>
      <c r="L475" s="144">
        <v>1</v>
      </c>
      <c r="M475" s="144">
        <v>0</v>
      </c>
      <c r="N475" s="144">
        <v>7</v>
      </c>
      <c r="O475" s="192">
        <v>0</v>
      </c>
      <c r="P475" s="192"/>
      <c r="Q475" s="192"/>
      <c r="R475" s="192"/>
      <c r="S475" s="371">
        <v>0</v>
      </c>
      <c r="T475" s="371"/>
      <c r="U475" s="371"/>
      <c r="V475" s="371"/>
      <c r="W475" s="217"/>
      <c r="X475" s="29"/>
      <c r="Y475" s="30"/>
      <c r="Z475" s="30"/>
      <c r="AA475" s="29"/>
      <c r="AB475" s="30"/>
      <c r="AC475" s="30"/>
      <c r="AH475" s="192">
        <v>0</v>
      </c>
      <c r="AJ475" s="42"/>
      <c r="AK475" s="42"/>
      <c r="AL475" s="42"/>
    </row>
    <row r="476" spans="1:41" s="19" customFormat="1" x14ac:dyDescent="0.2">
      <c r="B476" s="112" t="s">
        <v>592</v>
      </c>
      <c r="C476" s="19" t="s">
        <v>96</v>
      </c>
      <c r="D476" s="19">
        <v>5</v>
      </c>
      <c r="E476" s="19" t="s">
        <v>513</v>
      </c>
      <c r="G476" s="37" t="s">
        <v>126</v>
      </c>
      <c r="J476" s="144"/>
      <c r="K476" s="144"/>
      <c r="L476" s="144"/>
      <c r="M476" s="144"/>
      <c r="N476" s="144"/>
      <c r="O476" s="192">
        <v>0</v>
      </c>
      <c r="P476" s="192"/>
      <c r="Q476" s="192"/>
      <c r="R476" s="192"/>
      <c r="S476" s="371"/>
      <c r="T476" s="371"/>
      <c r="U476" s="371"/>
      <c r="V476" s="371"/>
      <c r="W476" s="217"/>
      <c r="X476" s="29"/>
      <c r="Y476" s="30"/>
      <c r="Z476" s="30"/>
      <c r="AA476" s="29"/>
      <c r="AB476" s="30"/>
      <c r="AC476" s="30"/>
      <c r="AH476" s="192">
        <v>0</v>
      </c>
      <c r="AJ476" s="42"/>
      <c r="AK476" s="42"/>
      <c r="AL476" s="42"/>
    </row>
    <row r="477" spans="1:41" s="19" customFormat="1" x14ac:dyDescent="0.2">
      <c r="B477" s="112" t="s">
        <v>593</v>
      </c>
      <c r="C477" s="19" t="s">
        <v>96</v>
      </c>
      <c r="D477" s="19">
        <v>5</v>
      </c>
      <c r="E477" s="19" t="s">
        <v>513</v>
      </c>
      <c r="G477" s="37" t="s">
        <v>126</v>
      </c>
      <c r="H477" s="119" t="s">
        <v>27</v>
      </c>
      <c r="J477" s="144"/>
      <c r="K477" s="144"/>
      <c r="L477" s="144"/>
      <c r="M477" s="144"/>
      <c r="N477" s="144"/>
      <c r="O477" s="192">
        <v>0</v>
      </c>
      <c r="P477" s="192"/>
      <c r="Q477" s="192"/>
      <c r="R477" s="192"/>
      <c r="S477" s="371" t="s">
        <v>27</v>
      </c>
      <c r="T477" s="371"/>
      <c r="U477" s="371"/>
      <c r="V477" s="371"/>
      <c r="W477" s="217"/>
      <c r="X477" s="29"/>
      <c r="Y477" s="30"/>
      <c r="Z477" s="30"/>
      <c r="AA477" s="29"/>
      <c r="AB477" s="30"/>
      <c r="AC477" s="30"/>
      <c r="AH477" s="192">
        <v>0</v>
      </c>
      <c r="AJ477" s="42"/>
      <c r="AK477" s="42"/>
      <c r="AL477" s="42"/>
    </row>
    <row r="478" spans="1:41" s="19" customFormat="1" x14ac:dyDescent="0.2">
      <c r="B478" s="112" t="s">
        <v>594</v>
      </c>
      <c r="C478" s="37" t="s">
        <v>96</v>
      </c>
      <c r="D478" s="19">
        <v>5</v>
      </c>
      <c r="E478" s="19" t="s">
        <v>513</v>
      </c>
      <c r="G478" s="37" t="s">
        <v>126</v>
      </c>
      <c r="H478" s="119" t="s">
        <v>27</v>
      </c>
      <c r="J478" s="144"/>
      <c r="K478" s="144"/>
      <c r="L478" s="144"/>
      <c r="M478" s="144"/>
      <c r="N478" s="144"/>
      <c r="O478" s="192">
        <v>0</v>
      </c>
      <c r="P478" s="192"/>
      <c r="Q478" s="192"/>
      <c r="R478" s="192"/>
      <c r="S478" s="371"/>
      <c r="T478" s="371"/>
      <c r="U478" s="371"/>
      <c r="V478" s="371"/>
      <c r="W478" s="217"/>
      <c r="X478" s="29"/>
      <c r="Y478" s="30"/>
      <c r="Z478" s="30"/>
      <c r="AA478" s="29"/>
      <c r="AB478" s="30"/>
      <c r="AC478" s="30"/>
      <c r="AH478" s="192">
        <v>0</v>
      </c>
      <c r="AJ478" s="42"/>
      <c r="AK478" s="42"/>
      <c r="AL478" s="42"/>
    </row>
    <row r="479" spans="1:41" s="19" customFormat="1" x14ac:dyDescent="0.2">
      <c r="B479" s="112" t="s">
        <v>595</v>
      </c>
      <c r="C479" s="37" t="s">
        <v>96</v>
      </c>
      <c r="D479" s="19">
        <v>5</v>
      </c>
      <c r="E479" s="19" t="s">
        <v>513</v>
      </c>
      <c r="G479" s="37" t="s">
        <v>126</v>
      </c>
      <c r="H479" s="119" t="s">
        <v>27</v>
      </c>
      <c r="J479" s="144"/>
      <c r="K479" s="144"/>
      <c r="L479" s="144"/>
      <c r="M479" s="144"/>
      <c r="N479" s="144"/>
      <c r="O479" s="192">
        <v>0</v>
      </c>
      <c r="P479" s="192"/>
      <c r="Q479" s="192"/>
      <c r="R479" s="192"/>
      <c r="S479" s="371"/>
      <c r="T479" s="371"/>
      <c r="U479" s="371"/>
      <c r="V479" s="371"/>
      <c r="W479" s="217"/>
      <c r="X479" s="29"/>
      <c r="Y479" s="30"/>
      <c r="Z479" s="30"/>
      <c r="AA479" s="29"/>
      <c r="AB479" s="30"/>
      <c r="AC479" s="30"/>
      <c r="AH479" s="192">
        <v>0</v>
      </c>
      <c r="AJ479" s="42"/>
      <c r="AK479" s="42"/>
      <c r="AL479" s="42"/>
    </row>
    <row r="480" spans="1:41" s="19" customFormat="1" x14ac:dyDescent="0.2">
      <c r="B480" s="112" t="s">
        <v>596</v>
      </c>
      <c r="C480" s="37"/>
      <c r="H480" s="119"/>
      <c r="J480" s="144"/>
      <c r="K480" s="144"/>
      <c r="L480" s="144"/>
      <c r="M480" s="144"/>
      <c r="N480" s="144"/>
      <c r="O480" s="192">
        <v>0</v>
      </c>
      <c r="P480" s="192"/>
      <c r="Q480" s="192"/>
      <c r="R480" s="192"/>
      <c r="S480" s="371" t="s">
        <v>27</v>
      </c>
      <c r="T480" s="371"/>
      <c r="U480" s="371"/>
      <c r="V480" s="371"/>
      <c r="W480" s="217"/>
      <c r="X480" s="29"/>
      <c r="Y480" s="30"/>
      <c r="Z480" s="30"/>
      <c r="AA480" s="29"/>
      <c r="AB480" s="30"/>
      <c r="AC480" s="30"/>
      <c r="AH480" s="192">
        <v>0</v>
      </c>
      <c r="AJ480" s="42"/>
      <c r="AK480" s="42"/>
      <c r="AL480" s="42"/>
    </row>
    <row r="481" spans="1:41" s="19" customFormat="1" x14ac:dyDescent="0.2">
      <c r="B481" s="112" t="s">
        <v>597</v>
      </c>
      <c r="C481" s="37"/>
      <c r="H481" s="119"/>
      <c r="J481" s="144"/>
      <c r="K481" s="144"/>
      <c r="L481" s="144"/>
      <c r="M481" s="144"/>
      <c r="N481" s="144"/>
      <c r="O481" s="192">
        <v>0</v>
      </c>
      <c r="P481" s="192"/>
      <c r="Q481" s="192"/>
      <c r="R481" s="192"/>
      <c r="S481" s="371"/>
      <c r="T481" s="371"/>
      <c r="U481" s="371"/>
      <c r="V481" s="371"/>
      <c r="W481" s="217"/>
      <c r="X481" s="29"/>
      <c r="Y481" s="30"/>
      <c r="Z481" s="30"/>
      <c r="AA481" s="29"/>
      <c r="AB481" s="30"/>
      <c r="AC481" s="30"/>
      <c r="AH481" s="192">
        <v>0</v>
      </c>
      <c r="AJ481" s="42"/>
      <c r="AK481" s="42"/>
      <c r="AL481" s="42"/>
    </row>
    <row r="482" spans="1:41" s="19" customFormat="1" x14ac:dyDescent="0.2">
      <c r="B482" s="112" t="s">
        <v>598</v>
      </c>
      <c r="C482" s="37"/>
      <c r="H482" s="119"/>
      <c r="J482" s="144"/>
      <c r="K482" s="144"/>
      <c r="L482" s="144">
        <v>1</v>
      </c>
      <c r="M482" s="144">
        <v>0</v>
      </c>
      <c r="N482" s="144">
        <v>2</v>
      </c>
      <c r="O482" s="192">
        <v>0</v>
      </c>
      <c r="P482" s="192"/>
      <c r="Q482" s="192"/>
      <c r="R482" s="192"/>
      <c r="S482" s="371">
        <v>0</v>
      </c>
      <c r="T482" s="371"/>
      <c r="U482" s="371"/>
      <c r="V482" s="371"/>
      <c r="W482" s="217"/>
      <c r="X482" s="29"/>
      <c r="Y482" s="30"/>
      <c r="Z482" s="30"/>
      <c r="AA482" s="29"/>
      <c r="AB482" s="30"/>
      <c r="AC482" s="30"/>
      <c r="AH482" s="192">
        <v>0</v>
      </c>
      <c r="AJ482" s="42"/>
      <c r="AK482" s="42"/>
      <c r="AL482" s="42"/>
    </row>
    <row r="483" spans="1:41" s="19" customFormat="1" x14ac:dyDescent="0.2">
      <c r="B483" s="112" t="s">
        <v>599</v>
      </c>
      <c r="C483" s="37"/>
      <c r="H483" s="119"/>
      <c r="J483" s="144"/>
      <c r="K483" s="144"/>
      <c r="L483" s="144"/>
      <c r="M483" s="144"/>
      <c r="N483" s="144"/>
      <c r="O483" s="192">
        <v>0</v>
      </c>
      <c r="P483" s="192"/>
      <c r="Q483" s="192"/>
      <c r="R483" s="192"/>
      <c r="S483" s="371" t="s">
        <v>27</v>
      </c>
      <c r="T483" s="371"/>
      <c r="U483" s="371"/>
      <c r="V483" s="371"/>
      <c r="W483" s="217"/>
      <c r="X483" s="29"/>
      <c r="Y483" s="30"/>
      <c r="Z483" s="30"/>
      <c r="AA483" s="29"/>
      <c r="AB483" s="30"/>
      <c r="AC483" s="30"/>
      <c r="AH483" s="192">
        <v>0</v>
      </c>
      <c r="AJ483" s="42"/>
      <c r="AK483" s="42"/>
      <c r="AL483" s="42"/>
    </row>
    <row r="484" spans="1:41" s="19" customFormat="1" x14ac:dyDescent="0.2">
      <c r="A484" s="19">
        <v>3</v>
      </c>
      <c r="B484" s="112" t="s">
        <v>600</v>
      </c>
      <c r="C484" s="19" t="s">
        <v>96</v>
      </c>
      <c r="D484" s="19">
        <v>5</v>
      </c>
      <c r="E484" s="19" t="s">
        <v>513</v>
      </c>
      <c r="J484" s="144"/>
      <c r="K484" s="144">
        <v>1</v>
      </c>
      <c r="L484" s="144">
        <v>1</v>
      </c>
      <c r="M484" s="144">
        <v>0</v>
      </c>
      <c r="N484" s="145">
        <v>2</v>
      </c>
      <c r="O484" s="192">
        <v>0</v>
      </c>
      <c r="P484" s="192"/>
      <c r="Q484" s="192"/>
      <c r="R484" s="192"/>
      <c r="S484" s="371">
        <v>0</v>
      </c>
      <c r="T484" s="371"/>
      <c r="U484" s="371"/>
      <c r="V484" s="371"/>
      <c r="W484" s="217"/>
      <c r="X484" s="29"/>
      <c r="Y484" s="30"/>
      <c r="Z484" s="30"/>
      <c r="AA484" s="29"/>
      <c r="AB484" s="30"/>
      <c r="AC484" s="30"/>
      <c r="AH484" s="192">
        <v>0</v>
      </c>
      <c r="AJ484" s="42"/>
      <c r="AK484" s="42"/>
      <c r="AL484" s="42"/>
    </row>
    <row r="485" spans="1:41" s="19" customFormat="1" x14ac:dyDescent="0.2">
      <c r="B485" s="112" t="s">
        <v>601</v>
      </c>
      <c r="C485" s="19" t="s">
        <v>96</v>
      </c>
      <c r="D485" s="19">
        <v>5</v>
      </c>
      <c r="E485" s="19" t="s">
        <v>513</v>
      </c>
      <c r="J485" s="144"/>
      <c r="K485" s="144"/>
      <c r="L485" s="144"/>
      <c r="M485" s="144"/>
      <c r="N485" s="144"/>
      <c r="O485" s="192">
        <v>0</v>
      </c>
      <c r="P485" s="192"/>
      <c r="Q485" s="192"/>
      <c r="R485" s="192"/>
      <c r="S485" s="371"/>
      <c r="T485" s="371"/>
      <c r="U485" s="371"/>
      <c r="V485" s="371"/>
      <c r="W485" s="217"/>
      <c r="X485" s="29"/>
      <c r="Y485" s="30"/>
      <c r="Z485" s="30"/>
      <c r="AA485" s="29"/>
      <c r="AB485" s="30"/>
      <c r="AC485" s="30"/>
      <c r="AH485" s="192">
        <v>0</v>
      </c>
      <c r="AJ485" s="42"/>
      <c r="AK485" s="42"/>
      <c r="AL485" s="42"/>
    </row>
    <row r="486" spans="1:41" x14ac:dyDescent="0.2">
      <c r="B486" s="91" t="s">
        <v>602</v>
      </c>
      <c r="E486"/>
      <c r="F486"/>
      <c r="G486" t="s">
        <v>603</v>
      </c>
      <c r="H486"/>
      <c r="I486" s="19"/>
      <c r="J486" s="139"/>
      <c r="K486" s="139"/>
      <c r="L486" s="139">
        <v>1</v>
      </c>
      <c r="M486" s="139">
        <v>1</v>
      </c>
      <c r="N486" s="139">
        <v>14</v>
      </c>
      <c r="O486" s="190">
        <v>0</v>
      </c>
      <c r="S486" s="371">
        <f>SUM(O486:O499)/N486</f>
        <v>7.1428571428571425E-2</v>
      </c>
      <c r="T486" s="371"/>
      <c r="U486" s="371"/>
      <c r="V486" s="371"/>
      <c r="W486" s="217"/>
      <c r="X486" s="29"/>
      <c r="Y486" s="30"/>
      <c r="Z486" s="30"/>
      <c r="AA486" s="29"/>
      <c r="AB486" s="30"/>
      <c r="AC486" s="30"/>
      <c r="AH486" s="192">
        <v>0</v>
      </c>
      <c r="AM486" s="18"/>
      <c r="AN486" s="18"/>
      <c r="AO486" s="18"/>
    </row>
    <row r="487" spans="1:41" x14ac:dyDescent="0.2">
      <c r="B487" s="91" t="s">
        <v>604</v>
      </c>
      <c r="E487"/>
      <c r="F487"/>
      <c r="G487"/>
      <c r="H487"/>
      <c r="I487" s="19"/>
      <c r="J487" s="139"/>
      <c r="K487" s="139"/>
      <c r="L487" s="139"/>
      <c r="O487" s="190">
        <v>0</v>
      </c>
      <c r="S487" s="371"/>
      <c r="T487" s="371"/>
      <c r="U487" s="371"/>
      <c r="V487" s="371"/>
      <c r="W487" s="217"/>
      <c r="X487" s="29"/>
      <c r="Y487" s="30"/>
      <c r="Z487" s="30"/>
      <c r="AA487" s="29"/>
      <c r="AB487" s="30"/>
      <c r="AC487" s="30"/>
      <c r="AH487" s="192">
        <v>0</v>
      </c>
      <c r="AM487" s="18"/>
      <c r="AN487" s="18"/>
      <c r="AO487" s="18"/>
    </row>
    <row r="488" spans="1:41" x14ac:dyDescent="0.2">
      <c r="B488" s="91" t="s">
        <v>605</v>
      </c>
      <c r="E488"/>
      <c r="F488"/>
      <c r="G488"/>
      <c r="H488"/>
      <c r="I488" s="19"/>
      <c r="J488" s="139"/>
      <c r="K488" s="139"/>
      <c r="L488" s="139"/>
      <c r="O488" s="190">
        <v>0</v>
      </c>
      <c r="S488" s="371"/>
      <c r="T488" s="371"/>
      <c r="U488" s="371"/>
      <c r="V488" s="371"/>
      <c r="W488" s="217"/>
      <c r="X488" s="29"/>
      <c r="Y488" s="30"/>
      <c r="Z488" s="30"/>
      <c r="AA488" s="29"/>
      <c r="AB488" s="30"/>
      <c r="AC488" s="30"/>
      <c r="AH488" s="192">
        <v>0</v>
      </c>
      <c r="AM488" s="18"/>
      <c r="AN488" s="18"/>
      <c r="AO488" s="18"/>
    </row>
    <row r="489" spans="1:41" x14ac:dyDescent="0.2">
      <c r="B489" s="91" t="s">
        <v>606</v>
      </c>
      <c r="E489"/>
      <c r="F489"/>
      <c r="G489"/>
      <c r="H489"/>
      <c r="I489" s="19"/>
      <c r="J489" s="139"/>
      <c r="K489" s="139"/>
      <c r="L489" s="139"/>
      <c r="O489" s="190">
        <v>0</v>
      </c>
      <c r="S489" s="371"/>
      <c r="T489" s="371"/>
      <c r="U489" s="371"/>
      <c r="V489" s="371"/>
      <c r="W489" s="217"/>
      <c r="X489" s="29"/>
      <c r="Y489" s="30"/>
      <c r="Z489" s="30"/>
      <c r="AA489" s="29"/>
      <c r="AB489" s="30"/>
      <c r="AC489" s="30"/>
      <c r="AH489" s="192">
        <v>0</v>
      </c>
      <c r="AM489" s="18"/>
      <c r="AN489" s="18"/>
      <c r="AO489" s="18"/>
    </row>
    <row r="490" spans="1:41" x14ac:dyDescent="0.2">
      <c r="B490" s="91" t="s">
        <v>607</v>
      </c>
      <c r="E490"/>
      <c r="F490"/>
      <c r="G490"/>
      <c r="H490"/>
      <c r="I490" s="19"/>
      <c r="J490" s="139"/>
      <c r="K490" s="139"/>
      <c r="L490" s="139"/>
      <c r="O490" s="190">
        <v>1</v>
      </c>
      <c r="S490" s="371"/>
      <c r="T490" s="371"/>
      <c r="U490" s="371"/>
      <c r="V490" s="371"/>
      <c r="W490" s="217"/>
      <c r="X490" s="29"/>
      <c r="Y490" s="30"/>
      <c r="Z490" s="30"/>
      <c r="AA490" s="29"/>
      <c r="AB490" s="30"/>
      <c r="AC490" s="30"/>
      <c r="AH490" s="192">
        <v>0</v>
      </c>
      <c r="AM490" s="18"/>
      <c r="AN490" s="18"/>
      <c r="AO490" s="18"/>
    </row>
    <row r="491" spans="1:41" x14ac:dyDescent="0.2">
      <c r="B491" s="91" t="s">
        <v>608</v>
      </c>
      <c r="E491"/>
      <c r="F491"/>
      <c r="G491"/>
      <c r="H491"/>
      <c r="I491" s="19"/>
      <c r="J491" s="139"/>
      <c r="K491" s="139"/>
      <c r="L491" s="139"/>
      <c r="O491" s="190">
        <v>0</v>
      </c>
      <c r="S491" s="371"/>
      <c r="T491" s="371"/>
      <c r="U491" s="371"/>
      <c r="V491" s="371"/>
      <c r="W491" s="217"/>
      <c r="X491" s="29"/>
      <c r="Y491" s="30"/>
      <c r="Z491" s="30"/>
      <c r="AA491" s="29"/>
      <c r="AB491" s="30"/>
      <c r="AC491" s="30"/>
      <c r="AH491" s="192">
        <v>0</v>
      </c>
      <c r="AM491" s="18"/>
      <c r="AN491" s="18"/>
      <c r="AO491" s="18"/>
    </row>
    <row r="492" spans="1:41" x14ac:dyDescent="0.2">
      <c r="B492" s="91" t="s">
        <v>609</v>
      </c>
      <c r="E492"/>
      <c r="F492"/>
      <c r="G492"/>
      <c r="H492"/>
      <c r="I492" s="19"/>
      <c r="J492" s="139"/>
      <c r="K492" s="139"/>
      <c r="L492" s="139"/>
      <c r="O492" s="190">
        <v>0</v>
      </c>
      <c r="S492" s="371"/>
      <c r="T492" s="371"/>
      <c r="U492" s="371"/>
      <c r="V492" s="371"/>
      <c r="W492" s="217"/>
      <c r="X492" s="29"/>
      <c r="Y492" s="30"/>
      <c r="Z492" s="30"/>
      <c r="AA492" s="29"/>
      <c r="AB492" s="30"/>
      <c r="AC492" s="30"/>
      <c r="AH492" s="192">
        <v>0</v>
      </c>
      <c r="AM492" s="18"/>
      <c r="AN492" s="18"/>
      <c r="AO492" s="18"/>
    </row>
    <row r="493" spans="1:41" s="19" customFormat="1" x14ac:dyDescent="0.2">
      <c r="B493" s="112" t="s">
        <v>610</v>
      </c>
      <c r="J493" s="144"/>
      <c r="K493" s="144"/>
      <c r="L493" s="144" t="s">
        <v>27</v>
      </c>
      <c r="M493" s="144" t="s">
        <v>27</v>
      </c>
      <c r="N493" s="144" t="s">
        <v>27</v>
      </c>
      <c r="O493" s="192">
        <v>0</v>
      </c>
      <c r="P493" s="192"/>
      <c r="Q493" s="192"/>
      <c r="R493" s="192"/>
      <c r="S493" s="371"/>
      <c r="T493" s="371"/>
      <c r="U493" s="371"/>
      <c r="V493" s="371"/>
      <c r="W493" s="217"/>
      <c r="X493" s="29"/>
      <c r="Y493" s="30"/>
      <c r="Z493" s="30"/>
      <c r="AA493" s="29"/>
      <c r="AB493" s="30"/>
      <c r="AC493" s="30"/>
      <c r="AH493" s="192">
        <v>0</v>
      </c>
      <c r="AJ493" s="42"/>
      <c r="AK493" s="42"/>
      <c r="AL493" s="42"/>
    </row>
    <row r="494" spans="1:41" s="19" customFormat="1" x14ac:dyDescent="0.2">
      <c r="B494" s="112" t="s">
        <v>611</v>
      </c>
      <c r="J494" s="144"/>
      <c r="K494" s="144"/>
      <c r="L494" s="144"/>
      <c r="M494" s="144"/>
      <c r="N494" s="144"/>
      <c r="O494" s="192">
        <v>0</v>
      </c>
      <c r="P494" s="192"/>
      <c r="Q494" s="192"/>
      <c r="R494" s="192"/>
      <c r="S494" s="371"/>
      <c r="T494" s="371"/>
      <c r="U494" s="371"/>
      <c r="V494" s="371"/>
      <c r="W494" s="217"/>
      <c r="X494" s="29"/>
      <c r="Y494" s="30"/>
      <c r="Z494" s="30"/>
      <c r="AA494" s="29"/>
      <c r="AB494" s="30"/>
      <c r="AC494" s="30"/>
      <c r="AH494" s="192">
        <v>0</v>
      </c>
      <c r="AJ494" s="42"/>
      <c r="AK494" s="42"/>
      <c r="AL494" s="42"/>
    </row>
    <row r="495" spans="1:41" s="19" customFormat="1" x14ac:dyDescent="0.2">
      <c r="B495" s="112" t="s">
        <v>612</v>
      </c>
      <c r="I495" s="1"/>
      <c r="J495" s="144"/>
      <c r="K495" s="144"/>
      <c r="L495" s="144"/>
      <c r="M495" s="144"/>
      <c r="N495" s="144"/>
      <c r="O495" s="192">
        <v>0</v>
      </c>
      <c r="P495" s="192"/>
      <c r="Q495" s="192"/>
      <c r="R495" s="192"/>
      <c r="S495" s="371"/>
      <c r="T495" s="371"/>
      <c r="U495" s="371"/>
      <c r="V495" s="371"/>
      <c r="W495" s="217"/>
      <c r="X495" s="71"/>
      <c r="Y495" s="70"/>
      <c r="Z495" s="70"/>
      <c r="AA495" s="71"/>
      <c r="AB495" s="70"/>
      <c r="AC495" s="70"/>
      <c r="AH495" s="192">
        <v>0</v>
      </c>
      <c r="AJ495" s="42"/>
      <c r="AK495" s="42"/>
      <c r="AL495" s="42"/>
    </row>
    <row r="496" spans="1:41" s="19" customFormat="1" x14ac:dyDescent="0.2">
      <c r="B496" s="112" t="s">
        <v>613</v>
      </c>
      <c r="I496" s="1"/>
      <c r="J496" s="144"/>
      <c r="K496" s="144"/>
      <c r="L496" s="144"/>
      <c r="M496" s="144"/>
      <c r="N496" s="144"/>
      <c r="O496" s="192">
        <v>0</v>
      </c>
      <c r="P496" s="192"/>
      <c r="Q496" s="192"/>
      <c r="R496" s="192"/>
      <c r="S496" s="371"/>
      <c r="T496" s="371"/>
      <c r="U496" s="371"/>
      <c r="V496" s="371"/>
      <c r="W496" s="217"/>
      <c r="X496" s="71"/>
      <c r="Y496" s="70"/>
      <c r="Z496" s="70"/>
      <c r="AA496" s="71"/>
      <c r="AB496" s="70"/>
      <c r="AC496" s="70"/>
      <c r="AH496" s="192">
        <v>0</v>
      </c>
      <c r="AJ496" s="42"/>
      <c r="AK496" s="42"/>
      <c r="AL496" s="42"/>
    </row>
    <row r="497" spans="1:41" s="19" customFormat="1" x14ac:dyDescent="0.2">
      <c r="B497" s="112" t="s">
        <v>614</v>
      </c>
      <c r="I497" s="1"/>
      <c r="J497" s="144"/>
      <c r="K497" s="144"/>
      <c r="L497" s="144"/>
      <c r="M497" s="144"/>
      <c r="N497" s="144"/>
      <c r="O497" s="192">
        <v>0</v>
      </c>
      <c r="P497" s="192"/>
      <c r="Q497" s="192"/>
      <c r="R497" s="192"/>
      <c r="S497" s="371"/>
      <c r="T497" s="371"/>
      <c r="U497" s="371"/>
      <c r="V497" s="371"/>
      <c r="W497" s="217"/>
      <c r="X497" s="71"/>
      <c r="Y497" s="70"/>
      <c r="Z497" s="70"/>
      <c r="AA497" s="71"/>
      <c r="AB497" s="70"/>
      <c r="AC497" s="70"/>
      <c r="AH497" s="192">
        <v>0</v>
      </c>
      <c r="AJ497" s="42"/>
      <c r="AK497" s="42"/>
      <c r="AL497" s="42"/>
    </row>
    <row r="498" spans="1:41" s="19" customFormat="1" x14ac:dyDescent="0.2">
      <c r="B498" s="112" t="s">
        <v>615</v>
      </c>
      <c r="I498" s="1"/>
      <c r="J498" s="144"/>
      <c r="K498" s="144"/>
      <c r="L498" s="144"/>
      <c r="M498" s="144"/>
      <c r="N498" s="144"/>
      <c r="O498" s="192">
        <v>0</v>
      </c>
      <c r="P498" s="192"/>
      <c r="Q498" s="192"/>
      <c r="R498" s="192"/>
      <c r="S498" s="371"/>
      <c r="T498" s="371"/>
      <c r="U498" s="371"/>
      <c r="V498" s="371"/>
      <c r="W498" s="217"/>
      <c r="X498" s="71"/>
      <c r="Y498" s="70"/>
      <c r="Z498" s="70"/>
      <c r="AA498" s="71"/>
      <c r="AB498" s="70"/>
      <c r="AC498" s="70"/>
      <c r="AH498" s="192">
        <v>0</v>
      </c>
      <c r="AJ498" s="42"/>
      <c r="AK498" s="42"/>
      <c r="AL498" s="42"/>
    </row>
    <row r="499" spans="1:41" s="19" customFormat="1" x14ac:dyDescent="0.2">
      <c r="B499" s="112" t="s">
        <v>616</v>
      </c>
      <c r="I499" s="1"/>
      <c r="J499" s="144"/>
      <c r="K499" s="144"/>
      <c r="L499" s="144"/>
      <c r="M499" s="144"/>
      <c r="N499" s="144"/>
      <c r="O499" s="192">
        <v>0</v>
      </c>
      <c r="P499" s="192"/>
      <c r="Q499" s="192"/>
      <c r="R499" s="192"/>
      <c r="S499" s="371"/>
      <c r="T499" s="371"/>
      <c r="U499" s="371"/>
      <c r="V499" s="371"/>
      <c r="W499" s="217"/>
      <c r="X499" s="71"/>
      <c r="Y499" s="70"/>
      <c r="Z499" s="70"/>
      <c r="AA499" s="71"/>
      <c r="AB499" s="70"/>
      <c r="AC499" s="70"/>
      <c r="AH499" s="192">
        <v>0</v>
      </c>
      <c r="AJ499" s="42"/>
      <c r="AK499" s="42"/>
      <c r="AL499" s="42"/>
    </row>
    <row r="500" spans="1:41" s="19" customFormat="1" x14ac:dyDescent="0.2">
      <c r="A500" s="37">
        <v>4</v>
      </c>
      <c r="B500" s="76" t="s">
        <v>617</v>
      </c>
      <c r="C500" s="37" t="s">
        <v>96</v>
      </c>
      <c r="D500" s="37">
        <v>5</v>
      </c>
      <c r="E500" s="37" t="s">
        <v>513</v>
      </c>
      <c r="I500" s="1"/>
      <c r="J500" s="144"/>
      <c r="K500" s="144">
        <v>1</v>
      </c>
      <c r="L500" s="144">
        <v>1</v>
      </c>
      <c r="M500" s="144">
        <v>1</v>
      </c>
      <c r="N500" s="145">
        <v>1</v>
      </c>
      <c r="O500" s="192">
        <v>1</v>
      </c>
      <c r="P500" s="192"/>
      <c r="Q500" s="192"/>
      <c r="R500" s="192"/>
      <c r="S500" s="371">
        <v>1</v>
      </c>
      <c r="T500" s="371"/>
      <c r="U500" s="371"/>
      <c r="V500" s="371"/>
      <c r="W500" s="217"/>
      <c r="X500" s="71"/>
      <c r="Y500" s="70"/>
      <c r="Z500" s="70"/>
      <c r="AA500" s="71"/>
      <c r="AB500" s="70"/>
      <c r="AC500" s="70"/>
      <c r="AH500" s="192">
        <v>0</v>
      </c>
      <c r="AJ500" s="42"/>
      <c r="AK500" s="42"/>
      <c r="AL500" s="42"/>
    </row>
    <row r="501" spans="1:41" s="19" customFormat="1" x14ac:dyDescent="0.2">
      <c r="A501" s="37">
        <v>5</v>
      </c>
      <c r="B501" s="37" t="s">
        <v>618</v>
      </c>
      <c r="C501" s="37" t="s">
        <v>96</v>
      </c>
      <c r="D501" s="37">
        <v>5</v>
      </c>
      <c r="E501" s="37" t="s">
        <v>513</v>
      </c>
      <c r="I501" s="1"/>
      <c r="J501" s="144"/>
      <c r="K501" s="144">
        <v>0</v>
      </c>
      <c r="L501" s="144">
        <v>1</v>
      </c>
      <c r="M501" s="144">
        <v>0</v>
      </c>
      <c r="N501" s="145">
        <v>1</v>
      </c>
      <c r="O501" s="192">
        <v>0</v>
      </c>
      <c r="P501" s="192"/>
      <c r="Q501" s="192"/>
      <c r="R501" s="192"/>
      <c r="S501" s="371">
        <v>0</v>
      </c>
      <c r="T501" s="371"/>
      <c r="U501" s="371"/>
      <c r="V501" s="371"/>
      <c r="W501" s="217"/>
      <c r="X501" s="71"/>
      <c r="Y501" s="70"/>
      <c r="Z501" s="70"/>
      <c r="AA501" s="71"/>
      <c r="AB501" s="70"/>
      <c r="AC501" s="70"/>
      <c r="AH501" s="192">
        <v>0</v>
      </c>
      <c r="AJ501" s="42"/>
      <c r="AK501" s="42"/>
      <c r="AL501" s="42"/>
    </row>
    <row r="502" spans="1:41" s="206" customFormat="1" x14ac:dyDescent="0.2">
      <c r="B502" s="206" t="s">
        <v>619</v>
      </c>
      <c r="C502" s="206" t="s">
        <v>96</v>
      </c>
      <c r="D502" s="206">
        <v>5</v>
      </c>
      <c r="E502" s="206" t="s">
        <v>513</v>
      </c>
      <c r="G502" s="206" t="s">
        <v>27</v>
      </c>
      <c r="J502" s="565"/>
      <c r="K502" s="565"/>
      <c r="L502" s="565"/>
      <c r="M502" s="565"/>
      <c r="N502" s="565"/>
      <c r="O502" s="565"/>
      <c r="P502" s="565"/>
      <c r="Q502" s="565"/>
      <c r="R502" s="565"/>
      <c r="S502" s="563"/>
      <c r="T502" s="563"/>
      <c r="U502" s="563"/>
      <c r="V502" s="563"/>
      <c r="W502" s="564"/>
      <c r="X502" s="574"/>
      <c r="Y502" s="575"/>
      <c r="Z502" s="575"/>
      <c r="AA502" s="574"/>
      <c r="AB502" s="575"/>
      <c r="AC502" s="575"/>
      <c r="AH502" s="565">
        <v>0</v>
      </c>
      <c r="AJ502" s="42">
        <v>1</v>
      </c>
      <c r="AK502" s="42">
        <v>2</v>
      </c>
      <c r="AL502" s="42">
        <v>1</v>
      </c>
    </row>
    <row r="503" spans="1:41" s="206" customFormat="1" x14ac:dyDescent="0.2">
      <c r="B503" s="206" t="s">
        <v>620</v>
      </c>
      <c r="C503" s="206" t="s">
        <v>96</v>
      </c>
      <c r="D503" s="206">
        <v>5</v>
      </c>
      <c r="E503" s="206" t="s">
        <v>513</v>
      </c>
      <c r="G503" s="206" t="s">
        <v>27</v>
      </c>
      <c r="J503" s="565"/>
      <c r="K503" s="565"/>
      <c r="L503" s="565"/>
      <c r="M503" s="565"/>
      <c r="N503" s="565"/>
      <c r="O503" s="565"/>
      <c r="P503" s="565"/>
      <c r="Q503" s="565"/>
      <c r="R503" s="565"/>
      <c r="S503" s="563"/>
      <c r="T503" s="563"/>
      <c r="U503" s="563"/>
      <c r="V503" s="563"/>
      <c r="W503" s="564"/>
      <c r="X503" s="574"/>
      <c r="Y503" s="575"/>
      <c r="Z503" s="575"/>
      <c r="AA503" s="574"/>
      <c r="AB503" s="575"/>
      <c r="AC503" s="575"/>
      <c r="AH503" s="565">
        <v>0</v>
      </c>
      <c r="AJ503" s="42">
        <v>0</v>
      </c>
      <c r="AK503" s="42" t="s">
        <v>27</v>
      </c>
      <c r="AL503" s="42">
        <v>1</v>
      </c>
    </row>
    <row r="504" spans="1:41" s="206" customFormat="1" x14ac:dyDescent="0.2">
      <c r="B504" s="206" t="s">
        <v>621</v>
      </c>
      <c r="C504" s="206" t="s">
        <v>96</v>
      </c>
      <c r="D504" s="206">
        <v>5</v>
      </c>
      <c r="E504" s="206" t="s">
        <v>513</v>
      </c>
      <c r="G504" s="206" t="s">
        <v>27</v>
      </c>
      <c r="J504" s="565"/>
      <c r="K504" s="565"/>
      <c r="L504" s="565"/>
      <c r="M504" s="565"/>
      <c r="N504" s="565"/>
      <c r="O504" s="565"/>
      <c r="P504" s="565"/>
      <c r="Q504" s="565"/>
      <c r="R504" s="565"/>
      <c r="S504" s="563"/>
      <c r="T504" s="563"/>
      <c r="U504" s="563"/>
      <c r="V504" s="563"/>
      <c r="W504" s="564"/>
      <c r="X504" s="574"/>
      <c r="Y504" s="575"/>
      <c r="Z504" s="575"/>
      <c r="AA504" s="574"/>
      <c r="AB504" s="575"/>
      <c r="AC504" s="575"/>
      <c r="AH504" s="565">
        <v>0</v>
      </c>
      <c r="AJ504" s="42">
        <v>0</v>
      </c>
      <c r="AK504" s="42">
        <v>1</v>
      </c>
      <c r="AL504" s="42">
        <v>1</v>
      </c>
    </row>
    <row r="505" spans="1:41" s="206" customFormat="1" x14ac:dyDescent="0.2">
      <c r="B505" s="206" t="s">
        <v>622</v>
      </c>
      <c r="G505" s="206" t="s">
        <v>27</v>
      </c>
      <c r="J505" s="565"/>
      <c r="K505" s="565"/>
      <c r="L505" s="565"/>
      <c r="M505" s="565"/>
      <c r="N505" s="565"/>
      <c r="O505" s="565"/>
      <c r="P505" s="565"/>
      <c r="Q505" s="565"/>
      <c r="R505" s="565"/>
      <c r="S505" s="563"/>
      <c r="T505" s="563"/>
      <c r="U505" s="563"/>
      <c r="V505" s="563"/>
      <c r="W505" s="564"/>
      <c r="X505" s="574"/>
      <c r="Y505" s="575"/>
      <c r="Z505" s="575"/>
      <c r="AA505" s="574"/>
      <c r="AB505" s="575"/>
      <c r="AC505" s="575"/>
      <c r="AH505" s="565">
        <v>0</v>
      </c>
      <c r="AJ505" s="42">
        <v>0</v>
      </c>
      <c r="AK505" s="42"/>
      <c r="AL505" s="42">
        <v>0</v>
      </c>
    </row>
    <row r="506" spans="1:41" s="561" customFormat="1" x14ac:dyDescent="0.2">
      <c r="A506" s="206"/>
      <c r="B506" s="561" t="s">
        <v>623</v>
      </c>
      <c r="G506" s="206" t="s">
        <v>27</v>
      </c>
      <c r="J506" s="562"/>
      <c r="K506" s="562"/>
      <c r="L506" s="562"/>
      <c r="M506" s="562"/>
      <c r="N506" s="562"/>
      <c r="O506" s="562"/>
      <c r="P506" s="562"/>
      <c r="Q506" s="562"/>
      <c r="R506" s="562"/>
      <c r="S506" s="563"/>
      <c r="T506" s="563"/>
      <c r="U506" s="563"/>
      <c r="V506" s="563"/>
      <c r="W506" s="564"/>
      <c r="X506" s="574"/>
      <c r="Y506" s="575"/>
      <c r="Z506" s="575"/>
      <c r="AA506" s="574"/>
      <c r="AB506" s="575"/>
      <c r="AC506" s="575"/>
      <c r="AH506" s="565">
        <v>0</v>
      </c>
      <c r="AJ506" s="47">
        <v>0</v>
      </c>
      <c r="AK506" s="47">
        <v>1</v>
      </c>
      <c r="AL506" s="47">
        <v>1</v>
      </c>
      <c r="AM506" s="567"/>
      <c r="AN506" s="567"/>
      <c r="AO506" s="567"/>
    </row>
    <row r="507" spans="1:41" s="561" customFormat="1" x14ac:dyDescent="0.2">
      <c r="A507" s="206"/>
      <c r="B507" s="561" t="s">
        <v>624</v>
      </c>
      <c r="G507" s="206" t="s">
        <v>27</v>
      </c>
      <c r="J507" s="562"/>
      <c r="K507" s="562"/>
      <c r="L507" s="562"/>
      <c r="M507" s="562"/>
      <c r="N507" s="562"/>
      <c r="O507" s="562"/>
      <c r="P507" s="562"/>
      <c r="Q507" s="562"/>
      <c r="R507" s="562"/>
      <c r="S507" s="563"/>
      <c r="T507" s="563"/>
      <c r="U507" s="563"/>
      <c r="V507" s="563"/>
      <c r="W507" s="564"/>
      <c r="X507" s="574"/>
      <c r="Y507" s="575"/>
      <c r="Z507" s="575"/>
      <c r="AA507" s="574"/>
      <c r="AB507" s="575"/>
      <c r="AC507" s="575"/>
      <c r="AH507" s="565">
        <v>0</v>
      </c>
      <c r="AJ507" s="47">
        <v>0</v>
      </c>
      <c r="AK507" s="47">
        <v>1</v>
      </c>
      <c r="AL507" s="47">
        <v>1</v>
      </c>
      <c r="AM507" s="567"/>
      <c r="AN507" s="567"/>
      <c r="AO507" s="567"/>
    </row>
    <row r="508" spans="1:41" s="561" customFormat="1" x14ac:dyDescent="0.2">
      <c r="A508" s="206"/>
      <c r="B508" s="561" t="s">
        <v>625</v>
      </c>
      <c r="G508" s="206" t="s">
        <v>27</v>
      </c>
      <c r="J508" s="562"/>
      <c r="K508" s="562"/>
      <c r="L508" s="562"/>
      <c r="M508" s="562"/>
      <c r="N508" s="562"/>
      <c r="O508" s="562"/>
      <c r="P508" s="562"/>
      <c r="Q508" s="562"/>
      <c r="R508" s="562"/>
      <c r="S508" s="563"/>
      <c r="T508" s="563"/>
      <c r="U508" s="563"/>
      <c r="V508" s="563"/>
      <c r="W508" s="564"/>
      <c r="X508" s="574"/>
      <c r="Y508" s="575"/>
      <c r="Z508" s="575"/>
      <c r="AA508" s="574"/>
      <c r="AB508" s="575"/>
      <c r="AC508" s="575"/>
      <c r="AH508" s="565">
        <v>0</v>
      </c>
      <c r="AJ508" s="47">
        <v>0</v>
      </c>
      <c r="AK508" s="47"/>
      <c r="AL508" s="47" t="s">
        <v>27</v>
      </c>
      <c r="AM508" s="567"/>
      <c r="AN508" s="567"/>
      <c r="AO508" s="567"/>
    </row>
    <row r="509" spans="1:41" s="561" customFormat="1" x14ac:dyDescent="0.2">
      <c r="A509" s="206"/>
      <c r="B509" s="561" t="s">
        <v>626</v>
      </c>
      <c r="G509" s="206" t="s">
        <v>27</v>
      </c>
      <c r="J509" s="562"/>
      <c r="K509" s="562"/>
      <c r="L509" s="562"/>
      <c r="M509" s="562"/>
      <c r="N509" s="562"/>
      <c r="O509" s="562"/>
      <c r="P509" s="562"/>
      <c r="Q509" s="562"/>
      <c r="R509" s="562"/>
      <c r="S509" s="563"/>
      <c r="T509" s="563"/>
      <c r="U509" s="563"/>
      <c r="V509" s="563"/>
      <c r="W509" s="564"/>
      <c r="X509" s="574"/>
      <c r="Y509" s="575"/>
      <c r="Z509" s="575"/>
      <c r="AA509" s="574"/>
      <c r="AB509" s="575"/>
      <c r="AC509" s="575"/>
      <c r="AH509" s="565">
        <v>0</v>
      </c>
      <c r="AJ509" s="47">
        <v>0</v>
      </c>
      <c r="AK509" s="47"/>
      <c r="AL509" s="47"/>
      <c r="AM509" s="567"/>
      <c r="AN509" s="567"/>
      <c r="AO509" s="567"/>
    </row>
    <row r="510" spans="1:41" s="206" customFormat="1" x14ac:dyDescent="0.2">
      <c r="B510" s="206" t="s">
        <v>627</v>
      </c>
      <c r="C510" s="206" t="s">
        <v>96</v>
      </c>
      <c r="D510" s="206">
        <v>5</v>
      </c>
      <c r="E510" s="206" t="s">
        <v>513</v>
      </c>
      <c r="G510" s="206" t="s">
        <v>27</v>
      </c>
      <c r="H510" s="561"/>
      <c r="I510" s="561"/>
      <c r="J510" s="562"/>
      <c r="K510" s="565"/>
      <c r="L510" s="565"/>
      <c r="M510" s="565"/>
      <c r="N510" s="565"/>
      <c r="O510" s="565"/>
      <c r="P510" s="565"/>
      <c r="Q510" s="565"/>
      <c r="R510" s="565"/>
      <c r="S510" s="563"/>
      <c r="T510" s="563"/>
      <c r="U510" s="563"/>
      <c r="V510" s="563"/>
      <c r="W510" s="564"/>
      <c r="X510" s="574"/>
      <c r="Y510" s="575"/>
      <c r="Z510" s="575"/>
      <c r="AA510" s="574"/>
      <c r="AB510" s="575"/>
      <c r="AC510" s="575"/>
      <c r="AH510" s="565">
        <v>0</v>
      </c>
      <c r="AJ510" s="42">
        <v>0</v>
      </c>
      <c r="AK510" s="42">
        <v>4</v>
      </c>
      <c r="AL510" s="42">
        <v>0</v>
      </c>
    </row>
    <row r="511" spans="1:41" s="206" customFormat="1" x14ac:dyDescent="0.2">
      <c r="B511" s="206" t="s">
        <v>628</v>
      </c>
      <c r="C511" s="206" t="s">
        <v>96</v>
      </c>
      <c r="D511" s="206">
        <v>5</v>
      </c>
      <c r="E511" s="206" t="s">
        <v>513</v>
      </c>
      <c r="G511" s="206" t="s">
        <v>27</v>
      </c>
      <c r="H511" s="561"/>
      <c r="I511" s="561"/>
      <c r="J511" s="562"/>
      <c r="K511" s="565"/>
      <c r="L511" s="565"/>
      <c r="M511" s="565"/>
      <c r="N511" s="565"/>
      <c r="O511" s="565"/>
      <c r="P511" s="565"/>
      <c r="Q511" s="565"/>
      <c r="R511" s="565"/>
      <c r="S511" s="563"/>
      <c r="T511" s="563"/>
      <c r="U511" s="563"/>
      <c r="V511" s="563"/>
      <c r="W511" s="564"/>
      <c r="X511" s="574"/>
      <c r="Y511" s="575"/>
      <c r="Z511" s="575"/>
      <c r="AA511" s="574"/>
      <c r="AB511" s="575"/>
      <c r="AC511" s="575"/>
      <c r="AH511" s="565">
        <v>0</v>
      </c>
      <c r="AJ511" s="42">
        <v>0</v>
      </c>
      <c r="AK511" s="42" t="s">
        <v>27</v>
      </c>
      <c r="AL511" s="42">
        <v>1</v>
      </c>
    </row>
    <row r="512" spans="1:41" s="206" customFormat="1" x14ac:dyDescent="0.2">
      <c r="B512" s="206" t="s">
        <v>629</v>
      </c>
      <c r="H512" s="585" t="s">
        <v>258</v>
      </c>
      <c r="I512" s="561"/>
      <c r="J512" s="565"/>
      <c r="K512" s="565"/>
      <c r="L512" s="565"/>
      <c r="M512" s="565"/>
      <c r="N512" s="565"/>
      <c r="O512" s="565"/>
      <c r="P512" s="565"/>
      <c r="Q512" s="565"/>
      <c r="R512" s="565"/>
      <c r="S512" s="563"/>
      <c r="T512" s="563"/>
      <c r="U512" s="563"/>
      <c r="V512" s="563"/>
      <c r="W512" s="564"/>
      <c r="X512" s="574"/>
      <c r="Y512" s="575"/>
      <c r="Z512" s="575"/>
      <c r="AA512" s="574"/>
      <c r="AB512" s="575"/>
      <c r="AC512" s="575"/>
      <c r="AH512" s="565">
        <v>0</v>
      </c>
      <c r="AJ512" s="42">
        <v>0</v>
      </c>
      <c r="AK512" s="42"/>
      <c r="AL512" s="42">
        <v>1</v>
      </c>
    </row>
    <row r="513" spans="2:38" s="206" customFormat="1" x14ac:dyDescent="0.2">
      <c r="B513" s="206" t="s">
        <v>630</v>
      </c>
      <c r="H513" s="585" t="s">
        <v>258</v>
      </c>
      <c r="I513" s="561"/>
      <c r="J513" s="565"/>
      <c r="K513" s="565"/>
      <c r="L513" s="565"/>
      <c r="M513" s="565"/>
      <c r="N513" s="565"/>
      <c r="O513" s="565"/>
      <c r="P513" s="565"/>
      <c r="Q513" s="565"/>
      <c r="R513" s="565"/>
      <c r="S513" s="563"/>
      <c r="T513" s="563"/>
      <c r="U513" s="563"/>
      <c r="V513" s="563"/>
      <c r="W513" s="564"/>
      <c r="X513" s="574"/>
      <c r="Y513" s="575"/>
      <c r="Z513" s="575"/>
      <c r="AA513" s="574"/>
      <c r="AB513" s="575"/>
      <c r="AC513" s="575"/>
      <c r="AH513" s="565">
        <v>0</v>
      </c>
      <c r="AJ513" s="42">
        <v>0</v>
      </c>
      <c r="AK513" s="42"/>
      <c r="AL513" s="42">
        <v>1</v>
      </c>
    </row>
    <row r="514" spans="2:38" s="206" customFormat="1" x14ac:dyDescent="0.2">
      <c r="B514" s="206" t="s">
        <v>631</v>
      </c>
      <c r="H514" s="561"/>
      <c r="I514" s="561"/>
      <c r="J514" s="565"/>
      <c r="K514" s="565"/>
      <c r="L514" s="565"/>
      <c r="M514" s="565"/>
      <c r="N514" s="565"/>
      <c r="O514" s="565"/>
      <c r="P514" s="565"/>
      <c r="Q514" s="565"/>
      <c r="R514" s="565"/>
      <c r="S514" s="563"/>
      <c r="T514" s="563"/>
      <c r="U514" s="563"/>
      <c r="V514" s="563"/>
      <c r="W514" s="564"/>
      <c r="X514" s="574"/>
      <c r="Y514" s="575"/>
      <c r="Z514" s="575"/>
      <c r="AA514" s="574"/>
      <c r="AB514" s="575"/>
      <c r="AC514" s="575"/>
      <c r="AH514" s="565">
        <v>0</v>
      </c>
      <c r="AJ514" s="42">
        <v>0</v>
      </c>
      <c r="AK514" s="42"/>
      <c r="AL514" s="42">
        <v>0</v>
      </c>
    </row>
    <row r="515" spans="2:38" s="206" customFormat="1" x14ac:dyDescent="0.2">
      <c r="B515" s="206" t="s">
        <v>632</v>
      </c>
      <c r="H515" s="561"/>
      <c r="I515" s="561"/>
      <c r="J515" s="565"/>
      <c r="K515" s="565"/>
      <c r="L515" s="565"/>
      <c r="M515" s="565"/>
      <c r="N515" s="565"/>
      <c r="O515" s="565"/>
      <c r="P515" s="565"/>
      <c r="Q515" s="565"/>
      <c r="R515" s="565"/>
      <c r="S515" s="563"/>
      <c r="T515" s="563"/>
      <c r="U515" s="563"/>
      <c r="V515" s="563"/>
      <c r="W515" s="564"/>
      <c r="X515" s="574"/>
      <c r="Y515" s="575"/>
      <c r="Z515" s="575"/>
      <c r="AA515" s="574"/>
      <c r="AB515" s="575"/>
      <c r="AC515" s="575"/>
      <c r="AH515" s="565">
        <v>0</v>
      </c>
      <c r="AJ515" s="42">
        <v>0</v>
      </c>
      <c r="AK515" s="42"/>
      <c r="AL515" s="42">
        <v>0</v>
      </c>
    </row>
    <row r="516" spans="2:38" s="206" customFormat="1" x14ac:dyDescent="0.2">
      <c r="B516" s="206" t="s">
        <v>633</v>
      </c>
      <c r="I516" s="561"/>
      <c r="J516" s="565"/>
      <c r="K516" s="565"/>
      <c r="L516" s="565"/>
      <c r="M516" s="565"/>
      <c r="N516" s="565"/>
      <c r="O516" s="565"/>
      <c r="P516" s="565"/>
      <c r="Q516" s="565"/>
      <c r="R516" s="565"/>
      <c r="S516" s="563"/>
      <c r="T516" s="563"/>
      <c r="U516" s="563"/>
      <c r="V516" s="563"/>
      <c r="W516" s="564"/>
      <c r="X516" s="586"/>
      <c r="Y516" s="587"/>
      <c r="Z516" s="587"/>
      <c r="AA516" s="586"/>
      <c r="AB516" s="587"/>
      <c r="AC516" s="587"/>
      <c r="AH516" s="565">
        <v>0</v>
      </c>
      <c r="AJ516" s="42">
        <v>0</v>
      </c>
      <c r="AK516" s="42"/>
      <c r="AL516" s="42">
        <v>0</v>
      </c>
    </row>
    <row r="517" spans="2:38" s="206" customFormat="1" x14ac:dyDescent="0.2">
      <c r="B517" s="206" t="s">
        <v>634</v>
      </c>
      <c r="I517" s="561"/>
      <c r="J517" s="565"/>
      <c r="K517" s="565"/>
      <c r="L517" s="565"/>
      <c r="M517" s="565"/>
      <c r="N517" s="565"/>
      <c r="O517" s="565"/>
      <c r="P517" s="565"/>
      <c r="Q517" s="565"/>
      <c r="R517" s="565"/>
      <c r="S517" s="563"/>
      <c r="T517" s="563"/>
      <c r="U517" s="563"/>
      <c r="V517" s="563"/>
      <c r="W517" s="564"/>
      <c r="X517" s="209"/>
      <c r="Y517" s="210"/>
      <c r="Z517" s="210"/>
      <c r="AA517" s="209"/>
      <c r="AB517" s="210"/>
      <c r="AC517" s="210"/>
      <c r="AH517" s="565">
        <v>0</v>
      </c>
      <c r="AJ517" s="42">
        <v>0</v>
      </c>
      <c r="AK517" s="42"/>
      <c r="AL517" s="42">
        <v>0</v>
      </c>
    </row>
    <row r="518" spans="2:38" s="206" customFormat="1" x14ac:dyDescent="0.2">
      <c r="B518" s="206" t="s">
        <v>635</v>
      </c>
      <c r="I518" s="561"/>
      <c r="J518" s="565"/>
      <c r="K518" s="565"/>
      <c r="L518" s="565"/>
      <c r="M518" s="565"/>
      <c r="N518" s="565"/>
      <c r="O518" s="565"/>
      <c r="P518" s="565"/>
      <c r="Q518" s="565"/>
      <c r="R518" s="565"/>
      <c r="S518" s="563"/>
      <c r="T518" s="563"/>
      <c r="U518" s="563"/>
      <c r="V518" s="563"/>
      <c r="W518" s="564"/>
      <c r="X518" s="209"/>
      <c r="Y518" s="210"/>
      <c r="Z518" s="210"/>
      <c r="AA518" s="209"/>
      <c r="AB518" s="210"/>
      <c r="AC518" s="210"/>
      <c r="AH518" s="565">
        <v>0</v>
      </c>
      <c r="AJ518" s="42">
        <v>0</v>
      </c>
      <c r="AK518" s="42"/>
      <c r="AL518" s="42">
        <v>0</v>
      </c>
    </row>
    <row r="519" spans="2:38" s="206" customFormat="1" x14ac:dyDescent="0.2">
      <c r="B519" s="206" t="s">
        <v>636</v>
      </c>
      <c r="I519" s="561"/>
      <c r="J519" s="565"/>
      <c r="K519" s="565"/>
      <c r="L519" s="565"/>
      <c r="M519" s="565"/>
      <c r="N519" s="565"/>
      <c r="O519" s="565"/>
      <c r="P519" s="565"/>
      <c r="Q519" s="565"/>
      <c r="R519" s="565"/>
      <c r="S519" s="563"/>
      <c r="T519" s="563"/>
      <c r="U519" s="563"/>
      <c r="V519" s="563"/>
      <c r="W519" s="564"/>
      <c r="X519" s="209"/>
      <c r="Y519" s="210"/>
      <c r="Z519" s="210"/>
      <c r="AA519" s="209"/>
      <c r="AB519" s="210"/>
      <c r="AC519" s="210"/>
      <c r="AH519" s="565">
        <v>0</v>
      </c>
      <c r="AJ519" s="42">
        <v>0</v>
      </c>
      <c r="AK519" s="42">
        <v>8</v>
      </c>
      <c r="AL519" s="42">
        <v>0</v>
      </c>
    </row>
    <row r="520" spans="2:38" s="206" customFormat="1" x14ac:dyDescent="0.2">
      <c r="B520" s="206" t="s">
        <v>637</v>
      </c>
      <c r="I520" s="561"/>
      <c r="J520" s="565"/>
      <c r="K520" s="565"/>
      <c r="L520" s="565"/>
      <c r="M520" s="565"/>
      <c r="N520" s="565"/>
      <c r="O520" s="565"/>
      <c r="P520" s="565"/>
      <c r="Q520" s="565"/>
      <c r="R520" s="565"/>
      <c r="S520" s="563"/>
      <c r="T520" s="563"/>
      <c r="U520" s="563"/>
      <c r="V520" s="563"/>
      <c r="W520" s="564"/>
      <c r="X520" s="209"/>
      <c r="Y520" s="210"/>
      <c r="Z520" s="210"/>
      <c r="AA520" s="209"/>
      <c r="AB520" s="210"/>
      <c r="AC520" s="210"/>
      <c r="AH520" s="565">
        <v>0</v>
      </c>
      <c r="AJ520" s="42">
        <v>0</v>
      </c>
      <c r="AK520" s="42"/>
      <c r="AL520" s="42">
        <v>0</v>
      </c>
    </row>
    <row r="521" spans="2:38" s="206" customFormat="1" x14ac:dyDescent="0.2">
      <c r="B521" s="206" t="s">
        <v>638</v>
      </c>
      <c r="I521" s="561"/>
      <c r="J521" s="565"/>
      <c r="K521" s="565"/>
      <c r="L521" s="565"/>
      <c r="M521" s="565"/>
      <c r="N521" s="565"/>
      <c r="O521" s="565"/>
      <c r="P521" s="565"/>
      <c r="Q521" s="565"/>
      <c r="R521" s="565"/>
      <c r="S521" s="563"/>
      <c r="T521" s="563"/>
      <c r="U521" s="563"/>
      <c r="V521" s="563"/>
      <c r="W521" s="564"/>
      <c r="X521" s="209"/>
      <c r="Y521" s="210"/>
      <c r="Z521" s="210"/>
      <c r="AA521" s="209"/>
      <c r="AB521" s="210"/>
      <c r="AC521" s="210"/>
      <c r="AH521" s="565">
        <v>0</v>
      </c>
      <c r="AJ521" s="42">
        <v>0</v>
      </c>
      <c r="AK521" s="42"/>
      <c r="AL521" s="42">
        <v>0</v>
      </c>
    </row>
    <row r="522" spans="2:38" s="206" customFormat="1" x14ac:dyDescent="0.2">
      <c r="B522" s="206" t="s">
        <v>639</v>
      </c>
      <c r="I522" s="561"/>
      <c r="J522" s="565"/>
      <c r="K522" s="565"/>
      <c r="L522" s="565"/>
      <c r="M522" s="565"/>
      <c r="N522" s="565"/>
      <c r="O522" s="565"/>
      <c r="P522" s="565"/>
      <c r="Q522" s="565"/>
      <c r="R522" s="565"/>
      <c r="S522" s="563"/>
      <c r="T522" s="563"/>
      <c r="U522" s="563"/>
      <c r="V522" s="563"/>
      <c r="W522" s="564"/>
      <c r="X522" s="209"/>
      <c r="Y522" s="210"/>
      <c r="Z522" s="210"/>
      <c r="AA522" s="209"/>
      <c r="AB522" s="210"/>
      <c r="AC522" s="210"/>
      <c r="AH522" s="565">
        <v>0</v>
      </c>
      <c r="AJ522" s="42">
        <v>0</v>
      </c>
      <c r="AK522" s="42"/>
      <c r="AL522" s="42">
        <v>0</v>
      </c>
    </row>
    <row r="523" spans="2:38" s="206" customFormat="1" x14ac:dyDescent="0.2">
      <c r="B523" s="206" t="s">
        <v>640</v>
      </c>
      <c r="I523" s="561"/>
      <c r="J523" s="565"/>
      <c r="K523" s="565"/>
      <c r="L523" s="565"/>
      <c r="M523" s="565"/>
      <c r="N523" s="565"/>
      <c r="O523" s="565"/>
      <c r="P523" s="565"/>
      <c r="Q523" s="565"/>
      <c r="R523" s="565"/>
      <c r="S523" s="563"/>
      <c r="T523" s="563"/>
      <c r="U523" s="563"/>
      <c r="V523" s="563"/>
      <c r="W523" s="564"/>
      <c r="X523" s="209"/>
      <c r="Y523" s="210"/>
      <c r="Z523" s="210"/>
      <c r="AA523" s="209"/>
      <c r="AB523" s="210"/>
      <c r="AC523" s="210"/>
      <c r="AH523" s="565">
        <v>0</v>
      </c>
      <c r="AJ523" s="42">
        <v>0</v>
      </c>
      <c r="AK523" s="42"/>
      <c r="AL523" s="42">
        <v>0</v>
      </c>
    </row>
    <row r="524" spans="2:38" s="206" customFormat="1" x14ac:dyDescent="0.2">
      <c r="B524" s="206" t="s">
        <v>641</v>
      </c>
      <c r="I524" s="561"/>
      <c r="J524" s="565"/>
      <c r="K524" s="565"/>
      <c r="L524" s="565"/>
      <c r="M524" s="565"/>
      <c r="N524" s="565"/>
      <c r="O524" s="565"/>
      <c r="P524" s="565"/>
      <c r="Q524" s="565"/>
      <c r="R524" s="565"/>
      <c r="S524" s="563"/>
      <c r="T524" s="563"/>
      <c r="U524" s="563"/>
      <c r="V524" s="563"/>
      <c r="W524" s="564"/>
      <c r="X524" s="574"/>
      <c r="Y524" s="575"/>
      <c r="Z524" s="575"/>
      <c r="AA524" s="574"/>
      <c r="AB524" s="575"/>
      <c r="AC524" s="575"/>
      <c r="AH524" s="565">
        <v>0</v>
      </c>
      <c r="AJ524" s="42">
        <v>0</v>
      </c>
      <c r="AK524" s="42"/>
      <c r="AL524" s="42">
        <v>0</v>
      </c>
    </row>
    <row r="525" spans="2:38" s="206" customFormat="1" x14ac:dyDescent="0.2">
      <c r="B525" s="206" t="s">
        <v>642</v>
      </c>
      <c r="I525" s="561"/>
      <c r="J525" s="565"/>
      <c r="K525" s="565"/>
      <c r="L525" s="565"/>
      <c r="M525" s="565"/>
      <c r="N525" s="565"/>
      <c r="O525" s="565"/>
      <c r="P525" s="565"/>
      <c r="Q525" s="565"/>
      <c r="R525" s="565"/>
      <c r="S525" s="563"/>
      <c r="T525" s="563"/>
      <c r="U525" s="563"/>
      <c r="V525" s="563"/>
      <c r="W525" s="564"/>
      <c r="X525" s="574"/>
      <c r="Y525" s="575"/>
      <c r="Z525" s="575"/>
      <c r="AA525" s="574"/>
      <c r="AB525" s="575"/>
      <c r="AC525" s="575"/>
      <c r="AH525" s="565">
        <v>0</v>
      </c>
      <c r="AJ525" s="42">
        <v>0</v>
      </c>
      <c r="AK525" s="42"/>
      <c r="AL525" s="42">
        <v>0</v>
      </c>
    </row>
    <row r="526" spans="2:38" s="206" customFormat="1" x14ac:dyDescent="0.2">
      <c r="B526" s="206" t="s">
        <v>643</v>
      </c>
      <c r="I526" s="561"/>
      <c r="J526" s="565"/>
      <c r="K526" s="565"/>
      <c r="L526" s="565"/>
      <c r="M526" s="565"/>
      <c r="N526" s="565"/>
      <c r="O526" s="565"/>
      <c r="P526" s="565"/>
      <c r="Q526" s="565"/>
      <c r="R526" s="565"/>
      <c r="S526" s="563"/>
      <c r="T526" s="563"/>
      <c r="U526" s="563"/>
      <c r="V526" s="563"/>
      <c r="W526" s="564"/>
      <c r="X526" s="574"/>
      <c r="Y526" s="575"/>
      <c r="Z526" s="575"/>
      <c r="AA526" s="574"/>
      <c r="AB526" s="575"/>
      <c r="AC526" s="575"/>
      <c r="AH526" s="565">
        <v>0</v>
      </c>
      <c r="AJ526" s="42">
        <v>0</v>
      </c>
      <c r="AK526" s="42"/>
      <c r="AL526" s="42">
        <v>0</v>
      </c>
    </row>
    <row r="527" spans="2:38" s="206" customFormat="1" x14ac:dyDescent="0.2">
      <c r="B527" s="206" t="s">
        <v>644</v>
      </c>
      <c r="I527" s="561"/>
      <c r="J527" s="565"/>
      <c r="K527" s="565"/>
      <c r="L527" s="565"/>
      <c r="M527" s="565"/>
      <c r="N527" s="565"/>
      <c r="O527" s="565"/>
      <c r="P527" s="565"/>
      <c r="Q527" s="565"/>
      <c r="R527" s="565"/>
      <c r="S527" s="563"/>
      <c r="T527" s="563"/>
      <c r="U527" s="563"/>
      <c r="V527" s="563"/>
      <c r="W527" s="564"/>
      <c r="X527" s="574"/>
      <c r="Y527" s="575"/>
      <c r="Z527" s="575"/>
      <c r="AA527" s="574"/>
      <c r="AB527" s="575"/>
      <c r="AC527" s="575"/>
      <c r="AH527" s="565">
        <v>0</v>
      </c>
      <c r="AJ527" s="42">
        <v>0</v>
      </c>
      <c r="AK527" s="42"/>
      <c r="AL527" s="42">
        <v>0</v>
      </c>
    </row>
    <row r="528" spans="2:38" s="206" customFormat="1" x14ac:dyDescent="0.2">
      <c r="B528" s="206" t="s">
        <v>645</v>
      </c>
      <c r="I528" s="561"/>
      <c r="J528" s="565"/>
      <c r="K528" s="565"/>
      <c r="L528" s="565"/>
      <c r="M528" s="565"/>
      <c r="N528" s="565"/>
      <c r="O528" s="565"/>
      <c r="P528" s="565"/>
      <c r="Q528" s="565"/>
      <c r="R528" s="565"/>
      <c r="S528" s="563"/>
      <c r="T528" s="563"/>
      <c r="U528" s="563"/>
      <c r="V528" s="563"/>
      <c r="W528" s="564"/>
      <c r="X528" s="574"/>
      <c r="Y528" s="575"/>
      <c r="Z528" s="575"/>
      <c r="AA528" s="574"/>
      <c r="AB528" s="575"/>
      <c r="AC528" s="575"/>
      <c r="AH528" s="565">
        <v>0</v>
      </c>
      <c r="AJ528" s="42">
        <v>0</v>
      </c>
      <c r="AK528" s="42"/>
      <c r="AL528" s="42">
        <v>0</v>
      </c>
    </row>
    <row r="529" spans="1:38" s="280" customFormat="1" x14ac:dyDescent="0.2">
      <c r="A529" s="280" t="s">
        <v>43</v>
      </c>
      <c r="B529" s="280" t="s">
        <v>44</v>
      </c>
      <c r="I529" s="329"/>
      <c r="J529" s="320">
        <f>COUNT(A530:A593)</f>
        <v>5</v>
      </c>
      <c r="K529" s="321">
        <f>COUNTIF(K530:K593,1)/J529</f>
        <v>0.2</v>
      </c>
      <c r="L529" s="320">
        <f>SUM(L530:L593)</f>
        <v>9</v>
      </c>
      <c r="M529" s="321">
        <f>COUNTIF(M530:M593,1)/L529</f>
        <v>0.1111111111111111</v>
      </c>
      <c r="N529" s="320">
        <f>SUM(N530:N593)</f>
        <v>64</v>
      </c>
      <c r="O529" s="321">
        <f>COUNTIF(O530:O593,1)/N529</f>
        <v>4.6875E-2</v>
      </c>
      <c r="P529" s="524">
        <f>AVERAGE(O530:O593)</f>
        <v>4.6875E-2</v>
      </c>
      <c r="Q529" s="524">
        <f>_xlfn.STDEV.P(O530:O593)</f>
        <v>0.21137108216357317</v>
      </c>
      <c r="R529" s="525">
        <f>STDEV(O530:O593)/(SQRT(COUNT(O530:O593)))</f>
        <v>2.6630253226448332E-2</v>
      </c>
      <c r="S529" s="373">
        <f>((S530*N530)+(S535*N535)+(S544*N544)+(S549*N549)+(S560*N560)+(S566*N566)+(S576*N576)+(S584*N584)+(S588*N588))/N529</f>
        <v>4.6875E-2</v>
      </c>
      <c r="T529" s="373"/>
      <c r="U529" s="373">
        <f>_xlfn.STDEV.P(T530:T538)</f>
        <v>0.23570226039551584</v>
      </c>
      <c r="V529" s="373">
        <f>+V539</f>
        <v>8.3333333333333329E-2</v>
      </c>
      <c r="W529" s="327"/>
      <c r="X529" s="331"/>
      <c r="Y529" s="332"/>
      <c r="Z529" s="332"/>
      <c r="AA529" s="331"/>
      <c r="AB529" s="332"/>
      <c r="AC529" s="332"/>
      <c r="AH529" s="192">
        <v>0</v>
      </c>
      <c r="AJ529" s="328"/>
      <c r="AK529" s="328"/>
      <c r="AL529" s="328"/>
    </row>
    <row r="530" spans="1:38" s="63" customFormat="1" x14ac:dyDescent="0.2">
      <c r="A530" s="63">
        <v>1</v>
      </c>
      <c r="B530" s="117" t="s">
        <v>646</v>
      </c>
      <c r="I530" s="1"/>
      <c r="J530" s="152"/>
      <c r="K530" s="152"/>
      <c r="L530" s="152">
        <v>1</v>
      </c>
      <c r="M530" s="145">
        <v>0</v>
      </c>
      <c r="N530" s="152">
        <v>5</v>
      </c>
      <c r="O530" s="196">
        <v>0</v>
      </c>
      <c r="P530" s="192"/>
      <c r="Q530" s="192"/>
      <c r="R530" s="192"/>
      <c r="S530" s="371">
        <v>0</v>
      </c>
      <c r="T530" s="371">
        <f>+S530</f>
        <v>0</v>
      </c>
      <c r="U530" s="371"/>
      <c r="V530" s="371"/>
      <c r="W530" s="218"/>
      <c r="X530" s="71"/>
      <c r="Y530" s="70"/>
      <c r="Z530" s="70"/>
      <c r="AA530" s="71"/>
      <c r="AB530" s="70"/>
      <c r="AC530" s="70"/>
      <c r="AH530" s="192">
        <v>0</v>
      </c>
      <c r="AJ530" s="120"/>
      <c r="AK530" s="120"/>
      <c r="AL530" s="120"/>
    </row>
    <row r="531" spans="1:38" s="63" customFormat="1" x14ac:dyDescent="0.2">
      <c r="B531" s="117" t="s">
        <v>647</v>
      </c>
      <c r="I531" s="1"/>
      <c r="J531" s="152"/>
      <c r="K531" s="152"/>
      <c r="L531" s="152"/>
      <c r="M531" s="145"/>
      <c r="N531" s="152"/>
      <c r="O531" s="196">
        <v>0</v>
      </c>
      <c r="P531" s="192"/>
      <c r="Q531" s="192"/>
      <c r="R531" s="192"/>
      <c r="S531" s="371"/>
      <c r="T531" s="371">
        <f>+S535</f>
        <v>0</v>
      </c>
      <c r="U531" s="371"/>
      <c r="V531" s="371"/>
      <c r="W531" s="218"/>
      <c r="X531" s="71"/>
      <c r="Y531" s="70"/>
      <c r="Z531" s="70"/>
      <c r="AA531" s="71"/>
      <c r="AB531" s="70"/>
      <c r="AC531" s="70"/>
      <c r="AH531" s="192">
        <v>0</v>
      </c>
      <c r="AJ531" s="120"/>
      <c r="AK531" s="120"/>
      <c r="AL531" s="120"/>
    </row>
    <row r="532" spans="1:38" s="63" customFormat="1" x14ac:dyDescent="0.2">
      <c r="B532" s="117" t="s">
        <v>648</v>
      </c>
      <c r="I532" s="19"/>
      <c r="J532" s="152"/>
      <c r="K532" s="152"/>
      <c r="L532" s="152"/>
      <c r="M532" s="145"/>
      <c r="N532" s="152"/>
      <c r="O532" s="196">
        <v>0</v>
      </c>
      <c r="P532" s="192"/>
      <c r="Q532" s="192"/>
      <c r="R532" s="192"/>
      <c r="S532" s="371"/>
      <c r="T532" s="371">
        <f>+S544</f>
        <v>0</v>
      </c>
      <c r="U532" s="371"/>
      <c r="V532" s="371"/>
      <c r="W532" s="218"/>
      <c r="X532" s="29"/>
      <c r="Y532" s="30"/>
      <c r="Z532" s="30"/>
      <c r="AA532" s="29"/>
      <c r="AB532" s="30"/>
      <c r="AC532" s="30"/>
      <c r="AH532" s="192">
        <v>0</v>
      </c>
      <c r="AJ532" s="120"/>
      <c r="AK532" s="120"/>
      <c r="AL532" s="120"/>
    </row>
    <row r="533" spans="1:38" s="63" customFormat="1" x14ac:dyDescent="0.2">
      <c r="B533" s="117" t="s">
        <v>649</v>
      </c>
      <c r="I533" s="1"/>
      <c r="J533" s="152"/>
      <c r="K533" s="152"/>
      <c r="L533" s="152"/>
      <c r="M533" s="145"/>
      <c r="N533" s="152"/>
      <c r="O533" s="196">
        <v>0</v>
      </c>
      <c r="P533" s="192"/>
      <c r="Q533" s="192"/>
      <c r="R533" s="192"/>
      <c r="S533" s="371" t="s">
        <v>27</v>
      </c>
      <c r="T533" s="371">
        <f>+S549</f>
        <v>0</v>
      </c>
      <c r="U533" s="371"/>
      <c r="V533" s="371"/>
      <c r="W533" s="218"/>
      <c r="X533" s="71"/>
      <c r="Y533" s="70"/>
      <c r="Z533" s="70"/>
      <c r="AA533" s="71"/>
      <c r="AB533" s="70"/>
      <c r="AC533" s="70"/>
      <c r="AH533" s="192">
        <v>0</v>
      </c>
      <c r="AJ533" s="120"/>
      <c r="AK533" s="120"/>
      <c r="AL533" s="120"/>
    </row>
    <row r="534" spans="1:38" s="63" customFormat="1" x14ac:dyDescent="0.2">
      <c r="B534" s="117" t="s">
        <v>650</v>
      </c>
      <c r="I534" s="1"/>
      <c r="J534" s="152"/>
      <c r="K534" s="152"/>
      <c r="L534" s="152"/>
      <c r="M534" s="145"/>
      <c r="N534" s="152"/>
      <c r="O534" s="196">
        <v>0</v>
      </c>
      <c r="P534" s="192"/>
      <c r="Q534" s="192"/>
      <c r="R534" s="192"/>
      <c r="S534" s="371"/>
      <c r="T534" s="371">
        <f>+S560</f>
        <v>0</v>
      </c>
      <c r="U534" s="371"/>
      <c r="V534" s="371"/>
      <c r="W534" s="218"/>
      <c r="X534" s="71"/>
      <c r="Y534" s="70"/>
      <c r="Z534" s="70"/>
      <c r="AA534" s="71"/>
      <c r="AB534" s="70"/>
      <c r="AC534" s="70"/>
      <c r="AH534" s="192">
        <v>0</v>
      </c>
      <c r="AJ534" s="120"/>
      <c r="AK534" s="120"/>
      <c r="AL534" s="120"/>
    </row>
    <row r="535" spans="1:38" s="26" customFormat="1" x14ac:dyDescent="0.2">
      <c r="A535" s="26" t="s">
        <v>27</v>
      </c>
      <c r="B535" s="117" t="s">
        <v>651</v>
      </c>
      <c r="C535" s="26" t="s">
        <v>96</v>
      </c>
      <c r="D535" s="26">
        <v>5</v>
      </c>
      <c r="E535" s="26" t="s">
        <v>121</v>
      </c>
      <c r="I535" s="1"/>
      <c r="J535" s="153"/>
      <c r="K535" s="153"/>
      <c r="L535" s="153">
        <v>1</v>
      </c>
      <c r="M535" s="144">
        <v>0</v>
      </c>
      <c r="N535" s="153">
        <v>9</v>
      </c>
      <c r="O535" s="196">
        <v>0</v>
      </c>
      <c r="P535" s="192"/>
      <c r="Q535" s="192"/>
      <c r="R535" s="192"/>
      <c r="S535" s="371">
        <v>0</v>
      </c>
      <c r="T535" s="371">
        <f>+S566</f>
        <v>0</v>
      </c>
      <c r="U535" s="371"/>
      <c r="V535" s="371"/>
      <c r="W535" s="218"/>
      <c r="X535" s="71"/>
      <c r="Y535" s="70"/>
      <c r="Z535" s="70"/>
      <c r="AA535" s="71"/>
      <c r="AB535" s="70"/>
      <c r="AC535" s="70"/>
      <c r="AH535" s="192">
        <v>0</v>
      </c>
      <c r="AJ535" s="43"/>
      <c r="AK535" s="43"/>
      <c r="AL535" s="43"/>
    </row>
    <row r="536" spans="1:38" s="26" customFormat="1" x14ac:dyDescent="0.2">
      <c r="B536" s="117" t="s">
        <v>652</v>
      </c>
      <c r="C536" s="26" t="s">
        <v>96</v>
      </c>
      <c r="D536" s="26">
        <v>5</v>
      </c>
      <c r="E536" s="26" t="s">
        <v>121</v>
      </c>
      <c r="I536" s="1"/>
      <c r="J536" s="153"/>
      <c r="K536" s="153"/>
      <c r="L536" s="153"/>
      <c r="M536" s="144"/>
      <c r="N536" s="153"/>
      <c r="O536" s="196">
        <v>0</v>
      </c>
      <c r="P536" s="192"/>
      <c r="Q536" s="192"/>
      <c r="R536" s="192"/>
      <c r="S536" s="371"/>
      <c r="T536" s="371">
        <f>+S576</f>
        <v>0</v>
      </c>
      <c r="U536" s="371"/>
      <c r="V536" s="371"/>
      <c r="W536" s="218"/>
      <c r="X536" s="71"/>
      <c r="Y536" s="70"/>
      <c r="Z536" s="70"/>
      <c r="AA536" s="71"/>
      <c r="AB536" s="70"/>
      <c r="AC536" s="70"/>
      <c r="AH536" s="192">
        <v>0</v>
      </c>
      <c r="AJ536" s="43"/>
      <c r="AK536" s="43"/>
      <c r="AL536" s="43"/>
    </row>
    <row r="537" spans="1:38" s="26" customFormat="1" x14ac:dyDescent="0.2">
      <c r="B537" s="117" t="s">
        <v>653</v>
      </c>
      <c r="C537" s="26" t="s">
        <v>96</v>
      </c>
      <c r="D537" s="26">
        <v>5</v>
      </c>
      <c r="E537" s="26" t="s">
        <v>121</v>
      </c>
      <c r="I537" s="1"/>
      <c r="J537" s="153"/>
      <c r="K537" s="153"/>
      <c r="L537" s="153"/>
      <c r="M537" s="144"/>
      <c r="N537" s="153"/>
      <c r="O537" s="196">
        <v>0</v>
      </c>
      <c r="P537" s="192"/>
      <c r="Q537" s="192"/>
      <c r="R537" s="192"/>
      <c r="S537" s="371"/>
      <c r="T537" s="371">
        <f>+S584</f>
        <v>0.75</v>
      </c>
      <c r="U537" s="371"/>
      <c r="V537" s="371"/>
      <c r="W537" s="218"/>
      <c r="X537" s="71"/>
      <c r="Y537" s="70"/>
      <c r="Z537" s="70"/>
      <c r="AA537" s="71"/>
      <c r="AB537" s="70"/>
      <c r="AC537" s="70"/>
      <c r="AH537" s="192">
        <v>0</v>
      </c>
      <c r="AJ537" s="43"/>
      <c r="AK537" s="43"/>
      <c r="AL537" s="43"/>
    </row>
    <row r="538" spans="1:38" s="26" customFormat="1" x14ac:dyDescent="0.2">
      <c r="B538" s="117" t="s">
        <v>654</v>
      </c>
      <c r="C538" s="26" t="s">
        <v>96</v>
      </c>
      <c r="D538" s="26">
        <v>5</v>
      </c>
      <c r="E538" s="26" t="s">
        <v>121</v>
      </c>
      <c r="I538" s="1"/>
      <c r="J538" s="153"/>
      <c r="K538" s="153"/>
      <c r="L538" s="153"/>
      <c r="M538" s="144"/>
      <c r="N538" s="153"/>
      <c r="O538" s="196">
        <v>0</v>
      </c>
      <c r="P538" s="192"/>
      <c r="Q538" s="192"/>
      <c r="R538" s="192"/>
      <c r="S538" s="371" t="s">
        <v>27</v>
      </c>
      <c r="T538" s="371">
        <f>+S588</f>
        <v>0</v>
      </c>
      <c r="U538" s="371"/>
      <c r="V538" s="371"/>
      <c r="W538" s="218"/>
      <c r="X538" s="71"/>
      <c r="Y538" s="70"/>
      <c r="Z538" s="70"/>
      <c r="AA538" s="71"/>
      <c r="AB538" s="70"/>
      <c r="AC538" s="70"/>
      <c r="AH538" s="192">
        <v>0</v>
      </c>
      <c r="AJ538" s="43"/>
      <c r="AK538" s="43"/>
      <c r="AL538" s="43"/>
    </row>
    <row r="539" spans="1:38" s="26" customFormat="1" x14ac:dyDescent="0.2">
      <c r="B539" s="117" t="s">
        <v>655</v>
      </c>
      <c r="C539" s="26" t="s">
        <v>96</v>
      </c>
      <c r="D539" s="26">
        <v>5</v>
      </c>
      <c r="E539" s="26" t="s">
        <v>121</v>
      </c>
      <c r="I539" s="1"/>
      <c r="J539" s="153"/>
      <c r="K539" s="153"/>
      <c r="L539" s="153"/>
      <c r="M539" s="144"/>
      <c r="N539" s="153"/>
      <c r="O539" s="196">
        <v>0</v>
      </c>
      <c r="P539" s="192"/>
      <c r="Q539" s="192"/>
      <c r="R539" s="192"/>
      <c r="S539" s="371"/>
      <c r="T539" s="382">
        <f>AVERAGE(T530:T538)</f>
        <v>8.3333333333333329E-2</v>
      </c>
      <c r="U539" s="382"/>
      <c r="V539" s="380">
        <f>STDEV(T530:T538)/(SQRT(COUNT(T530:T538)))</f>
        <v>8.3333333333333329E-2</v>
      </c>
      <c r="W539" s="218"/>
      <c r="X539" s="71"/>
      <c r="Y539" s="70"/>
      <c r="Z539" s="70"/>
      <c r="AA539" s="71"/>
      <c r="AB539" s="70"/>
      <c r="AC539" s="70"/>
      <c r="AH539" s="192">
        <v>0</v>
      </c>
      <c r="AJ539" s="43"/>
      <c r="AK539" s="43"/>
      <c r="AL539" s="43"/>
    </row>
    <row r="540" spans="1:38" s="26" customFormat="1" x14ac:dyDescent="0.2">
      <c r="B540" s="117" t="s">
        <v>656</v>
      </c>
      <c r="C540" s="26" t="s">
        <v>96</v>
      </c>
      <c r="D540" s="26">
        <v>5</v>
      </c>
      <c r="E540" s="26" t="s">
        <v>121</v>
      </c>
      <c r="I540" s="19"/>
      <c r="J540" s="153"/>
      <c r="K540" s="153"/>
      <c r="L540" s="153"/>
      <c r="M540" s="144"/>
      <c r="N540" s="153"/>
      <c r="O540" s="196">
        <v>0</v>
      </c>
      <c r="P540" s="192"/>
      <c r="Q540" s="192"/>
      <c r="R540" s="192"/>
      <c r="S540" s="371"/>
      <c r="T540" s="371"/>
      <c r="U540" s="371"/>
      <c r="V540" s="371"/>
      <c r="W540" s="218"/>
      <c r="X540" s="29"/>
      <c r="Y540" s="30"/>
      <c r="Z540" s="30"/>
      <c r="AA540" s="29"/>
      <c r="AB540" s="30"/>
      <c r="AC540" s="30"/>
      <c r="AH540" s="192">
        <v>0</v>
      </c>
      <c r="AJ540" s="43"/>
      <c r="AK540" s="43"/>
      <c r="AL540" s="43"/>
    </row>
    <row r="541" spans="1:38" s="26" customFormat="1" x14ac:dyDescent="0.2">
      <c r="B541" s="117" t="s">
        <v>657</v>
      </c>
      <c r="C541" s="26" t="s">
        <v>96</v>
      </c>
      <c r="D541" s="26">
        <v>5</v>
      </c>
      <c r="E541" s="26" t="s">
        <v>121</v>
      </c>
      <c r="I541" s="19"/>
      <c r="J541" s="153"/>
      <c r="K541" s="153"/>
      <c r="L541" s="153"/>
      <c r="M541" s="144"/>
      <c r="N541" s="153"/>
      <c r="O541" s="196">
        <v>0</v>
      </c>
      <c r="P541" s="192"/>
      <c r="Q541" s="192"/>
      <c r="R541" s="192"/>
      <c r="S541" s="371" t="s">
        <v>27</v>
      </c>
      <c r="T541" s="371"/>
      <c r="U541" s="371"/>
      <c r="V541" s="371"/>
      <c r="W541" s="218"/>
      <c r="X541" s="29"/>
      <c r="Y541" s="30"/>
      <c r="Z541" s="30"/>
      <c r="AA541" s="29"/>
      <c r="AB541" s="30"/>
      <c r="AC541" s="30"/>
      <c r="AH541" s="192">
        <v>0</v>
      </c>
      <c r="AJ541" s="43"/>
      <c r="AK541" s="43"/>
      <c r="AL541" s="43"/>
    </row>
    <row r="542" spans="1:38" s="26" customFormat="1" x14ac:dyDescent="0.2">
      <c r="B542" s="117" t="s">
        <v>658</v>
      </c>
      <c r="C542" s="26" t="s">
        <v>96</v>
      </c>
      <c r="D542" s="26">
        <v>5</v>
      </c>
      <c r="E542" s="26" t="s">
        <v>121</v>
      </c>
      <c r="I542" s="19"/>
      <c r="J542" s="153"/>
      <c r="K542" s="153"/>
      <c r="L542" s="153"/>
      <c r="M542" s="144"/>
      <c r="N542" s="153"/>
      <c r="O542" s="196">
        <v>0</v>
      </c>
      <c r="P542" s="192"/>
      <c r="Q542" s="192"/>
      <c r="R542" s="192"/>
      <c r="S542" s="371"/>
      <c r="T542" s="371"/>
      <c r="U542" s="371"/>
      <c r="V542" s="371"/>
      <c r="W542" s="218"/>
      <c r="X542" s="29"/>
      <c r="Y542" s="30"/>
      <c r="Z542" s="30"/>
      <c r="AA542" s="29"/>
      <c r="AB542" s="30"/>
      <c r="AC542" s="30"/>
      <c r="AH542" s="192">
        <v>0</v>
      </c>
      <c r="AJ542" s="43"/>
      <c r="AK542" s="43"/>
      <c r="AL542" s="43"/>
    </row>
    <row r="543" spans="1:38" s="26" customFormat="1" x14ac:dyDescent="0.2">
      <c r="B543" s="117" t="s">
        <v>659</v>
      </c>
      <c r="C543" s="26" t="s">
        <v>96</v>
      </c>
      <c r="D543" s="26">
        <v>5</v>
      </c>
      <c r="E543" s="26" t="s">
        <v>121</v>
      </c>
      <c r="I543" s="19"/>
      <c r="J543" s="153"/>
      <c r="K543" s="153"/>
      <c r="L543" s="153"/>
      <c r="M543" s="144"/>
      <c r="N543" s="153"/>
      <c r="O543" s="196">
        <v>0</v>
      </c>
      <c r="P543" s="192"/>
      <c r="Q543" s="192"/>
      <c r="R543" s="192"/>
      <c r="S543" s="371" t="s">
        <v>27</v>
      </c>
      <c r="T543" s="371"/>
      <c r="U543" s="371"/>
      <c r="V543" s="371"/>
      <c r="W543" s="218"/>
      <c r="X543" s="29"/>
      <c r="Y543" s="30"/>
      <c r="Z543" s="30"/>
      <c r="AA543" s="29"/>
      <c r="AB543" s="30"/>
      <c r="AC543" s="30"/>
      <c r="AH543" s="192">
        <v>0</v>
      </c>
      <c r="AJ543" s="43"/>
      <c r="AK543" s="43"/>
      <c r="AL543" s="43"/>
    </row>
    <row r="544" spans="1:38" s="26" customFormat="1" x14ac:dyDescent="0.2">
      <c r="A544" s="26">
        <v>2</v>
      </c>
      <c r="B544" s="117" t="s">
        <v>660</v>
      </c>
      <c r="C544" s="26" t="s">
        <v>96</v>
      </c>
      <c r="D544" s="26">
        <v>5</v>
      </c>
      <c r="E544" s="26" t="s">
        <v>121</v>
      </c>
      <c r="I544" s="19"/>
      <c r="J544" s="153"/>
      <c r="K544" s="153"/>
      <c r="L544" s="153">
        <v>1</v>
      </c>
      <c r="M544" s="144">
        <v>0</v>
      </c>
      <c r="N544" s="153">
        <v>5</v>
      </c>
      <c r="O544" s="196">
        <v>0</v>
      </c>
      <c r="P544" s="192"/>
      <c r="Q544" s="192"/>
      <c r="R544" s="192"/>
      <c r="S544" s="371">
        <v>0</v>
      </c>
      <c r="T544" s="371"/>
      <c r="U544" s="371"/>
      <c r="V544" s="371"/>
      <c r="W544" s="218"/>
      <c r="X544" s="29"/>
      <c r="Y544" s="30"/>
      <c r="Z544" s="30"/>
      <c r="AA544" s="29"/>
      <c r="AB544" s="30"/>
      <c r="AC544" s="30"/>
      <c r="AH544" s="192">
        <v>0</v>
      </c>
      <c r="AJ544" s="43"/>
      <c r="AK544" s="43"/>
      <c r="AL544" s="43"/>
    </row>
    <row r="545" spans="1:38" s="26" customFormat="1" x14ac:dyDescent="0.2">
      <c r="B545" s="117" t="s">
        <v>661</v>
      </c>
      <c r="C545" s="26" t="s">
        <v>96</v>
      </c>
      <c r="D545" s="26">
        <v>5</v>
      </c>
      <c r="E545" s="26" t="s">
        <v>121</v>
      </c>
      <c r="I545" s="19"/>
      <c r="J545" s="153"/>
      <c r="K545" s="153"/>
      <c r="L545" s="153"/>
      <c r="M545" s="144"/>
      <c r="N545" s="153"/>
      <c r="O545" s="196">
        <v>0</v>
      </c>
      <c r="P545" s="192"/>
      <c r="Q545" s="192"/>
      <c r="R545" s="192"/>
      <c r="S545" s="371" t="s">
        <v>27</v>
      </c>
      <c r="T545" s="371"/>
      <c r="U545" s="371"/>
      <c r="V545" s="371"/>
      <c r="W545" s="218"/>
      <c r="X545" s="29"/>
      <c r="Y545" s="30"/>
      <c r="Z545" s="30"/>
      <c r="AA545" s="29"/>
      <c r="AB545" s="30"/>
      <c r="AC545" s="30"/>
      <c r="AH545" s="192">
        <v>0</v>
      </c>
      <c r="AJ545" s="43"/>
      <c r="AK545" s="43"/>
      <c r="AL545" s="43"/>
    </row>
    <row r="546" spans="1:38" s="26" customFormat="1" x14ac:dyDescent="0.2">
      <c r="B546" s="117" t="s">
        <v>662</v>
      </c>
      <c r="C546" s="26" t="s">
        <v>96</v>
      </c>
      <c r="D546" s="26">
        <v>5</v>
      </c>
      <c r="E546" s="26" t="s">
        <v>121</v>
      </c>
      <c r="I546" s="19"/>
      <c r="J546" s="153"/>
      <c r="K546" s="153"/>
      <c r="L546" s="153"/>
      <c r="M546" s="144"/>
      <c r="N546" s="153"/>
      <c r="O546" s="196">
        <v>0</v>
      </c>
      <c r="P546" s="192"/>
      <c r="Q546" s="192"/>
      <c r="R546" s="192"/>
      <c r="S546" s="371"/>
      <c r="T546" s="371"/>
      <c r="U546" s="371"/>
      <c r="V546" s="371"/>
      <c r="W546" s="218"/>
      <c r="X546" s="29"/>
      <c r="Y546" s="30"/>
      <c r="Z546" s="30"/>
      <c r="AA546" s="29"/>
      <c r="AB546" s="30"/>
      <c r="AC546" s="30"/>
      <c r="AH546" s="192">
        <v>0</v>
      </c>
      <c r="AJ546" s="43"/>
      <c r="AK546" s="43"/>
      <c r="AL546" s="43"/>
    </row>
    <row r="547" spans="1:38" s="26" customFormat="1" x14ac:dyDescent="0.2">
      <c r="B547" s="117" t="s">
        <v>663</v>
      </c>
      <c r="C547" s="26" t="s">
        <v>96</v>
      </c>
      <c r="D547" s="26">
        <v>5</v>
      </c>
      <c r="E547" s="26" t="s">
        <v>121</v>
      </c>
      <c r="I547" s="19"/>
      <c r="J547" s="153"/>
      <c r="K547" s="153"/>
      <c r="L547" s="153"/>
      <c r="M547" s="144"/>
      <c r="N547" s="153"/>
      <c r="O547" s="196">
        <v>0</v>
      </c>
      <c r="P547" s="192"/>
      <c r="Q547" s="192"/>
      <c r="R547" s="192"/>
      <c r="S547" s="371"/>
      <c r="T547" s="371"/>
      <c r="U547" s="371"/>
      <c r="V547" s="371"/>
      <c r="W547" s="218"/>
      <c r="X547" s="29"/>
      <c r="Y547" s="30"/>
      <c r="Z547" s="30"/>
      <c r="AA547" s="29"/>
      <c r="AB547" s="30"/>
      <c r="AC547" s="30"/>
      <c r="AH547" s="192">
        <v>0</v>
      </c>
      <c r="AJ547" s="43"/>
      <c r="AK547" s="43"/>
      <c r="AL547" s="43"/>
    </row>
    <row r="548" spans="1:38" s="26" customFormat="1" x14ac:dyDescent="0.2">
      <c r="B548" s="117" t="s">
        <v>664</v>
      </c>
      <c r="C548" s="26" t="s">
        <v>96</v>
      </c>
      <c r="D548" s="26">
        <v>5</v>
      </c>
      <c r="E548" s="26" t="s">
        <v>121</v>
      </c>
      <c r="I548" s="19"/>
      <c r="J548" s="153"/>
      <c r="K548" s="153"/>
      <c r="L548" s="153"/>
      <c r="M548" s="144"/>
      <c r="N548" s="153"/>
      <c r="O548" s="196">
        <v>0</v>
      </c>
      <c r="P548" s="192"/>
      <c r="Q548" s="192"/>
      <c r="R548" s="192"/>
      <c r="S548" s="371"/>
      <c r="T548" s="371"/>
      <c r="U548" s="371"/>
      <c r="V548" s="371"/>
      <c r="W548" s="218"/>
      <c r="X548" s="29"/>
      <c r="Y548" s="30"/>
      <c r="Z548" s="30"/>
      <c r="AA548" s="29"/>
      <c r="AB548" s="30"/>
      <c r="AC548" s="30"/>
      <c r="AH548" s="192">
        <v>0</v>
      </c>
      <c r="AJ548" s="43"/>
      <c r="AK548" s="43"/>
      <c r="AL548" s="43"/>
    </row>
    <row r="549" spans="1:38" s="26" customFormat="1" x14ac:dyDescent="0.2">
      <c r="A549" s="26" t="s">
        <v>27</v>
      </c>
      <c r="B549" s="117" t="s">
        <v>665</v>
      </c>
      <c r="C549" s="26" t="s">
        <v>96</v>
      </c>
      <c r="D549" s="26">
        <v>5</v>
      </c>
      <c r="E549" s="26" t="s">
        <v>121</v>
      </c>
      <c r="I549" s="19"/>
      <c r="J549" s="153"/>
      <c r="K549" s="153"/>
      <c r="L549" s="153">
        <v>1</v>
      </c>
      <c r="M549" s="144">
        <v>0</v>
      </c>
      <c r="N549" s="153">
        <v>11</v>
      </c>
      <c r="O549" s="196">
        <v>0</v>
      </c>
      <c r="P549" s="192"/>
      <c r="Q549" s="192"/>
      <c r="R549" s="192"/>
      <c r="S549" s="371">
        <v>0</v>
      </c>
      <c r="T549" s="371"/>
      <c r="U549" s="371"/>
      <c r="V549" s="371"/>
      <c r="W549" s="218"/>
      <c r="X549" s="29"/>
      <c r="Y549" s="30"/>
      <c r="Z549" s="30"/>
      <c r="AA549" s="29"/>
      <c r="AB549" s="30"/>
      <c r="AC549" s="30"/>
      <c r="AH549" s="192">
        <v>0</v>
      </c>
      <c r="AJ549" s="43"/>
      <c r="AK549" s="43"/>
      <c r="AL549" s="43"/>
    </row>
    <row r="550" spans="1:38" s="26" customFormat="1" x14ac:dyDescent="0.2">
      <c r="B550" s="117" t="s">
        <v>666</v>
      </c>
      <c r="C550" s="26" t="s">
        <v>96</v>
      </c>
      <c r="D550" s="26">
        <v>5</v>
      </c>
      <c r="E550" s="26" t="s">
        <v>121</v>
      </c>
      <c r="I550" s="19"/>
      <c r="J550" s="153"/>
      <c r="K550" s="153"/>
      <c r="L550" s="153"/>
      <c r="M550" s="144"/>
      <c r="N550" s="153"/>
      <c r="O550" s="196">
        <v>0</v>
      </c>
      <c r="P550" s="192"/>
      <c r="Q550" s="192"/>
      <c r="R550" s="192"/>
      <c r="S550" s="371"/>
      <c r="T550" s="371"/>
      <c r="U550" s="371"/>
      <c r="V550" s="371"/>
      <c r="W550" s="218"/>
      <c r="X550" s="29"/>
      <c r="Y550" s="30"/>
      <c r="Z550" s="30"/>
      <c r="AA550" s="29"/>
      <c r="AB550" s="30"/>
      <c r="AC550" s="30"/>
      <c r="AH550" s="192">
        <v>0</v>
      </c>
      <c r="AJ550" s="43"/>
      <c r="AK550" s="43"/>
      <c r="AL550" s="43"/>
    </row>
    <row r="551" spans="1:38" s="26" customFormat="1" x14ac:dyDescent="0.2">
      <c r="B551" s="117" t="s">
        <v>667</v>
      </c>
      <c r="C551" s="26" t="s">
        <v>96</v>
      </c>
      <c r="D551" s="26">
        <v>5</v>
      </c>
      <c r="E551" s="26" t="s">
        <v>121</v>
      </c>
      <c r="I551" s="19"/>
      <c r="J551" s="153"/>
      <c r="K551" s="153"/>
      <c r="L551" s="153"/>
      <c r="M551" s="144"/>
      <c r="N551" s="153"/>
      <c r="O551" s="196">
        <v>0</v>
      </c>
      <c r="P551" s="192"/>
      <c r="Q551" s="192"/>
      <c r="R551" s="192"/>
      <c r="S551" s="371" t="s">
        <v>27</v>
      </c>
      <c r="T551" s="371"/>
      <c r="U551" s="371"/>
      <c r="V551" s="371"/>
      <c r="W551" s="218"/>
      <c r="X551" s="29"/>
      <c r="Y551" s="30"/>
      <c r="Z551" s="30"/>
      <c r="AA551" s="29"/>
      <c r="AB551" s="30"/>
      <c r="AC551" s="30"/>
      <c r="AH551" s="192">
        <v>0</v>
      </c>
      <c r="AJ551" s="43"/>
      <c r="AK551" s="43"/>
      <c r="AL551" s="43"/>
    </row>
    <row r="552" spans="1:38" s="26" customFormat="1" x14ac:dyDescent="0.2">
      <c r="B552" s="117" t="s">
        <v>668</v>
      </c>
      <c r="C552" s="26" t="s">
        <v>96</v>
      </c>
      <c r="D552" s="26">
        <v>5</v>
      </c>
      <c r="E552" s="26" t="s">
        <v>121</v>
      </c>
      <c r="I552" s="19"/>
      <c r="J552" s="153"/>
      <c r="K552" s="153"/>
      <c r="L552" s="153"/>
      <c r="M552" s="144"/>
      <c r="N552" s="153"/>
      <c r="O552" s="196">
        <v>0</v>
      </c>
      <c r="P552" s="192"/>
      <c r="Q552" s="192"/>
      <c r="R552" s="192"/>
      <c r="S552" s="371"/>
      <c r="T552" s="371"/>
      <c r="U552" s="371"/>
      <c r="V552" s="371"/>
      <c r="W552" s="218"/>
      <c r="X552" s="29"/>
      <c r="Y552" s="30"/>
      <c r="Z552" s="30"/>
      <c r="AA552" s="29"/>
      <c r="AB552" s="30"/>
      <c r="AC552" s="30"/>
      <c r="AH552" s="192">
        <v>0</v>
      </c>
      <c r="AJ552" s="43"/>
      <c r="AK552" s="43"/>
      <c r="AL552" s="43"/>
    </row>
    <row r="553" spans="1:38" s="26" customFormat="1" x14ac:dyDescent="0.2">
      <c r="B553" s="117" t="s">
        <v>669</v>
      </c>
      <c r="C553" s="26" t="s">
        <v>96</v>
      </c>
      <c r="D553" s="26">
        <v>5</v>
      </c>
      <c r="E553" s="26" t="s">
        <v>121</v>
      </c>
      <c r="I553" s="19"/>
      <c r="J553" s="153"/>
      <c r="K553" s="153"/>
      <c r="L553" s="153"/>
      <c r="M553" s="144"/>
      <c r="N553" s="153"/>
      <c r="O553" s="196">
        <v>0</v>
      </c>
      <c r="P553" s="192"/>
      <c r="Q553" s="192"/>
      <c r="R553" s="192"/>
      <c r="S553" s="371"/>
      <c r="T553" s="371"/>
      <c r="U553" s="371"/>
      <c r="V553" s="371"/>
      <c r="W553" s="218"/>
      <c r="X553" s="29"/>
      <c r="Y553" s="30"/>
      <c r="Z553" s="30"/>
      <c r="AA553" s="29"/>
      <c r="AB553" s="30"/>
      <c r="AC553" s="30"/>
      <c r="AH553" s="192">
        <v>0</v>
      </c>
      <c r="AJ553" s="43"/>
      <c r="AK553" s="43"/>
      <c r="AL553" s="43"/>
    </row>
    <row r="554" spans="1:38" s="26" customFormat="1" x14ac:dyDescent="0.2">
      <c r="B554" s="117" t="s">
        <v>670</v>
      </c>
      <c r="C554" s="26" t="s">
        <v>96</v>
      </c>
      <c r="D554" s="26">
        <v>5</v>
      </c>
      <c r="E554" s="26" t="s">
        <v>121</v>
      </c>
      <c r="I554" s="19"/>
      <c r="J554" s="153"/>
      <c r="K554" s="153"/>
      <c r="L554" s="153"/>
      <c r="M554" s="144"/>
      <c r="N554" s="153"/>
      <c r="O554" s="196">
        <v>0</v>
      </c>
      <c r="P554" s="192"/>
      <c r="Q554" s="192"/>
      <c r="R554" s="192"/>
      <c r="S554" s="371"/>
      <c r="T554" s="371"/>
      <c r="U554" s="371"/>
      <c r="V554" s="371"/>
      <c r="W554" s="218"/>
      <c r="X554" s="29"/>
      <c r="Y554" s="30"/>
      <c r="Z554" s="30"/>
      <c r="AA554" s="29"/>
      <c r="AB554" s="30"/>
      <c r="AC554" s="30"/>
      <c r="AH554" s="192">
        <v>0</v>
      </c>
      <c r="AJ554" s="43"/>
      <c r="AK554" s="43"/>
      <c r="AL554" s="43"/>
    </row>
    <row r="555" spans="1:38" s="26" customFormat="1" x14ac:dyDescent="0.2">
      <c r="B555" s="117" t="s">
        <v>671</v>
      </c>
      <c r="C555" s="26" t="s">
        <v>96</v>
      </c>
      <c r="D555" s="26">
        <v>5</v>
      </c>
      <c r="E555" s="26" t="s">
        <v>121</v>
      </c>
      <c r="I555" s="1"/>
      <c r="J555" s="153"/>
      <c r="K555" s="153"/>
      <c r="L555" s="153"/>
      <c r="M555" s="144"/>
      <c r="N555" s="153"/>
      <c r="O555" s="196">
        <v>0</v>
      </c>
      <c r="P555" s="192"/>
      <c r="Q555" s="192"/>
      <c r="R555" s="192"/>
      <c r="S555" s="371"/>
      <c r="T555" s="371"/>
      <c r="U555" s="371"/>
      <c r="V555" s="371"/>
      <c r="W555" s="218"/>
      <c r="X555" s="71"/>
      <c r="Y555" s="70"/>
      <c r="Z555" s="70"/>
      <c r="AA555" s="71"/>
      <c r="AB555" s="70"/>
      <c r="AC555" s="70"/>
      <c r="AH555" s="192">
        <v>0</v>
      </c>
      <c r="AJ555" s="43"/>
      <c r="AK555" s="43"/>
      <c r="AL555" s="43"/>
    </row>
    <row r="556" spans="1:38" s="26" customFormat="1" x14ac:dyDescent="0.2">
      <c r="B556" s="117" t="s">
        <v>672</v>
      </c>
      <c r="C556" s="26" t="s">
        <v>96</v>
      </c>
      <c r="D556" s="26">
        <v>5</v>
      </c>
      <c r="E556" s="26" t="s">
        <v>121</v>
      </c>
      <c r="I556" s="1"/>
      <c r="J556" s="153"/>
      <c r="K556" s="153"/>
      <c r="L556" s="153"/>
      <c r="M556" s="144"/>
      <c r="N556" s="153"/>
      <c r="O556" s="196">
        <v>0</v>
      </c>
      <c r="P556" s="192"/>
      <c r="Q556" s="192"/>
      <c r="R556" s="192"/>
      <c r="S556" s="371"/>
      <c r="T556" s="371"/>
      <c r="U556" s="371"/>
      <c r="V556" s="371"/>
      <c r="W556" s="218"/>
      <c r="X556" s="71"/>
      <c r="Y556" s="70"/>
      <c r="Z556" s="70"/>
      <c r="AA556" s="71"/>
      <c r="AB556" s="70"/>
      <c r="AC556" s="70"/>
      <c r="AH556" s="192">
        <v>0</v>
      </c>
      <c r="AJ556" s="43"/>
      <c r="AK556" s="43"/>
      <c r="AL556" s="43"/>
    </row>
    <row r="557" spans="1:38" s="26" customFormat="1" x14ac:dyDescent="0.2">
      <c r="B557" s="117" t="s">
        <v>673</v>
      </c>
      <c r="C557" s="26" t="s">
        <v>96</v>
      </c>
      <c r="D557" s="26">
        <v>5</v>
      </c>
      <c r="E557" s="26" t="s">
        <v>121</v>
      </c>
      <c r="I557" s="1"/>
      <c r="J557" s="153"/>
      <c r="K557" s="153"/>
      <c r="L557" s="153"/>
      <c r="M557" s="144"/>
      <c r="N557" s="153"/>
      <c r="O557" s="196">
        <v>0</v>
      </c>
      <c r="P557" s="192"/>
      <c r="Q557" s="192"/>
      <c r="R557" s="192"/>
      <c r="S557" s="371" t="s">
        <v>27</v>
      </c>
      <c r="T557" s="371"/>
      <c r="U557" s="371"/>
      <c r="V557" s="371"/>
      <c r="W557" s="218"/>
      <c r="X557" s="71"/>
      <c r="Y557" s="70"/>
      <c r="Z557" s="70"/>
      <c r="AA557" s="71"/>
      <c r="AB557" s="70"/>
      <c r="AC557" s="70"/>
      <c r="AH557" s="192">
        <v>0</v>
      </c>
      <c r="AJ557" s="43"/>
      <c r="AK557" s="43"/>
      <c r="AL557" s="43"/>
    </row>
    <row r="558" spans="1:38" s="26" customFormat="1" x14ac:dyDescent="0.2">
      <c r="B558" s="117" t="s">
        <v>674</v>
      </c>
      <c r="C558" s="26" t="s">
        <v>96</v>
      </c>
      <c r="D558" s="26">
        <v>5</v>
      </c>
      <c r="E558" s="26" t="s">
        <v>121</v>
      </c>
      <c r="I558" s="1"/>
      <c r="J558" s="153"/>
      <c r="K558" s="153"/>
      <c r="L558" s="153"/>
      <c r="M558" s="144"/>
      <c r="N558" s="153"/>
      <c r="O558" s="196">
        <v>0</v>
      </c>
      <c r="P558" s="192"/>
      <c r="Q558" s="192"/>
      <c r="R558" s="192"/>
      <c r="S558" s="371"/>
      <c r="T558" s="371"/>
      <c r="U558" s="371"/>
      <c r="V558" s="371"/>
      <c r="W558" s="218"/>
      <c r="X558" s="71"/>
      <c r="Y558" s="70"/>
      <c r="Z558" s="70"/>
      <c r="AA558" s="71"/>
      <c r="AB558" s="70"/>
      <c r="AC558" s="70"/>
      <c r="AH558" s="192">
        <v>0</v>
      </c>
      <c r="AJ558" s="43"/>
      <c r="AK558" s="43"/>
      <c r="AL558" s="43"/>
    </row>
    <row r="559" spans="1:38" s="26" customFormat="1" x14ac:dyDescent="0.2">
      <c r="B559" s="117" t="s">
        <v>675</v>
      </c>
      <c r="C559" s="26" t="s">
        <v>96</v>
      </c>
      <c r="D559" s="26">
        <v>5</v>
      </c>
      <c r="E559" s="26" t="s">
        <v>121</v>
      </c>
      <c r="I559" s="1"/>
      <c r="J559" s="153"/>
      <c r="K559" s="153"/>
      <c r="L559" s="153"/>
      <c r="M559" s="144"/>
      <c r="N559" s="153"/>
      <c r="O559" s="196">
        <v>0</v>
      </c>
      <c r="P559" s="192"/>
      <c r="Q559" s="192"/>
      <c r="R559" s="192"/>
      <c r="S559" s="371"/>
      <c r="T559" s="371"/>
      <c r="U559" s="371"/>
      <c r="V559" s="371"/>
      <c r="W559" s="218"/>
      <c r="X559" s="71"/>
      <c r="Y559" s="70"/>
      <c r="Z559" s="70"/>
      <c r="AA559" s="71"/>
      <c r="AB559" s="70"/>
      <c r="AC559" s="70"/>
      <c r="AH559" s="192">
        <v>0</v>
      </c>
      <c r="AJ559" s="43"/>
      <c r="AK559" s="43"/>
      <c r="AL559" s="43"/>
    </row>
    <row r="560" spans="1:38" s="26" customFormat="1" x14ac:dyDescent="0.2">
      <c r="A560" s="26">
        <v>3</v>
      </c>
      <c r="B560" s="117" t="s">
        <v>676</v>
      </c>
      <c r="C560" s="26" t="s">
        <v>96</v>
      </c>
      <c r="D560" s="26">
        <v>5</v>
      </c>
      <c r="E560" s="26" t="s">
        <v>121</v>
      </c>
      <c r="I560" s="1"/>
      <c r="J560" s="153"/>
      <c r="K560" s="153"/>
      <c r="L560" s="153">
        <v>1</v>
      </c>
      <c r="M560" s="144">
        <v>0</v>
      </c>
      <c r="N560" s="153">
        <v>6</v>
      </c>
      <c r="O560" s="196">
        <v>0</v>
      </c>
      <c r="P560" s="192"/>
      <c r="Q560" s="192"/>
      <c r="R560" s="192"/>
      <c r="S560" s="371">
        <v>0</v>
      </c>
      <c r="T560" s="371"/>
      <c r="U560" s="371"/>
      <c r="V560" s="371"/>
      <c r="W560" s="218"/>
      <c r="X560" s="71"/>
      <c r="Y560" s="70"/>
      <c r="Z560" s="70"/>
      <c r="AA560" s="71"/>
      <c r="AB560" s="70"/>
      <c r="AC560" s="70"/>
      <c r="AH560" s="192">
        <v>0</v>
      </c>
      <c r="AJ560" s="43"/>
      <c r="AK560" s="43"/>
      <c r="AL560" s="43"/>
    </row>
    <row r="561" spans="1:38" s="26" customFormat="1" x14ac:dyDescent="0.2">
      <c r="B561" s="117" t="s">
        <v>677</v>
      </c>
      <c r="C561" s="26" t="s">
        <v>96</v>
      </c>
      <c r="D561" s="26">
        <v>5</v>
      </c>
      <c r="E561" s="26" t="s">
        <v>121</v>
      </c>
      <c r="I561" s="1"/>
      <c r="J561" s="153"/>
      <c r="K561" s="153"/>
      <c r="L561" s="153"/>
      <c r="M561" s="144"/>
      <c r="N561" s="153"/>
      <c r="O561" s="196">
        <v>0</v>
      </c>
      <c r="P561" s="192"/>
      <c r="Q561" s="192"/>
      <c r="R561" s="192"/>
      <c r="S561" s="371"/>
      <c r="T561" s="371"/>
      <c r="U561" s="371"/>
      <c r="V561" s="371"/>
      <c r="W561" s="218"/>
      <c r="X561" s="71"/>
      <c r="Y561" s="70"/>
      <c r="Z561" s="70"/>
      <c r="AA561" s="71"/>
      <c r="AB561" s="70"/>
      <c r="AC561" s="70"/>
      <c r="AH561" s="192">
        <v>0</v>
      </c>
      <c r="AJ561" s="43"/>
      <c r="AK561" s="43"/>
      <c r="AL561" s="43"/>
    </row>
    <row r="562" spans="1:38" s="26" customFormat="1" x14ac:dyDescent="0.2">
      <c r="B562" s="117" t="s">
        <v>678</v>
      </c>
      <c r="C562" s="26" t="s">
        <v>96</v>
      </c>
      <c r="D562" s="26">
        <v>5</v>
      </c>
      <c r="E562" s="26" t="s">
        <v>121</v>
      </c>
      <c r="I562" s="19"/>
      <c r="J562" s="153"/>
      <c r="K562" s="153"/>
      <c r="L562" s="153"/>
      <c r="M562" s="144"/>
      <c r="N562" s="153"/>
      <c r="O562" s="196">
        <v>0</v>
      </c>
      <c r="P562" s="192"/>
      <c r="Q562" s="192"/>
      <c r="R562" s="192"/>
      <c r="S562" s="371"/>
      <c r="T562" s="371"/>
      <c r="U562" s="371"/>
      <c r="V562" s="371"/>
      <c r="W562" s="218"/>
      <c r="X562" s="29"/>
      <c r="Y562" s="30"/>
      <c r="Z562" s="30"/>
      <c r="AA562" s="29"/>
      <c r="AB562" s="30"/>
      <c r="AC562" s="30"/>
      <c r="AH562" s="192">
        <v>0</v>
      </c>
      <c r="AJ562" s="43"/>
      <c r="AK562" s="43"/>
      <c r="AL562" s="43"/>
    </row>
    <row r="563" spans="1:38" s="26" customFormat="1" x14ac:dyDescent="0.2">
      <c r="B563" s="117" t="s">
        <v>679</v>
      </c>
      <c r="C563" s="26" t="s">
        <v>96</v>
      </c>
      <c r="D563" s="26">
        <v>5</v>
      </c>
      <c r="E563" s="26" t="s">
        <v>121</v>
      </c>
      <c r="I563" s="19"/>
      <c r="J563" s="153"/>
      <c r="K563" s="153"/>
      <c r="L563" s="153"/>
      <c r="M563" s="144"/>
      <c r="N563" s="153"/>
      <c r="O563" s="196">
        <v>0</v>
      </c>
      <c r="P563" s="196"/>
      <c r="Q563" s="196"/>
      <c r="R563" s="196"/>
      <c r="S563" s="372"/>
      <c r="T563" s="379"/>
      <c r="U563" s="379"/>
      <c r="V563" s="379"/>
      <c r="W563" s="218"/>
      <c r="X563" s="29"/>
      <c r="Y563" s="30"/>
      <c r="Z563" s="30"/>
      <c r="AA563" s="29"/>
      <c r="AB563" s="30"/>
      <c r="AC563" s="30"/>
      <c r="AH563" s="192">
        <v>0</v>
      </c>
      <c r="AJ563" s="43"/>
      <c r="AK563" s="43"/>
      <c r="AL563" s="43"/>
    </row>
    <row r="564" spans="1:38" s="26" customFormat="1" x14ac:dyDescent="0.2">
      <c r="B564" s="117" t="s">
        <v>680</v>
      </c>
      <c r="C564" s="26" t="s">
        <v>96</v>
      </c>
      <c r="D564" s="26">
        <v>5</v>
      </c>
      <c r="E564" s="26" t="s">
        <v>121</v>
      </c>
      <c r="I564" s="19"/>
      <c r="J564" s="153"/>
      <c r="K564" s="153"/>
      <c r="L564" s="153"/>
      <c r="M564" s="144"/>
      <c r="N564" s="153"/>
      <c r="O564" s="196">
        <v>0</v>
      </c>
      <c r="P564" s="192"/>
      <c r="Q564" s="192"/>
      <c r="R564" s="192"/>
      <c r="S564" s="371" t="s">
        <v>27</v>
      </c>
      <c r="T564" s="371"/>
      <c r="U564" s="371"/>
      <c r="V564" s="371"/>
      <c r="W564" s="218"/>
      <c r="X564" s="29"/>
      <c r="Y564" s="30"/>
      <c r="Z564" s="30"/>
      <c r="AA564" s="29"/>
      <c r="AB564" s="30"/>
      <c r="AC564" s="30"/>
      <c r="AH564" s="192">
        <v>0</v>
      </c>
      <c r="AJ564" s="43"/>
      <c r="AK564" s="43"/>
      <c r="AL564" s="43"/>
    </row>
    <row r="565" spans="1:38" s="26" customFormat="1" x14ac:dyDescent="0.2">
      <c r="B565" s="117" t="s">
        <v>681</v>
      </c>
      <c r="C565" s="26" t="s">
        <v>96</v>
      </c>
      <c r="D565" s="26">
        <v>5</v>
      </c>
      <c r="E565" s="26" t="s">
        <v>121</v>
      </c>
      <c r="I565" s="19"/>
      <c r="J565" s="153"/>
      <c r="K565" s="153"/>
      <c r="L565" s="153"/>
      <c r="M565" s="144"/>
      <c r="N565" s="153"/>
      <c r="O565" s="196">
        <v>0</v>
      </c>
      <c r="P565" s="192"/>
      <c r="Q565" s="192"/>
      <c r="R565" s="192"/>
      <c r="S565" s="371"/>
      <c r="T565" s="371"/>
      <c r="U565" s="371"/>
      <c r="V565" s="371"/>
      <c r="W565" s="218"/>
      <c r="X565" s="29"/>
      <c r="Y565" s="30"/>
      <c r="Z565" s="30"/>
      <c r="AA565" s="29"/>
      <c r="AB565" s="30"/>
      <c r="AC565" s="30"/>
      <c r="AH565" s="192">
        <v>0</v>
      </c>
      <c r="AJ565" s="43"/>
      <c r="AK565" s="43"/>
      <c r="AL565" s="43"/>
    </row>
    <row r="566" spans="1:38" s="26" customFormat="1" x14ac:dyDescent="0.2">
      <c r="A566" s="26" t="s">
        <v>27</v>
      </c>
      <c r="B566" s="117" t="s">
        <v>682</v>
      </c>
      <c r="C566" s="26" t="s">
        <v>96</v>
      </c>
      <c r="D566" s="26">
        <v>5</v>
      </c>
      <c r="E566" s="26" t="s">
        <v>121</v>
      </c>
      <c r="I566" s="19"/>
      <c r="J566" s="153"/>
      <c r="K566" s="153"/>
      <c r="L566" s="153">
        <v>1</v>
      </c>
      <c r="M566" s="144">
        <v>0</v>
      </c>
      <c r="N566" s="153">
        <v>10</v>
      </c>
      <c r="O566" s="196">
        <v>0</v>
      </c>
      <c r="P566" s="192"/>
      <c r="Q566" s="192"/>
      <c r="R566" s="192"/>
      <c r="S566" s="371">
        <v>0</v>
      </c>
      <c r="T566" s="371"/>
      <c r="U566" s="371"/>
      <c r="V566" s="371"/>
      <c r="W566" s="218"/>
      <c r="X566" s="29"/>
      <c r="Y566" s="30"/>
      <c r="Z566" s="30"/>
      <c r="AA566" s="29"/>
      <c r="AB566" s="30"/>
      <c r="AC566" s="30"/>
      <c r="AH566" s="192">
        <v>0</v>
      </c>
      <c r="AJ566" s="43"/>
      <c r="AK566" s="43"/>
      <c r="AL566" s="43"/>
    </row>
    <row r="567" spans="1:38" s="26" customFormat="1" x14ac:dyDescent="0.2">
      <c r="B567" s="117" t="s">
        <v>683</v>
      </c>
      <c r="C567" s="26" t="s">
        <v>96</v>
      </c>
      <c r="D567" s="26">
        <v>5</v>
      </c>
      <c r="E567" s="26" t="s">
        <v>121</v>
      </c>
      <c r="I567" s="19"/>
      <c r="J567" s="153"/>
      <c r="K567" s="153"/>
      <c r="L567" s="153"/>
      <c r="M567" s="144"/>
      <c r="N567" s="153"/>
      <c r="O567" s="196">
        <v>0</v>
      </c>
      <c r="P567" s="192"/>
      <c r="Q567" s="192"/>
      <c r="R567" s="192"/>
      <c r="S567" s="371"/>
      <c r="T567" s="371"/>
      <c r="U567" s="371"/>
      <c r="V567" s="371"/>
      <c r="W567" s="218"/>
      <c r="X567" s="29"/>
      <c r="Y567" s="30"/>
      <c r="Z567" s="30"/>
      <c r="AA567" s="29"/>
      <c r="AB567" s="30"/>
      <c r="AC567" s="30"/>
      <c r="AH567" s="192">
        <v>0</v>
      </c>
      <c r="AJ567" s="43"/>
      <c r="AK567" s="43"/>
      <c r="AL567" s="43"/>
    </row>
    <row r="568" spans="1:38" s="26" customFormat="1" x14ac:dyDescent="0.2">
      <c r="B568" s="117" t="s">
        <v>684</v>
      </c>
      <c r="C568" s="26" t="s">
        <v>96</v>
      </c>
      <c r="D568" s="26">
        <v>5</v>
      </c>
      <c r="E568" s="26" t="s">
        <v>121</v>
      </c>
      <c r="I568" s="1"/>
      <c r="J568" s="153"/>
      <c r="K568" s="153"/>
      <c r="L568" s="153"/>
      <c r="M568" s="144"/>
      <c r="N568" s="153"/>
      <c r="O568" s="196">
        <v>0</v>
      </c>
      <c r="P568" s="192"/>
      <c r="Q568" s="192"/>
      <c r="R568" s="192"/>
      <c r="S568" s="371"/>
      <c r="T568" s="371"/>
      <c r="U568" s="371"/>
      <c r="V568" s="371"/>
      <c r="W568" s="218"/>
      <c r="X568" s="71"/>
      <c r="Y568" s="70"/>
      <c r="Z568" s="70"/>
      <c r="AA568" s="71"/>
      <c r="AB568" s="70"/>
      <c r="AC568" s="70"/>
      <c r="AH568" s="192">
        <v>0</v>
      </c>
      <c r="AJ568" s="43"/>
      <c r="AK568" s="43"/>
      <c r="AL568" s="43"/>
    </row>
    <row r="569" spans="1:38" s="26" customFormat="1" x14ac:dyDescent="0.2">
      <c r="B569" s="117" t="s">
        <v>685</v>
      </c>
      <c r="C569" s="26" t="s">
        <v>96</v>
      </c>
      <c r="D569" s="26">
        <v>5</v>
      </c>
      <c r="E569" s="26" t="s">
        <v>121</v>
      </c>
      <c r="I569" s="1"/>
      <c r="J569" s="153"/>
      <c r="K569" s="153"/>
      <c r="L569" s="153"/>
      <c r="M569" s="144"/>
      <c r="N569" s="153"/>
      <c r="O569" s="196">
        <v>0</v>
      </c>
      <c r="P569" s="192"/>
      <c r="Q569" s="192"/>
      <c r="R569" s="192"/>
      <c r="S569" s="371" t="s">
        <v>27</v>
      </c>
      <c r="T569" s="371"/>
      <c r="U569" s="371"/>
      <c r="V569" s="371"/>
      <c r="W569" s="218"/>
      <c r="X569" s="71"/>
      <c r="Y569" s="70"/>
      <c r="Z569" s="70"/>
      <c r="AA569" s="71"/>
      <c r="AB569" s="70"/>
      <c r="AC569" s="70"/>
      <c r="AH569" s="192">
        <v>0</v>
      </c>
      <c r="AJ569" s="43"/>
      <c r="AK569" s="43"/>
      <c r="AL569" s="43"/>
    </row>
    <row r="570" spans="1:38" s="26" customFormat="1" x14ac:dyDescent="0.2">
      <c r="B570" s="117" t="s">
        <v>686</v>
      </c>
      <c r="C570" s="26" t="s">
        <v>96</v>
      </c>
      <c r="D570" s="26">
        <v>5</v>
      </c>
      <c r="E570" s="26" t="s">
        <v>121</v>
      </c>
      <c r="I570" s="1"/>
      <c r="J570" s="153"/>
      <c r="K570" s="153"/>
      <c r="L570" s="153"/>
      <c r="M570" s="144"/>
      <c r="N570" s="153"/>
      <c r="O570" s="196">
        <v>0</v>
      </c>
      <c r="P570" s="192"/>
      <c r="Q570" s="192"/>
      <c r="R570" s="192"/>
      <c r="S570" s="371"/>
      <c r="T570" s="371"/>
      <c r="U570" s="371"/>
      <c r="V570" s="371"/>
      <c r="W570" s="218"/>
      <c r="X570" s="71"/>
      <c r="Y570" s="70"/>
      <c r="Z570" s="70"/>
      <c r="AA570" s="71"/>
      <c r="AB570" s="70"/>
      <c r="AC570" s="70"/>
      <c r="AH570" s="192">
        <v>0</v>
      </c>
      <c r="AJ570" s="43"/>
      <c r="AK570" s="43"/>
      <c r="AL570" s="43"/>
    </row>
    <row r="571" spans="1:38" s="26" customFormat="1" x14ac:dyDescent="0.2">
      <c r="B571" s="117" t="s">
        <v>687</v>
      </c>
      <c r="C571" s="26" t="s">
        <v>96</v>
      </c>
      <c r="D571" s="26">
        <v>5</v>
      </c>
      <c r="E571" s="26" t="s">
        <v>121</v>
      </c>
      <c r="I571" s="1"/>
      <c r="J571" s="153"/>
      <c r="K571" s="153"/>
      <c r="L571" s="153"/>
      <c r="M571" s="144"/>
      <c r="N571" s="153"/>
      <c r="O571" s="196">
        <v>0</v>
      </c>
      <c r="P571" s="192"/>
      <c r="Q571" s="192"/>
      <c r="R571" s="192"/>
      <c r="S571" s="371"/>
      <c r="T571" s="371"/>
      <c r="U571" s="371"/>
      <c r="V571" s="371"/>
      <c r="W571" s="218"/>
      <c r="X571" s="71"/>
      <c r="Y571" s="70"/>
      <c r="Z571" s="70"/>
      <c r="AA571" s="71"/>
      <c r="AB571" s="70"/>
      <c r="AC571" s="70"/>
      <c r="AH571" s="192">
        <v>0</v>
      </c>
      <c r="AJ571" s="43"/>
      <c r="AK571" s="43"/>
      <c r="AL571" s="43"/>
    </row>
    <row r="572" spans="1:38" s="26" customFormat="1" x14ac:dyDescent="0.2">
      <c r="B572" s="117" t="s">
        <v>688</v>
      </c>
      <c r="C572" s="26" t="s">
        <v>96</v>
      </c>
      <c r="D572" s="26">
        <v>5</v>
      </c>
      <c r="E572" s="26" t="s">
        <v>121</v>
      </c>
      <c r="I572" s="1"/>
      <c r="J572" s="153"/>
      <c r="K572" s="153"/>
      <c r="L572" s="153"/>
      <c r="M572" s="144"/>
      <c r="N572" s="153"/>
      <c r="O572" s="196">
        <v>0</v>
      </c>
      <c r="P572" s="192"/>
      <c r="Q572" s="192"/>
      <c r="R572" s="192"/>
      <c r="S572" s="371"/>
      <c r="T572" s="371"/>
      <c r="U572" s="371"/>
      <c r="V572" s="371"/>
      <c r="W572" s="218"/>
      <c r="X572" s="71"/>
      <c r="Y572" s="70"/>
      <c r="Z572" s="70"/>
      <c r="AA572" s="71"/>
      <c r="AB572" s="70"/>
      <c r="AC572" s="70"/>
      <c r="AH572" s="192">
        <v>0</v>
      </c>
      <c r="AJ572" s="43"/>
      <c r="AK572" s="43"/>
      <c r="AL572" s="43"/>
    </row>
    <row r="573" spans="1:38" s="26" customFormat="1" x14ac:dyDescent="0.2">
      <c r="B573" s="117" t="s">
        <v>689</v>
      </c>
      <c r="C573" s="26" t="s">
        <v>96</v>
      </c>
      <c r="D573" s="26">
        <v>5</v>
      </c>
      <c r="E573" s="26" t="s">
        <v>121</v>
      </c>
      <c r="I573" s="1"/>
      <c r="J573" s="153"/>
      <c r="K573" s="153"/>
      <c r="L573" s="153"/>
      <c r="M573" s="144"/>
      <c r="N573" s="153"/>
      <c r="O573" s="196">
        <v>0</v>
      </c>
      <c r="P573" s="192"/>
      <c r="Q573" s="192"/>
      <c r="R573" s="192"/>
      <c r="S573" s="371"/>
      <c r="T573" s="371"/>
      <c r="U573" s="371"/>
      <c r="V573" s="371"/>
      <c r="W573" s="218"/>
      <c r="X573" s="71"/>
      <c r="Y573" s="70"/>
      <c r="Z573" s="70"/>
      <c r="AA573" s="71"/>
      <c r="AB573" s="70"/>
      <c r="AC573" s="70"/>
      <c r="AH573" s="192">
        <v>0</v>
      </c>
      <c r="AJ573" s="43"/>
      <c r="AK573" s="43"/>
      <c r="AL573" s="43"/>
    </row>
    <row r="574" spans="1:38" s="26" customFormat="1" x14ac:dyDescent="0.2">
      <c r="B574" s="117" t="s">
        <v>690</v>
      </c>
      <c r="C574" s="26" t="s">
        <v>96</v>
      </c>
      <c r="D574" s="26">
        <v>5</v>
      </c>
      <c r="E574" s="26" t="s">
        <v>121</v>
      </c>
      <c r="I574" s="1"/>
      <c r="J574" s="153"/>
      <c r="K574" s="153"/>
      <c r="L574" s="153"/>
      <c r="M574" s="144"/>
      <c r="N574" s="153"/>
      <c r="O574" s="196">
        <v>0</v>
      </c>
      <c r="P574" s="192"/>
      <c r="Q574" s="192"/>
      <c r="R574" s="192"/>
      <c r="S574" s="371"/>
      <c r="T574" s="371"/>
      <c r="U574" s="371"/>
      <c r="V574" s="371"/>
      <c r="W574" s="218"/>
      <c r="X574" s="71"/>
      <c r="Y574" s="70"/>
      <c r="Z574" s="70"/>
      <c r="AA574" s="71"/>
      <c r="AB574" s="70"/>
      <c r="AC574" s="70"/>
      <c r="AH574" s="192">
        <v>0</v>
      </c>
      <c r="AJ574" s="43"/>
      <c r="AK574" s="43"/>
      <c r="AL574" s="43"/>
    </row>
    <row r="575" spans="1:38" s="26" customFormat="1" x14ac:dyDescent="0.2">
      <c r="B575" s="117" t="s">
        <v>691</v>
      </c>
      <c r="C575" s="26" t="s">
        <v>96</v>
      </c>
      <c r="D575" s="26">
        <v>5</v>
      </c>
      <c r="E575" s="26" t="s">
        <v>121</v>
      </c>
      <c r="I575" s="1"/>
      <c r="J575" s="153"/>
      <c r="K575" s="153"/>
      <c r="L575" s="153"/>
      <c r="M575" s="144"/>
      <c r="N575" s="153"/>
      <c r="O575" s="196">
        <v>0</v>
      </c>
      <c r="P575" s="192"/>
      <c r="Q575" s="192"/>
      <c r="R575" s="192"/>
      <c r="S575" s="371"/>
      <c r="T575" s="371"/>
      <c r="U575" s="371"/>
      <c r="V575" s="371"/>
      <c r="W575" s="218"/>
      <c r="X575" s="71"/>
      <c r="Y575" s="70"/>
      <c r="Z575" s="70"/>
      <c r="AA575" s="71"/>
      <c r="AB575" s="70"/>
      <c r="AC575" s="70"/>
      <c r="AH575" s="192">
        <v>0</v>
      </c>
      <c r="AJ575" s="43"/>
      <c r="AK575" s="43"/>
      <c r="AL575" s="43"/>
    </row>
    <row r="576" spans="1:38" s="26" customFormat="1" x14ac:dyDescent="0.2">
      <c r="A576" s="26" t="s">
        <v>27</v>
      </c>
      <c r="B576" s="117" t="s">
        <v>692</v>
      </c>
      <c r="C576" s="26" t="s">
        <v>96</v>
      </c>
      <c r="D576" s="26">
        <v>5</v>
      </c>
      <c r="E576" s="26" t="s">
        <v>121</v>
      </c>
      <c r="I576" s="1"/>
      <c r="J576" s="153"/>
      <c r="K576" s="153"/>
      <c r="L576" s="153">
        <v>1</v>
      </c>
      <c r="M576" s="144">
        <v>0</v>
      </c>
      <c r="N576" s="153">
        <v>8</v>
      </c>
      <c r="O576" s="196">
        <v>0</v>
      </c>
      <c r="P576" s="192"/>
      <c r="Q576" s="192"/>
      <c r="R576" s="192"/>
      <c r="S576" s="371">
        <v>0</v>
      </c>
      <c r="T576" s="371"/>
      <c r="U576" s="371"/>
      <c r="V576" s="371"/>
      <c r="W576" s="218"/>
      <c r="X576" s="71"/>
      <c r="Y576" s="70"/>
      <c r="Z576" s="70"/>
      <c r="AA576" s="71"/>
      <c r="AB576" s="70"/>
      <c r="AC576" s="70"/>
      <c r="AH576" s="192">
        <v>0</v>
      </c>
      <c r="AJ576" s="43"/>
      <c r="AK576" s="43"/>
      <c r="AL576" s="43"/>
    </row>
    <row r="577" spans="1:38" s="26" customFormat="1" x14ac:dyDescent="0.2">
      <c r="B577" s="117" t="s">
        <v>693</v>
      </c>
      <c r="C577" s="26" t="s">
        <v>96</v>
      </c>
      <c r="D577" s="26">
        <v>5</v>
      </c>
      <c r="E577" s="26" t="s">
        <v>121</v>
      </c>
      <c r="I577" s="1"/>
      <c r="J577" s="153"/>
      <c r="K577" s="153"/>
      <c r="L577" s="153"/>
      <c r="M577" s="144"/>
      <c r="N577" s="153"/>
      <c r="O577" s="196">
        <v>0</v>
      </c>
      <c r="P577" s="192"/>
      <c r="Q577" s="192"/>
      <c r="R577" s="192"/>
      <c r="S577" s="371" t="s">
        <v>27</v>
      </c>
      <c r="T577" s="371"/>
      <c r="U577" s="371"/>
      <c r="V577" s="371"/>
      <c r="W577" s="218"/>
      <c r="X577" s="71"/>
      <c r="Y577" s="70"/>
      <c r="Z577" s="70"/>
      <c r="AA577" s="71"/>
      <c r="AB577" s="70"/>
      <c r="AC577" s="70"/>
      <c r="AH577" s="192">
        <v>0</v>
      </c>
      <c r="AJ577" s="43"/>
      <c r="AK577" s="43"/>
      <c r="AL577" s="43"/>
    </row>
    <row r="578" spans="1:38" s="26" customFormat="1" x14ac:dyDescent="0.2">
      <c r="B578" s="117" t="s">
        <v>694</v>
      </c>
      <c r="C578" s="26" t="s">
        <v>96</v>
      </c>
      <c r="D578" s="26">
        <v>5</v>
      </c>
      <c r="E578" s="26" t="s">
        <v>121</v>
      </c>
      <c r="I578" s="19"/>
      <c r="J578" s="153"/>
      <c r="K578" s="153"/>
      <c r="L578" s="153"/>
      <c r="M578" s="144"/>
      <c r="N578" s="153"/>
      <c r="O578" s="196">
        <v>0</v>
      </c>
      <c r="P578" s="192"/>
      <c r="Q578" s="192"/>
      <c r="R578" s="192"/>
      <c r="S578" s="371"/>
      <c r="T578" s="371"/>
      <c r="U578" s="371"/>
      <c r="V578" s="371"/>
      <c r="W578" s="218"/>
      <c r="X578" s="29"/>
      <c r="Y578" s="30"/>
      <c r="Z578" s="30"/>
      <c r="AA578" s="29"/>
      <c r="AB578" s="30"/>
      <c r="AC578" s="30"/>
      <c r="AH578" s="192">
        <v>0</v>
      </c>
      <c r="AJ578" s="43"/>
      <c r="AK578" s="43"/>
      <c r="AL578" s="43"/>
    </row>
    <row r="579" spans="1:38" s="26" customFormat="1" x14ac:dyDescent="0.2">
      <c r="B579" s="117" t="s">
        <v>695</v>
      </c>
      <c r="C579" s="26" t="s">
        <v>96</v>
      </c>
      <c r="D579" s="26">
        <v>5</v>
      </c>
      <c r="E579" s="26" t="s">
        <v>121</v>
      </c>
      <c r="I579" s="19"/>
      <c r="J579" s="153"/>
      <c r="K579" s="153"/>
      <c r="L579" s="153"/>
      <c r="M579" s="144"/>
      <c r="N579" s="153"/>
      <c r="O579" s="196">
        <v>0</v>
      </c>
      <c r="P579" s="192"/>
      <c r="Q579" s="192"/>
      <c r="R579" s="192"/>
      <c r="S579" s="371" t="s">
        <v>27</v>
      </c>
      <c r="T579" s="371"/>
      <c r="U579" s="371"/>
      <c r="V579" s="371"/>
      <c r="W579" s="218"/>
      <c r="X579" s="29"/>
      <c r="Y579" s="30"/>
      <c r="Z579" s="30"/>
      <c r="AA579" s="29"/>
      <c r="AB579" s="30"/>
      <c r="AC579" s="30"/>
      <c r="AH579" s="192">
        <v>0</v>
      </c>
      <c r="AJ579" s="43"/>
      <c r="AK579" s="43"/>
      <c r="AL579" s="43"/>
    </row>
    <row r="580" spans="1:38" s="26" customFormat="1" x14ac:dyDescent="0.2">
      <c r="B580" s="117" t="s">
        <v>696</v>
      </c>
      <c r="C580" s="26" t="s">
        <v>96</v>
      </c>
      <c r="D580" s="26">
        <v>5</v>
      </c>
      <c r="E580" s="26" t="s">
        <v>121</v>
      </c>
      <c r="I580" s="19"/>
      <c r="J580" s="153"/>
      <c r="K580" s="153"/>
      <c r="L580" s="153"/>
      <c r="M580" s="144"/>
      <c r="N580" s="153"/>
      <c r="O580" s="196">
        <v>0</v>
      </c>
      <c r="P580" s="192"/>
      <c r="Q580" s="192"/>
      <c r="R580" s="192"/>
      <c r="S580" s="371"/>
      <c r="T580" s="371"/>
      <c r="U580" s="371"/>
      <c r="V580" s="371"/>
      <c r="W580" s="218"/>
      <c r="X580" s="29"/>
      <c r="Y580" s="30"/>
      <c r="Z580" s="30"/>
      <c r="AA580" s="29"/>
      <c r="AB580" s="30"/>
      <c r="AC580" s="30"/>
      <c r="AH580" s="192">
        <v>0</v>
      </c>
      <c r="AJ580" s="43"/>
      <c r="AK580" s="43"/>
      <c r="AL580" s="43"/>
    </row>
    <row r="581" spans="1:38" s="26" customFormat="1" x14ac:dyDescent="0.2">
      <c r="B581" s="117" t="s">
        <v>697</v>
      </c>
      <c r="C581" s="26" t="s">
        <v>96</v>
      </c>
      <c r="D581" s="26">
        <v>5</v>
      </c>
      <c r="E581" s="26" t="s">
        <v>121</v>
      </c>
      <c r="I581" s="19"/>
      <c r="J581" s="153"/>
      <c r="K581" s="153"/>
      <c r="L581" s="153"/>
      <c r="M581" s="144"/>
      <c r="N581" s="153"/>
      <c r="O581" s="196">
        <v>0</v>
      </c>
      <c r="P581" s="192"/>
      <c r="Q581" s="192"/>
      <c r="R581" s="192"/>
      <c r="S581" s="371" t="s">
        <v>27</v>
      </c>
      <c r="T581" s="371"/>
      <c r="U581" s="371"/>
      <c r="V581" s="371"/>
      <c r="W581" s="218"/>
      <c r="X581" s="29"/>
      <c r="Y581" s="30"/>
      <c r="Z581" s="30"/>
      <c r="AA581" s="29"/>
      <c r="AB581" s="30"/>
      <c r="AC581" s="30"/>
      <c r="AH581" s="192">
        <v>0</v>
      </c>
      <c r="AJ581" s="43"/>
      <c r="AK581" s="43"/>
      <c r="AL581" s="43"/>
    </row>
    <row r="582" spans="1:38" s="26" customFormat="1" x14ac:dyDescent="0.2">
      <c r="B582" s="117" t="s">
        <v>698</v>
      </c>
      <c r="C582" s="26" t="s">
        <v>96</v>
      </c>
      <c r="D582" s="26">
        <v>5</v>
      </c>
      <c r="E582" s="26" t="s">
        <v>121</v>
      </c>
      <c r="I582" s="19"/>
      <c r="J582" s="153"/>
      <c r="K582" s="153"/>
      <c r="L582" s="153"/>
      <c r="M582" s="144"/>
      <c r="N582" s="153"/>
      <c r="O582" s="196">
        <v>0</v>
      </c>
      <c r="P582" s="192"/>
      <c r="Q582" s="192"/>
      <c r="R582" s="192"/>
      <c r="S582" s="371"/>
      <c r="T582" s="371"/>
      <c r="U582" s="371"/>
      <c r="V582" s="371"/>
      <c r="W582" s="218"/>
      <c r="X582" s="29"/>
      <c r="Y582" s="30"/>
      <c r="Z582" s="30"/>
      <c r="AA582" s="29"/>
      <c r="AB582" s="30"/>
      <c r="AC582" s="30"/>
      <c r="AH582" s="192">
        <v>0</v>
      </c>
      <c r="AJ582" s="43"/>
      <c r="AK582" s="43"/>
      <c r="AL582" s="43"/>
    </row>
    <row r="583" spans="1:38" s="26" customFormat="1" x14ac:dyDescent="0.2">
      <c r="B583" s="117" t="s">
        <v>699</v>
      </c>
      <c r="C583" s="26" t="s">
        <v>96</v>
      </c>
      <c r="D583" s="26">
        <v>5</v>
      </c>
      <c r="E583" s="26" t="s">
        <v>121</v>
      </c>
      <c r="I583" s="19"/>
      <c r="J583" s="153"/>
      <c r="K583" s="153"/>
      <c r="L583" s="153"/>
      <c r="M583" s="144"/>
      <c r="N583" s="153"/>
      <c r="O583" s="196">
        <v>0</v>
      </c>
      <c r="P583" s="192"/>
      <c r="Q583" s="192"/>
      <c r="R583" s="192"/>
      <c r="S583" s="371"/>
      <c r="T583" s="371"/>
      <c r="U583" s="371"/>
      <c r="V583" s="371"/>
      <c r="W583" s="218"/>
      <c r="X583" s="29"/>
      <c r="Y583" s="30"/>
      <c r="Z583" s="30"/>
      <c r="AA583" s="29"/>
      <c r="AB583" s="30"/>
      <c r="AC583" s="30"/>
      <c r="AH583" s="192">
        <v>0</v>
      </c>
      <c r="AJ583" s="43"/>
      <c r="AK583" s="43"/>
      <c r="AL583" s="43"/>
    </row>
    <row r="584" spans="1:38" s="26" customFormat="1" x14ac:dyDescent="0.2">
      <c r="A584" s="26">
        <v>4</v>
      </c>
      <c r="B584" s="117" t="s">
        <v>700</v>
      </c>
      <c r="I584" s="19">
        <v>0</v>
      </c>
      <c r="J584" s="153"/>
      <c r="K584" s="153">
        <v>1</v>
      </c>
      <c r="L584" s="153">
        <v>1</v>
      </c>
      <c r="M584" s="144">
        <v>1</v>
      </c>
      <c r="N584" s="153">
        <v>4</v>
      </c>
      <c r="O584" s="196">
        <v>1</v>
      </c>
      <c r="P584" s="192"/>
      <c r="Q584" s="192"/>
      <c r="R584" s="192"/>
      <c r="S584" s="371">
        <v>0.75</v>
      </c>
      <c r="T584" s="371"/>
      <c r="U584" s="371"/>
      <c r="V584" s="371"/>
      <c r="W584" s="218"/>
      <c r="X584" s="29"/>
      <c r="Y584" s="30"/>
      <c r="Z584" s="30"/>
      <c r="AA584" s="29"/>
      <c r="AB584" s="30"/>
      <c r="AC584" s="30"/>
      <c r="AH584" s="192">
        <v>0</v>
      </c>
      <c r="AJ584" s="43"/>
      <c r="AK584" s="43"/>
      <c r="AL584" s="43"/>
    </row>
    <row r="585" spans="1:38" s="26" customFormat="1" x14ac:dyDescent="0.2">
      <c r="B585" s="117" t="s">
        <v>701</v>
      </c>
      <c r="I585" s="19"/>
      <c r="J585" s="153"/>
      <c r="K585" s="153"/>
      <c r="L585" s="153"/>
      <c r="M585" s="144"/>
      <c r="N585" s="153"/>
      <c r="O585" s="196">
        <v>0</v>
      </c>
      <c r="P585" s="192"/>
      <c r="Q585" s="192"/>
      <c r="R585" s="192"/>
      <c r="S585" s="371"/>
      <c r="T585" s="371"/>
      <c r="U585" s="371"/>
      <c r="V585" s="371"/>
      <c r="W585" s="218"/>
      <c r="X585" s="29"/>
      <c r="Y585" s="30"/>
      <c r="Z585" s="30"/>
      <c r="AA585" s="29"/>
      <c r="AB585" s="30"/>
      <c r="AC585" s="30"/>
      <c r="AJ585" s="43"/>
      <c r="AK585" s="43"/>
      <c r="AL585" s="43"/>
    </row>
    <row r="586" spans="1:38" s="26" customFormat="1" x14ac:dyDescent="0.2">
      <c r="B586" s="117" t="s">
        <v>700</v>
      </c>
      <c r="G586" s="26" t="s">
        <v>702</v>
      </c>
      <c r="I586" s="19"/>
      <c r="J586" s="153"/>
      <c r="K586" s="153"/>
      <c r="L586" s="153"/>
      <c r="M586" s="144"/>
      <c r="N586" s="153"/>
      <c r="O586" s="196">
        <v>1</v>
      </c>
      <c r="P586" s="192"/>
      <c r="Q586" s="192"/>
      <c r="R586" s="192"/>
      <c r="S586" s="371"/>
      <c r="T586" s="371"/>
      <c r="U586" s="371"/>
      <c r="V586" s="371"/>
      <c r="W586" s="218"/>
      <c r="X586" s="29"/>
      <c r="Y586" s="30"/>
      <c r="Z586" s="30"/>
      <c r="AA586" s="29"/>
      <c r="AB586" s="30"/>
      <c r="AC586" s="30"/>
      <c r="AJ586" s="43"/>
      <c r="AK586" s="43"/>
      <c r="AL586" s="43"/>
    </row>
    <row r="587" spans="1:38" s="26" customFormat="1" x14ac:dyDescent="0.2">
      <c r="B587" s="117" t="s">
        <v>701</v>
      </c>
      <c r="I587" s="19"/>
      <c r="J587" s="153"/>
      <c r="K587" s="153"/>
      <c r="L587" s="153"/>
      <c r="M587" s="144"/>
      <c r="N587" s="153"/>
      <c r="O587" s="196">
        <v>1</v>
      </c>
      <c r="P587" s="192"/>
      <c r="Q587" s="192"/>
      <c r="R587" s="192"/>
      <c r="S587" s="371" t="s">
        <v>27</v>
      </c>
      <c r="T587" s="371"/>
      <c r="U587" s="371"/>
      <c r="V587" s="371"/>
      <c r="W587" s="218"/>
      <c r="X587" s="29"/>
      <c r="Y587" s="30"/>
      <c r="Z587" s="30"/>
      <c r="AA587" s="29"/>
      <c r="AB587" s="30"/>
      <c r="AC587" s="30"/>
      <c r="AJ587" s="43"/>
      <c r="AK587" s="43"/>
      <c r="AL587" s="43"/>
    </row>
    <row r="588" spans="1:38" s="26" customFormat="1" x14ac:dyDescent="0.2">
      <c r="A588" s="26">
        <v>5</v>
      </c>
      <c r="B588" s="117" t="s">
        <v>703</v>
      </c>
      <c r="C588" s="26" t="s">
        <v>96</v>
      </c>
      <c r="D588" s="26">
        <v>5</v>
      </c>
      <c r="E588" s="26" t="s">
        <v>121</v>
      </c>
      <c r="I588" s="19"/>
      <c r="J588" s="153"/>
      <c r="K588" s="153"/>
      <c r="L588" s="153">
        <v>1</v>
      </c>
      <c r="M588" s="144">
        <v>0</v>
      </c>
      <c r="N588" s="153">
        <v>6</v>
      </c>
      <c r="O588" s="196">
        <v>0</v>
      </c>
      <c r="P588" s="192"/>
      <c r="Q588" s="192"/>
      <c r="R588" s="192"/>
      <c r="S588" s="371">
        <v>0</v>
      </c>
      <c r="T588" s="371"/>
      <c r="U588" s="371"/>
      <c r="V588" s="371"/>
      <c r="W588" s="218"/>
      <c r="X588" s="29"/>
      <c r="Y588" s="30"/>
      <c r="Z588" s="30"/>
      <c r="AA588" s="29"/>
      <c r="AB588" s="30"/>
      <c r="AC588" s="30"/>
      <c r="AJ588" s="43"/>
      <c r="AK588" s="43"/>
      <c r="AL588" s="43"/>
    </row>
    <row r="589" spans="1:38" s="26" customFormat="1" x14ac:dyDescent="0.2">
      <c r="B589" s="117" t="s">
        <v>704</v>
      </c>
      <c r="C589" s="26" t="s">
        <v>96</v>
      </c>
      <c r="D589" s="26">
        <v>5</v>
      </c>
      <c r="E589" s="26" t="s">
        <v>121</v>
      </c>
      <c r="I589" s="19"/>
      <c r="J589" s="153"/>
      <c r="K589" s="153"/>
      <c r="L589" s="153"/>
      <c r="M589" s="144"/>
      <c r="N589" s="153"/>
      <c r="O589" s="196">
        <v>0</v>
      </c>
      <c r="P589" s="192"/>
      <c r="Q589" s="192"/>
      <c r="R589" s="192"/>
      <c r="S589" s="371"/>
      <c r="T589" s="371"/>
      <c r="U589" s="371"/>
      <c r="V589" s="371"/>
      <c r="W589" s="218"/>
      <c r="X589" s="29"/>
      <c r="Y589" s="30"/>
      <c r="Z589" s="30"/>
      <c r="AA589" s="29"/>
      <c r="AB589" s="30"/>
      <c r="AC589" s="30"/>
      <c r="AJ589" s="43"/>
      <c r="AK589" s="43"/>
      <c r="AL589" s="43"/>
    </row>
    <row r="590" spans="1:38" s="26" customFormat="1" x14ac:dyDescent="0.2">
      <c r="B590" s="117" t="s">
        <v>705</v>
      </c>
      <c r="C590" s="26" t="s">
        <v>96</v>
      </c>
      <c r="D590" s="26">
        <v>5</v>
      </c>
      <c r="E590" s="26" t="s">
        <v>121</v>
      </c>
      <c r="I590" s="19"/>
      <c r="J590" s="153"/>
      <c r="K590" s="153"/>
      <c r="L590" s="153"/>
      <c r="M590" s="144"/>
      <c r="N590" s="153"/>
      <c r="O590" s="196">
        <v>0</v>
      </c>
      <c r="P590" s="192"/>
      <c r="Q590" s="192"/>
      <c r="R590" s="192"/>
      <c r="S590" s="371"/>
      <c r="T590" s="371"/>
      <c r="U590" s="371"/>
      <c r="V590" s="371"/>
      <c r="W590" s="218"/>
      <c r="X590" s="29"/>
      <c r="Y590" s="30"/>
      <c r="Z590" s="30"/>
      <c r="AA590" s="29"/>
      <c r="AB590" s="30"/>
      <c r="AC590" s="30"/>
      <c r="AJ590" s="43"/>
      <c r="AK590" s="43"/>
      <c r="AL590" s="43"/>
    </row>
    <row r="591" spans="1:38" s="26" customFormat="1" x14ac:dyDescent="0.2">
      <c r="B591" s="117" t="s">
        <v>706</v>
      </c>
      <c r="C591" s="26" t="s">
        <v>96</v>
      </c>
      <c r="D591" s="26">
        <v>5</v>
      </c>
      <c r="E591" s="26" t="s">
        <v>121</v>
      </c>
      <c r="I591" s="19"/>
      <c r="J591" s="153"/>
      <c r="K591" s="153"/>
      <c r="L591" s="153"/>
      <c r="M591" s="144"/>
      <c r="N591" s="153"/>
      <c r="O591" s="196">
        <v>0</v>
      </c>
      <c r="P591" s="192"/>
      <c r="Q591" s="192"/>
      <c r="R591" s="192"/>
      <c r="S591" s="371"/>
      <c r="T591" s="371"/>
      <c r="U591" s="371"/>
      <c r="V591" s="371"/>
      <c r="W591" s="218"/>
      <c r="X591" s="29"/>
      <c r="Y591" s="30"/>
      <c r="Z591" s="30"/>
      <c r="AA591" s="29"/>
      <c r="AB591" s="30"/>
      <c r="AC591" s="30"/>
      <c r="AJ591" s="43"/>
      <c r="AK591" s="43"/>
      <c r="AL591" s="43"/>
    </row>
    <row r="592" spans="1:38" s="26" customFormat="1" x14ac:dyDescent="0.2">
      <c r="B592" s="117" t="s">
        <v>707</v>
      </c>
      <c r="C592" s="26" t="s">
        <v>96</v>
      </c>
      <c r="D592" s="26">
        <v>5</v>
      </c>
      <c r="E592" s="26" t="s">
        <v>121</v>
      </c>
      <c r="I592" s="19"/>
      <c r="J592" s="153"/>
      <c r="K592" s="153"/>
      <c r="L592" s="153"/>
      <c r="M592" s="144"/>
      <c r="N592" s="153"/>
      <c r="O592" s="196">
        <v>0</v>
      </c>
      <c r="P592" s="192"/>
      <c r="Q592" s="192"/>
      <c r="R592" s="192"/>
      <c r="S592" s="371"/>
      <c r="T592" s="371"/>
      <c r="U592" s="371"/>
      <c r="V592" s="371"/>
      <c r="W592" s="218"/>
      <c r="X592" s="29"/>
      <c r="Y592" s="30"/>
      <c r="Z592" s="30"/>
      <c r="AA592" s="29"/>
      <c r="AB592" s="30"/>
      <c r="AC592" s="30"/>
      <c r="AJ592" s="43"/>
      <c r="AK592" s="43"/>
      <c r="AL592" s="43"/>
    </row>
    <row r="593" spans="1:38" s="26" customFormat="1" x14ac:dyDescent="0.2">
      <c r="B593" s="117" t="s">
        <v>708</v>
      </c>
      <c r="C593" s="26" t="s">
        <v>96</v>
      </c>
      <c r="D593" s="26">
        <v>5</v>
      </c>
      <c r="E593" s="26" t="s">
        <v>121</v>
      </c>
      <c r="I593" s="19"/>
      <c r="J593" s="153"/>
      <c r="K593" s="153"/>
      <c r="L593" s="153"/>
      <c r="M593" s="144"/>
      <c r="N593" s="153"/>
      <c r="O593" s="196">
        <v>0</v>
      </c>
      <c r="P593" s="192"/>
      <c r="Q593" s="192"/>
      <c r="R593" s="192"/>
      <c r="S593" s="371"/>
      <c r="T593" s="371"/>
      <c r="U593" s="371"/>
      <c r="V593" s="371"/>
      <c r="W593" s="218"/>
      <c r="X593" s="29"/>
      <c r="Y593" s="30"/>
      <c r="Z593" s="30"/>
      <c r="AA593" s="29"/>
      <c r="AB593" s="30"/>
      <c r="AC593" s="30"/>
      <c r="AJ593" s="43"/>
      <c r="AK593" s="43"/>
      <c r="AL593" s="43"/>
    </row>
    <row r="594" spans="1:38" s="280" customFormat="1" x14ac:dyDescent="0.2">
      <c r="A594" s="280" t="s">
        <v>709</v>
      </c>
      <c r="B594" s="280" t="s">
        <v>50</v>
      </c>
      <c r="I594" s="273"/>
      <c r="J594" s="320">
        <f>COUNT(A595:A703)</f>
        <v>3</v>
      </c>
      <c r="K594" s="321">
        <f>COUNTIF(K595:K703,1)/J594</f>
        <v>0</v>
      </c>
      <c r="L594" s="320">
        <f>SUM(L595:L703)</f>
        <v>17</v>
      </c>
      <c r="M594" s="321">
        <f>COUNTIF(M595:M703,1)/L594</f>
        <v>0</v>
      </c>
      <c r="N594" s="320">
        <f>SUM(N595:N703)</f>
        <v>109</v>
      </c>
      <c r="O594" s="321">
        <f>COUNTIF(O595:O703,1)/N594</f>
        <v>0</v>
      </c>
      <c r="P594" s="524">
        <f>AVERAGE(O595:O703)</f>
        <v>0</v>
      </c>
      <c r="Q594" s="524">
        <f>_xlfn.STDEV.P(O595:O703)</f>
        <v>0</v>
      </c>
      <c r="R594" s="525">
        <v>4</v>
      </c>
      <c r="S594" s="373">
        <v>0</v>
      </c>
      <c r="T594" s="373"/>
      <c r="U594" s="373">
        <f>_xlfn.STDEV.P(T595:T611)</f>
        <v>0</v>
      </c>
      <c r="V594" s="373">
        <f>+V612</f>
        <v>0</v>
      </c>
      <c r="W594" s="327"/>
      <c r="X594" s="277"/>
      <c r="Y594" s="278"/>
      <c r="Z594" s="278"/>
      <c r="AA594" s="277"/>
      <c r="AB594" s="278"/>
      <c r="AC594" s="278"/>
      <c r="AJ594" s="328"/>
      <c r="AK594" s="328"/>
      <c r="AL594" s="328"/>
    </row>
    <row r="595" spans="1:38" s="19" customFormat="1" x14ac:dyDescent="0.2">
      <c r="A595" s="19">
        <v>1</v>
      </c>
      <c r="B595" s="112" t="s">
        <v>710</v>
      </c>
      <c r="C595" s="19" t="s">
        <v>120</v>
      </c>
      <c r="D595" s="19">
        <v>5</v>
      </c>
      <c r="E595" s="19" t="s">
        <v>277</v>
      </c>
      <c r="J595" s="144"/>
      <c r="K595" s="144">
        <v>0</v>
      </c>
      <c r="L595" s="144">
        <v>1</v>
      </c>
      <c r="M595" s="144">
        <v>0</v>
      </c>
      <c r="N595" s="144">
        <v>3</v>
      </c>
      <c r="O595" s="192">
        <v>0</v>
      </c>
      <c r="P595" s="192"/>
      <c r="Q595" s="192"/>
      <c r="R595" s="192"/>
      <c r="S595" s="371">
        <v>0</v>
      </c>
      <c r="T595" s="371">
        <v>0</v>
      </c>
      <c r="U595" s="371"/>
      <c r="V595" s="371"/>
      <c r="W595" s="217"/>
      <c r="X595" s="29"/>
      <c r="Y595" s="30"/>
      <c r="Z595" s="30"/>
      <c r="AA595" s="29"/>
      <c r="AB595" s="30"/>
      <c r="AC595" s="30"/>
      <c r="AJ595" s="42"/>
      <c r="AK595" s="42"/>
      <c r="AL595" s="42"/>
    </row>
    <row r="596" spans="1:38" s="19" customFormat="1" x14ac:dyDescent="0.2">
      <c r="A596" s="19" t="s">
        <v>27</v>
      </c>
      <c r="B596" s="112" t="s">
        <v>711</v>
      </c>
      <c r="C596" s="19" t="s">
        <v>120</v>
      </c>
      <c r="D596" s="19">
        <v>5</v>
      </c>
      <c r="E596" s="19" t="s">
        <v>277</v>
      </c>
      <c r="J596" s="144"/>
      <c r="K596" s="144"/>
      <c r="L596" s="144"/>
      <c r="M596" s="144"/>
      <c r="N596" s="144"/>
      <c r="O596" s="192">
        <v>0</v>
      </c>
      <c r="P596" s="192"/>
      <c r="Q596" s="192"/>
      <c r="R596" s="192"/>
      <c r="S596" s="371" t="s">
        <v>27</v>
      </c>
      <c r="T596" s="371">
        <v>0</v>
      </c>
      <c r="U596" s="371"/>
      <c r="V596" s="371"/>
      <c r="W596" s="217"/>
      <c r="X596" s="29"/>
      <c r="Y596" s="30"/>
      <c r="Z596" s="30"/>
      <c r="AA596" s="29"/>
      <c r="AB596" s="30"/>
      <c r="AC596" s="30"/>
      <c r="AJ596" s="42"/>
      <c r="AK596" s="42"/>
      <c r="AL596" s="42"/>
    </row>
    <row r="597" spans="1:38" s="19" customFormat="1" x14ac:dyDescent="0.2">
      <c r="A597" s="19" t="s">
        <v>27</v>
      </c>
      <c r="B597" s="112" t="s">
        <v>712</v>
      </c>
      <c r="C597" s="19" t="s">
        <v>120</v>
      </c>
      <c r="D597" s="19">
        <v>5</v>
      </c>
      <c r="E597" s="19" t="s">
        <v>277</v>
      </c>
      <c r="J597" s="144"/>
      <c r="K597" s="144"/>
      <c r="L597" s="144"/>
      <c r="M597" s="144"/>
      <c r="N597" s="144"/>
      <c r="O597" s="192">
        <v>0</v>
      </c>
      <c r="P597" s="192"/>
      <c r="Q597" s="192"/>
      <c r="R597" s="192"/>
      <c r="S597" s="371"/>
      <c r="T597" s="371">
        <v>0</v>
      </c>
      <c r="U597" s="371"/>
      <c r="V597" s="371"/>
      <c r="W597" s="217"/>
      <c r="X597" s="29"/>
      <c r="Y597" s="30"/>
      <c r="Z597" s="30"/>
      <c r="AA597" s="29"/>
      <c r="AB597" s="30"/>
      <c r="AC597" s="30"/>
      <c r="AJ597" s="42"/>
      <c r="AK597" s="42"/>
      <c r="AL597" s="42"/>
    </row>
    <row r="598" spans="1:38" s="19" customFormat="1" x14ac:dyDescent="0.2">
      <c r="A598" s="37">
        <v>2</v>
      </c>
      <c r="B598" s="112" t="s">
        <v>713</v>
      </c>
      <c r="C598" s="19" t="s">
        <v>120</v>
      </c>
      <c r="D598" s="19">
        <v>5</v>
      </c>
      <c r="E598" s="19" t="s">
        <v>277</v>
      </c>
      <c r="I598" s="37"/>
      <c r="J598" s="144"/>
      <c r="K598" s="144">
        <v>0</v>
      </c>
      <c r="L598" s="144">
        <v>1</v>
      </c>
      <c r="M598" s="144">
        <v>0</v>
      </c>
      <c r="N598" s="144">
        <v>9</v>
      </c>
      <c r="O598" s="192">
        <v>0</v>
      </c>
      <c r="P598" s="192"/>
      <c r="Q598" s="192"/>
      <c r="R598" s="192"/>
      <c r="S598" s="371">
        <v>0</v>
      </c>
      <c r="T598" s="371">
        <v>0</v>
      </c>
      <c r="U598" s="371"/>
      <c r="V598" s="371"/>
      <c r="W598" s="217"/>
      <c r="X598" s="121"/>
      <c r="Y598" s="122"/>
      <c r="Z598" s="122"/>
      <c r="AA598" s="121"/>
      <c r="AB598" s="122"/>
      <c r="AC598" s="122"/>
      <c r="AJ598" s="42"/>
      <c r="AK598" s="42"/>
      <c r="AL598" s="42"/>
    </row>
    <row r="599" spans="1:38" s="19" customFormat="1" x14ac:dyDescent="0.2">
      <c r="A599" s="37" t="s">
        <v>27</v>
      </c>
      <c r="B599" s="112" t="s">
        <v>714</v>
      </c>
      <c r="E599" s="37" t="s">
        <v>97</v>
      </c>
      <c r="I599" s="37"/>
      <c r="J599" s="144"/>
      <c r="K599" s="144"/>
      <c r="L599" s="144"/>
      <c r="M599" s="144"/>
      <c r="N599" s="144"/>
      <c r="O599" s="192">
        <v>0</v>
      </c>
      <c r="P599" s="192"/>
      <c r="Q599" s="192"/>
      <c r="R599" s="192"/>
      <c r="S599" s="372"/>
      <c r="T599" s="371">
        <v>0</v>
      </c>
      <c r="U599" s="371"/>
      <c r="V599" s="371"/>
      <c r="W599" s="217"/>
      <c r="X599" s="121"/>
      <c r="Y599" s="122"/>
      <c r="Z599" s="122"/>
      <c r="AA599" s="121"/>
      <c r="AB599" s="122"/>
      <c r="AC599" s="122"/>
      <c r="AJ599" s="42"/>
      <c r="AK599" s="42"/>
      <c r="AL599" s="42"/>
    </row>
    <row r="600" spans="1:38" s="19" customFormat="1" x14ac:dyDescent="0.2">
      <c r="A600" s="37" t="s">
        <v>27</v>
      </c>
      <c r="B600" s="112" t="s">
        <v>715</v>
      </c>
      <c r="E600" s="37" t="s">
        <v>97</v>
      </c>
      <c r="I600" s="37"/>
      <c r="J600" s="144"/>
      <c r="K600" s="144"/>
      <c r="L600" s="144"/>
      <c r="M600" s="144"/>
      <c r="N600" s="144"/>
      <c r="O600" s="192">
        <v>0</v>
      </c>
      <c r="P600" s="192"/>
      <c r="Q600" s="192"/>
      <c r="R600" s="192"/>
      <c r="S600" s="371" t="s">
        <v>27</v>
      </c>
      <c r="T600" s="371">
        <v>0</v>
      </c>
      <c r="U600" s="371"/>
      <c r="V600" s="371"/>
      <c r="W600" s="217"/>
      <c r="X600" s="121"/>
      <c r="Y600" s="122"/>
      <c r="Z600" s="122"/>
      <c r="AA600" s="121"/>
      <c r="AB600" s="122"/>
      <c r="AC600" s="122"/>
      <c r="AJ600" s="42"/>
      <c r="AK600" s="42"/>
      <c r="AL600" s="42"/>
    </row>
    <row r="601" spans="1:38" s="19" customFormat="1" x14ac:dyDescent="0.2">
      <c r="A601" s="37" t="s">
        <v>27</v>
      </c>
      <c r="B601" s="112" t="s">
        <v>716</v>
      </c>
      <c r="E601" s="37" t="s">
        <v>97</v>
      </c>
      <c r="I601" s="37"/>
      <c r="J601" s="144"/>
      <c r="K601" s="144"/>
      <c r="L601" s="144" t="s">
        <v>27</v>
      </c>
      <c r="M601" s="144" t="s">
        <v>27</v>
      </c>
      <c r="N601" s="144" t="s">
        <v>27</v>
      </c>
      <c r="O601" s="192">
        <v>0</v>
      </c>
      <c r="P601" s="192"/>
      <c r="Q601" s="192"/>
      <c r="R601" s="192"/>
      <c r="S601" s="371"/>
      <c r="T601" s="371">
        <v>0</v>
      </c>
      <c r="U601" s="371"/>
      <c r="V601" s="371"/>
      <c r="W601" s="217"/>
      <c r="X601" s="121"/>
      <c r="Y601" s="122"/>
      <c r="Z601" s="122"/>
      <c r="AA601" s="121"/>
      <c r="AB601" s="122"/>
      <c r="AC601" s="122"/>
      <c r="AJ601" s="42"/>
      <c r="AK601" s="42"/>
      <c r="AL601" s="42"/>
    </row>
    <row r="602" spans="1:38" s="19" customFormat="1" x14ac:dyDescent="0.2">
      <c r="A602" s="37" t="s">
        <v>27</v>
      </c>
      <c r="B602" s="112" t="s">
        <v>717</v>
      </c>
      <c r="E602" s="37" t="s">
        <v>97</v>
      </c>
      <c r="I602" s="37"/>
      <c r="J602" s="144"/>
      <c r="K602" s="144"/>
      <c r="L602" s="144"/>
      <c r="M602" s="144"/>
      <c r="N602" s="144"/>
      <c r="O602" s="192">
        <v>0</v>
      </c>
      <c r="P602" s="192"/>
      <c r="Q602" s="192"/>
      <c r="R602" s="192"/>
      <c r="S602" s="371"/>
      <c r="T602" s="371">
        <v>0</v>
      </c>
      <c r="U602" s="371"/>
      <c r="V602" s="371"/>
      <c r="W602" s="217"/>
      <c r="X602" s="121"/>
      <c r="Y602" s="122"/>
      <c r="Z602" s="122"/>
      <c r="AA602" s="121"/>
      <c r="AB602" s="122"/>
      <c r="AC602" s="122"/>
      <c r="AJ602" s="42"/>
      <c r="AK602" s="42"/>
      <c r="AL602" s="42"/>
    </row>
    <row r="603" spans="1:38" s="19" customFormat="1" x14ac:dyDescent="0.2">
      <c r="A603" s="37" t="s">
        <v>27</v>
      </c>
      <c r="B603" s="112" t="s">
        <v>718</v>
      </c>
      <c r="E603" s="37" t="s">
        <v>97</v>
      </c>
      <c r="J603" s="144"/>
      <c r="K603" s="144"/>
      <c r="L603" s="144"/>
      <c r="M603" s="144"/>
      <c r="N603" s="144"/>
      <c r="O603" s="192">
        <v>0</v>
      </c>
      <c r="P603" s="192"/>
      <c r="Q603" s="192"/>
      <c r="R603" s="192"/>
      <c r="S603" s="371" t="s">
        <v>27</v>
      </c>
      <c r="T603" s="371">
        <v>0</v>
      </c>
      <c r="U603" s="371"/>
      <c r="V603" s="371"/>
      <c r="W603" s="217"/>
      <c r="X603" s="27"/>
      <c r="Y603" s="28"/>
      <c r="Z603" s="28"/>
      <c r="AA603" s="27"/>
      <c r="AB603" s="28"/>
      <c r="AC603" s="28"/>
      <c r="AJ603" s="42"/>
      <c r="AK603" s="42"/>
      <c r="AL603" s="42"/>
    </row>
    <row r="604" spans="1:38" s="19" customFormat="1" x14ac:dyDescent="0.2">
      <c r="A604" s="37"/>
      <c r="B604" s="91" t="s">
        <v>719</v>
      </c>
      <c r="C604" s="19" t="s">
        <v>96</v>
      </c>
      <c r="D604" s="19">
        <v>5</v>
      </c>
      <c r="E604" s="37" t="s">
        <v>108</v>
      </c>
      <c r="J604" s="144"/>
      <c r="K604" s="144"/>
      <c r="L604" s="144"/>
      <c r="M604" s="144"/>
      <c r="N604" s="144"/>
      <c r="O604" s="192">
        <v>0</v>
      </c>
      <c r="P604" s="192"/>
      <c r="Q604" s="192"/>
      <c r="R604" s="192"/>
      <c r="S604" s="371"/>
      <c r="T604" s="371">
        <v>0</v>
      </c>
      <c r="U604" s="371"/>
      <c r="V604" s="371"/>
      <c r="W604" s="217"/>
      <c r="X604" s="27"/>
      <c r="Y604" s="28"/>
      <c r="Z604" s="28"/>
      <c r="AA604" s="27"/>
      <c r="AB604" s="28"/>
      <c r="AC604" s="28"/>
      <c r="AJ604" s="42"/>
      <c r="AK604" s="42"/>
      <c r="AL604" s="42"/>
    </row>
    <row r="605" spans="1:38" s="19" customFormat="1" x14ac:dyDescent="0.2">
      <c r="A605" s="37"/>
      <c r="B605" s="91" t="s">
        <v>720</v>
      </c>
      <c r="C605" s="19" t="s">
        <v>96</v>
      </c>
      <c r="D605" s="19">
        <v>5</v>
      </c>
      <c r="E605" s="37" t="s">
        <v>108</v>
      </c>
      <c r="J605" s="144"/>
      <c r="K605" s="144"/>
      <c r="L605" s="144"/>
      <c r="M605" s="144"/>
      <c r="N605" s="144"/>
      <c r="O605" s="192">
        <v>0</v>
      </c>
      <c r="P605" s="192"/>
      <c r="Q605" s="192"/>
      <c r="R605" s="192"/>
      <c r="S605" s="371"/>
      <c r="T605" s="371">
        <v>0</v>
      </c>
      <c r="U605" s="371"/>
      <c r="V605" s="371"/>
      <c r="W605" s="217"/>
      <c r="X605" s="27"/>
      <c r="Y605" s="28"/>
      <c r="Z605" s="28"/>
      <c r="AA605" s="27"/>
      <c r="AB605" s="28"/>
      <c r="AC605" s="28"/>
      <c r="AJ605" s="42"/>
      <c r="AK605" s="42"/>
      <c r="AL605" s="42"/>
    </row>
    <row r="606" spans="1:38" s="19" customFormat="1" x14ac:dyDescent="0.2">
      <c r="A606" s="37"/>
      <c r="B606" s="91" t="s">
        <v>721</v>
      </c>
      <c r="C606" s="19" t="s">
        <v>96</v>
      </c>
      <c r="D606" s="19">
        <v>5</v>
      </c>
      <c r="E606" s="37" t="s">
        <v>108</v>
      </c>
      <c r="J606" s="144"/>
      <c r="K606" s="144"/>
      <c r="L606" s="144"/>
      <c r="M606" s="144"/>
      <c r="N606" s="144"/>
      <c r="O606" s="192">
        <v>0</v>
      </c>
      <c r="P606" s="192"/>
      <c r="Q606" s="192"/>
      <c r="R606" s="192"/>
      <c r="S606" s="371" t="s">
        <v>27</v>
      </c>
      <c r="T606" s="371">
        <v>0</v>
      </c>
      <c r="U606" s="371"/>
      <c r="V606" s="371"/>
      <c r="W606" s="217"/>
      <c r="X606" s="27"/>
      <c r="Y606" s="28"/>
      <c r="Z606" s="28"/>
      <c r="AA606" s="27"/>
      <c r="AB606" s="28"/>
      <c r="AC606" s="28"/>
      <c r="AJ606" s="42"/>
      <c r="AK606" s="42"/>
      <c r="AL606" s="42"/>
    </row>
    <row r="607" spans="1:38" s="19" customFormat="1" x14ac:dyDescent="0.2">
      <c r="B607" s="112" t="s">
        <v>722</v>
      </c>
      <c r="C607" s="19" t="s">
        <v>120</v>
      </c>
      <c r="D607" s="19">
        <v>5</v>
      </c>
      <c r="E607" s="19" t="s">
        <v>277</v>
      </c>
      <c r="J607" s="144"/>
      <c r="K607" s="144"/>
      <c r="L607" s="144">
        <v>1</v>
      </c>
      <c r="M607" s="144">
        <v>0</v>
      </c>
      <c r="N607" s="144">
        <v>9</v>
      </c>
      <c r="O607" s="192">
        <v>0</v>
      </c>
      <c r="P607" s="192"/>
      <c r="Q607" s="192"/>
      <c r="R607" s="192"/>
      <c r="S607" s="371">
        <v>0</v>
      </c>
      <c r="T607" s="371">
        <v>0</v>
      </c>
      <c r="U607" s="371"/>
      <c r="V607" s="371"/>
      <c r="W607" s="217"/>
      <c r="X607" s="27"/>
      <c r="Y607" s="28"/>
      <c r="Z607" s="28"/>
      <c r="AA607" s="27"/>
      <c r="AB607" s="28"/>
      <c r="AC607" s="28"/>
      <c r="AJ607" s="42"/>
      <c r="AK607" s="42"/>
      <c r="AL607" s="42"/>
    </row>
    <row r="608" spans="1:38" s="19" customFormat="1" x14ac:dyDescent="0.2">
      <c r="B608" s="112" t="s">
        <v>723</v>
      </c>
      <c r="C608" s="19" t="s">
        <v>120</v>
      </c>
      <c r="D608" s="19">
        <v>5</v>
      </c>
      <c r="E608" s="19" t="s">
        <v>277</v>
      </c>
      <c r="J608" s="144"/>
      <c r="K608" s="144"/>
      <c r="L608" s="144"/>
      <c r="M608" s="144"/>
      <c r="N608" s="144"/>
      <c r="O608" s="192">
        <v>0</v>
      </c>
      <c r="P608" s="192"/>
      <c r="Q608" s="192"/>
      <c r="R608" s="192"/>
      <c r="S608" s="371"/>
      <c r="T608" s="371">
        <v>0</v>
      </c>
      <c r="U608" s="371"/>
      <c r="V608" s="371"/>
      <c r="W608" s="217"/>
      <c r="X608" s="27"/>
      <c r="Y608" s="28"/>
      <c r="Z608" s="28"/>
      <c r="AA608" s="27"/>
      <c r="AB608" s="28"/>
      <c r="AC608" s="28"/>
      <c r="AJ608" s="42"/>
      <c r="AK608" s="42"/>
      <c r="AL608" s="42"/>
    </row>
    <row r="609" spans="1:38" s="19" customFormat="1" x14ac:dyDescent="0.2">
      <c r="B609" s="112" t="s">
        <v>724</v>
      </c>
      <c r="C609" s="19" t="s">
        <v>120</v>
      </c>
      <c r="D609" s="19">
        <v>5</v>
      </c>
      <c r="E609" s="19" t="s">
        <v>277</v>
      </c>
      <c r="J609" s="144"/>
      <c r="K609" s="144"/>
      <c r="L609" s="144"/>
      <c r="M609" s="144"/>
      <c r="N609" s="144"/>
      <c r="O609" s="192">
        <v>0</v>
      </c>
      <c r="P609" s="192"/>
      <c r="Q609" s="192"/>
      <c r="R609" s="192"/>
      <c r="S609" s="371" t="s">
        <v>27</v>
      </c>
      <c r="T609" s="371">
        <v>0</v>
      </c>
      <c r="U609" s="371"/>
      <c r="V609" s="371"/>
      <c r="W609" s="217"/>
      <c r="X609" s="27"/>
      <c r="Y609" s="28"/>
      <c r="Z609" s="28"/>
      <c r="AA609" s="27"/>
      <c r="AB609" s="28"/>
      <c r="AC609" s="28"/>
      <c r="AJ609" s="42"/>
      <c r="AK609" s="42"/>
      <c r="AL609" s="42"/>
    </row>
    <row r="610" spans="1:38" s="19" customFormat="1" x14ac:dyDescent="0.2">
      <c r="B610" s="112" t="s">
        <v>725</v>
      </c>
      <c r="C610" s="19" t="s">
        <v>120</v>
      </c>
      <c r="D610" s="19">
        <v>5</v>
      </c>
      <c r="E610" s="19" t="s">
        <v>277</v>
      </c>
      <c r="J610" s="144"/>
      <c r="K610" s="144"/>
      <c r="L610" s="144"/>
      <c r="M610" s="144"/>
      <c r="N610" s="144"/>
      <c r="O610" s="192">
        <v>0</v>
      </c>
      <c r="P610" s="192"/>
      <c r="Q610" s="192"/>
      <c r="R610" s="192"/>
      <c r="S610" s="371"/>
      <c r="T610" s="371">
        <v>0</v>
      </c>
      <c r="U610" s="371"/>
      <c r="V610" s="371"/>
      <c r="W610" s="217"/>
      <c r="X610" s="27"/>
      <c r="Y610" s="28"/>
      <c r="Z610" s="28"/>
      <c r="AA610" s="27"/>
      <c r="AB610" s="28"/>
      <c r="AC610" s="28"/>
      <c r="AJ610" s="42"/>
      <c r="AK610" s="42"/>
      <c r="AL610" s="42"/>
    </row>
    <row r="611" spans="1:38" s="19" customFormat="1" ht="14.25" customHeight="1" x14ac:dyDescent="0.2">
      <c r="B611" s="112" t="s">
        <v>726</v>
      </c>
      <c r="C611" s="37" t="s">
        <v>96</v>
      </c>
      <c r="D611" s="37">
        <v>5</v>
      </c>
      <c r="E611" s="37" t="s">
        <v>292</v>
      </c>
      <c r="J611" s="144"/>
      <c r="K611" s="144"/>
      <c r="L611" s="144"/>
      <c r="M611" s="144"/>
      <c r="N611" s="144"/>
      <c r="O611" s="192">
        <v>0</v>
      </c>
      <c r="P611" s="192"/>
      <c r="Q611" s="192"/>
      <c r="R611" s="192"/>
      <c r="S611" s="371"/>
      <c r="T611" s="371">
        <v>0</v>
      </c>
      <c r="U611" s="371"/>
      <c r="V611" s="371"/>
      <c r="W611" s="217"/>
      <c r="X611" s="27"/>
      <c r="Y611" s="28"/>
      <c r="Z611" s="28"/>
      <c r="AA611" s="27"/>
      <c r="AB611" s="28"/>
      <c r="AC611" s="28"/>
      <c r="AJ611" s="42"/>
      <c r="AK611" s="42"/>
      <c r="AL611" s="42"/>
    </row>
    <row r="612" spans="1:38" s="19" customFormat="1" x14ac:dyDescent="0.2">
      <c r="B612" s="112" t="s">
        <v>727</v>
      </c>
      <c r="C612" s="37" t="s">
        <v>96</v>
      </c>
      <c r="D612" s="37">
        <v>5</v>
      </c>
      <c r="E612" s="37" t="s">
        <v>292</v>
      </c>
      <c r="J612" s="144"/>
      <c r="K612" s="144"/>
      <c r="L612" s="144"/>
      <c r="M612" s="144"/>
      <c r="N612" s="144"/>
      <c r="O612" s="192">
        <v>0</v>
      </c>
      <c r="P612" s="192"/>
      <c r="Q612" s="192"/>
      <c r="R612" s="192"/>
      <c r="S612" s="371"/>
      <c r="T612" s="382">
        <f>AVERAGE(T595:T611)</f>
        <v>0</v>
      </c>
      <c r="U612" s="382"/>
      <c r="V612" s="380">
        <f>STDEV(T595:T611)/(SQRT(COUNT(T595:T611)))</f>
        <v>0</v>
      </c>
      <c r="W612" s="217"/>
      <c r="X612" s="27"/>
      <c r="Y612" s="28"/>
      <c r="Z612" s="28"/>
      <c r="AA612" s="27"/>
      <c r="AB612" s="28"/>
      <c r="AC612" s="28"/>
      <c r="AJ612" s="42"/>
      <c r="AK612" s="42"/>
      <c r="AL612" s="42"/>
    </row>
    <row r="613" spans="1:38" s="19" customFormat="1" x14ac:dyDescent="0.2">
      <c r="B613" s="112" t="s">
        <v>728</v>
      </c>
      <c r="C613" s="37" t="s">
        <v>96</v>
      </c>
      <c r="D613" s="37">
        <v>5</v>
      </c>
      <c r="E613" s="37" t="s">
        <v>292</v>
      </c>
      <c r="J613" s="144"/>
      <c r="K613" s="144"/>
      <c r="L613" s="144"/>
      <c r="M613" s="144"/>
      <c r="N613" s="144"/>
      <c r="O613" s="192">
        <v>0</v>
      </c>
      <c r="P613" s="192"/>
      <c r="Q613" s="192"/>
      <c r="R613" s="192"/>
      <c r="S613" s="318"/>
      <c r="T613" s="318"/>
      <c r="U613" s="318"/>
      <c r="V613" s="318"/>
      <c r="W613" s="217"/>
      <c r="X613" s="27"/>
      <c r="Y613" s="28"/>
      <c r="Z613" s="28"/>
      <c r="AA613" s="27"/>
      <c r="AB613" s="28"/>
      <c r="AC613" s="28"/>
      <c r="AJ613" s="42"/>
      <c r="AK613" s="42"/>
      <c r="AL613" s="42"/>
    </row>
    <row r="614" spans="1:38" s="19" customFormat="1" x14ac:dyDescent="0.2">
      <c r="B614" s="112" t="s">
        <v>729</v>
      </c>
      <c r="C614" s="37" t="s">
        <v>96</v>
      </c>
      <c r="D614" s="37">
        <v>5</v>
      </c>
      <c r="E614" s="37" t="s">
        <v>108</v>
      </c>
      <c r="J614" s="144"/>
      <c r="K614" s="144"/>
      <c r="L614" s="144"/>
      <c r="M614" s="144"/>
      <c r="N614" s="144"/>
      <c r="O614" s="192">
        <v>0</v>
      </c>
      <c r="P614" s="192"/>
      <c r="Q614" s="192"/>
      <c r="R614" s="192"/>
      <c r="S614" s="318"/>
      <c r="T614" s="318"/>
      <c r="U614" s="318"/>
      <c r="V614" s="318"/>
      <c r="W614" s="217"/>
      <c r="X614" s="27"/>
      <c r="Y614" s="28"/>
      <c r="Z614" s="28"/>
      <c r="AA614" s="27"/>
      <c r="AB614" s="28"/>
      <c r="AC614" s="28"/>
      <c r="AJ614" s="42"/>
      <c r="AK614" s="42"/>
      <c r="AL614" s="42"/>
    </row>
    <row r="615" spans="1:38" s="19" customFormat="1" x14ac:dyDescent="0.2">
      <c r="B615" s="112" t="s">
        <v>730</v>
      </c>
      <c r="C615" s="37" t="s">
        <v>96</v>
      </c>
      <c r="D615" s="37">
        <v>5</v>
      </c>
      <c r="E615" s="37" t="s">
        <v>108</v>
      </c>
      <c r="J615" s="144"/>
      <c r="K615" s="144"/>
      <c r="L615" s="144"/>
      <c r="M615" s="144"/>
      <c r="N615" s="144"/>
      <c r="O615" s="192">
        <v>0</v>
      </c>
      <c r="P615" s="192"/>
      <c r="Q615" s="192"/>
      <c r="R615" s="192"/>
      <c r="S615" s="318" t="s">
        <v>27</v>
      </c>
      <c r="T615" s="318"/>
      <c r="U615" s="318"/>
      <c r="V615" s="318"/>
      <c r="W615" s="217"/>
      <c r="X615" s="27"/>
      <c r="Y615" s="28"/>
      <c r="Z615" s="28"/>
      <c r="AA615" s="27"/>
      <c r="AB615" s="28"/>
      <c r="AC615" s="28"/>
      <c r="AJ615" s="42"/>
      <c r="AK615" s="42"/>
      <c r="AL615" s="42"/>
    </row>
    <row r="616" spans="1:38" s="19" customFormat="1" x14ac:dyDescent="0.2">
      <c r="A616" s="19">
        <v>3</v>
      </c>
      <c r="B616" s="112" t="s">
        <v>731</v>
      </c>
      <c r="C616" s="37" t="s">
        <v>96</v>
      </c>
      <c r="D616" s="37">
        <v>5</v>
      </c>
      <c r="E616" s="37" t="s">
        <v>108</v>
      </c>
      <c r="J616" s="144"/>
      <c r="K616" s="144">
        <v>0</v>
      </c>
      <c r="L616" s="144">
        <v>1</v>
      </c>
      <c r="M616" s="144">
        <v>0</v>
      </c>
      <c r="N616" s="144">
        <v>6</v>
      </c>
      <c r="O616" s="192">
        <v>0</v>
      </c>
      <c r="P616" s="192"/>
      <c r="Q616" s="192"/>
      <c r="R616" s="192"/>
      <c r="S616" s="318">
        <v>0</v>
      </c>
      <c r="T616" s="318"/>
      <c r="U616" s="318"/>
      <c r="V616" s="318"/>
      <c r="W616" s="217"/>
      <c r="X616" s="27"/>
      <c r="Y616" s="28"/>
      <c r="Z616" s="28"/>
      <c r="AA616" s="27"/>
      <c r="AB616" s="28"/>
      <c r="AC616" s="28"/>
      <c r="AJ616" s="42"/>
      <c r="AK616" s="42"/>
      <c r="AL616" s="42"/>
    </row>
    <row r="617" spans="1:38" s="19" customFormat="1" x14ac:dyDescent="0.2">
      <c r="B617" s="112" t="s">
        <v>732</v>
      </c>
      <c r="C617" s="37" t="s">
        <v>96</v>
      </c>
      <c r="D617" s="37">
        <v>5</v>
      </c>
      <c r="E617" s="37" t="s">
        <v>108</v>
      </c>
      <c r="J617" s="144"/>
      <c r="K617" s="144"/>
      <c r="L617" s="144"/>
      <c r="M617" s="144"/>
      <c r="N617" s="144"/>
      <c r="O617" s="192">
        <v>0</v>
      </c>
      <c r="P617" s="192"/>
      <c r="Q617" s="192"/>
      <c r="R617" s="192"/>
      <c r="S617" s="318"/>
      <c r="T617" s="318"/>
      <c r="U617" s="318"/>
      <c r="V617" s="318"/>
      <c r="W617" s="217"/>
      <c r="X617" s="27"/>
      <c r="Y617" s="28"/>
      <c r="Z617" s="28"/>
      <c r="AA617" s="27"/>
      <c r="AB617" s="28"/>
      <c r="AC617" s="28"/>
      <c r="AJ617" s="42"/>
      <c r="AK617" s="42"/>
      <c r="AL617" s="42"/>
    </row>
    <row r="618" spans="1:38" s="19" customFormat="1" x14ac:dyDescent="0.2">
      <c r="B618" s="112" t="s">
        <v>733</v>
      </c>
      <c r="C618" s="37" t="s">
        <v>96</v>
      </c>
      <c r="D618" s="37">
        <v>5</v>
      </c>
      <c r="E618" s="37" t="s">
        <v>734</v>
      </c>
      <c r="G618" s="37" t="s">
        <v>126</v>
      </c>
      <c r="J618" s="144"/>
      <c r="K618" s="144"/>
      <c r="L618" s="144"/>
      <c r="M618" s="144"/>
      <c r="N618" s="144"/>
      <c r="O618" s="192">
        <v>0</v>
      </c>
      <c r="P618" s="192"/>
      <c r="Q618" s="192"/>
      <c r="R618" s="192"/>
      <c r="S618" s="371" t="s">
        <v>27</v>
      </c>
      <c r="T618" s="371"/>
      <c r="U618" s="371"/>
      <c r="V618" s="371"/>
      <c r="W618" s="217"/>
      <c r="X618" s="27"/>
      <c r="Y618" s="28"/>
      <c r="Z618" s="28"/>
      <c r="AA618" s="27"/>
      <c r="AB618" s="28"/>
      <c r="AC618" s="28"/>
      <c r="AJ618" s="42"/>
      <c r="AK618" s="42"/>
      <c r="AL618" s="42"/>
    </row>
    <row r="619" spans="1:38" s="19" customFormat="1" x14ac:dyDescent="0.2">
      <c r="B619" s="112" t="s">
        <v>735</v>
      </c>
      <c r="C619" s="37" t="s">
        <v>96</v>
      </c>
      <c r="D619" s="37">
        <v>5</v>
      </c>
      <c r="E619" s="37" t="s">
        <v>734</v>
      </c>
      <c r="G619" s="37" t="s">
        <v>126</v>
      </c>
      <c r="J619" s="144"/>
      <c r="K619" s="144"/>
      <c r="L619" s="144" t="s">
        <v>27</v>
      </c>
      <c r="M619" s="144" t="s">
        <v>27</v>
      </c>
      <c r="N619" s="144" t="s">
        <v>27</v>
      </c>
      <c r="O619" s="192">
        <v>0</v>
      </c>
      <c r="P619" s="192"/>
      <c r="Q619" s="192"/>
      <c r="R619" s="192"/>
      <c r="S619" s="371"/>
      <c r="T619" s="371"/>
      <c r="U619" s="371"/>
      <c r="V619" s="371"/>
      <c r="W619" s="217"/>
      <c r="X619" s="27"/>
      <c r="Y619" s="28"/>
      <c r="Z619" s="28"/>
      <c r="AA619" s="27"/>
      <c r="AB619" s="28"/>
      <c r="AC619" s="28"/>
      <c r="AJ619" s="42"/>
      <c r="AK619" s="42"/>
      <c r="AL619" s="42"/>
    </row>
    <row r="620" spans="1:38" s="19" customFormat="1" x14ac:dyDescent="0.2">
      <c r="B620" s="112" t="s">
        <v>736</v>
      </c>
      <c r="C620" s="37" t="s">
        <v>96</v>
      </c>
      <c r="D620" s="37">
        <v>5</v>
      </c>
      <c r="E620" s="37" t="s">
        <v>734</v>
      </c>
      <c r="G620" s="37" t="s">
        <v>126</v>
      </c>
      <c r="J620" s="144"/>
      <c r="K620" s="144"/>
      <c r="L620" s="144"/>
      <c r="M620" s="144"/>
      <c r="N620" s="144"/>
      <c r="O620" s="192">
        <v>0</v>
      </c>
      <c r="P620" s="192"/>
      <c r="Q620" s="192"/>
      <c r="R620" s="192"/>
      <c r="S620" s="371"/>
      <c r="T620" s="371"/>
      <c r="U620" s="371"/>
      <c r="V620" s="371"/>
      <c r="W620" s="217"/>
      <c r="X620" s="27"/>
      <c r="Y620" s="28"/>
      <c r="Z620" s="28"/>
      <c r="AA620" s="27"/>
      <c r="AB620" s="28"/>
      <c r="AC620" s="28"/>
      <c r="AJ620" s="42"/>
      <c r="AK620" s="42"/>
      <c r="AL620" s="42"/>
    </row>
    <row r="621" spans="1:38" s="19" customFormat="1" x14ac:dyDescent="0.2">
      <c r="A621" s="19" t="s">
        <v>27</v>
      </c>
      <c r="B621" s="112" t="s">
        <v>737</v>
      </c>
      <c r="C621" s="37" t="s">
        <v>96</v>
      </c>
      <c r="D621" s="37">
        <v>5</v>
      </c>
      <c r="E621" s="37" t="s">
        <v>734</v>
      </c>
      <c r="G621" s="37" t="s">
        <v>126</v>
      </c>
      <c r="J621" s="144"/>
      <c r="K621" s="144"/>
      <c r="L621" s="144" t="s">
        <v>27</v>
      </c>
      <c r="M621" s="144"/>
      <c r="N621" s="144"/>
      <c r="O621" s="192">
        <v>0</v>
      </c>
      <c r="P621" s="192"/>
      <c r="Q621" s="192"/>
      <c r="R621" s="192"/>
      <c r="S621" s="371" t="s">
        <v>27</v>
      </c>
      <c r="T621" s="371"/>
      <c r="U621" s="371"/>
      <c r="V621" s="371"/>
      <c r="W621" s="217"/>
      <c r="X621" s="27"/>
      <c r="Y621" s="28"/>
      <c r="Z621" s="28"/>
      <c r="AA621" s="27"/>
      <c r="AB621" s="28"/>
      <c r="AC621" s="28"/>
      <c r="AJ621" s="42"/>
      <c r="AK621" s="42"/>
      <c r="AL621" s="42"/>
    </row>
    <row r="622" spans="1:38" s="19" customFormat="1" x14ac:dyDescent="0.2">
      <c r="A622" s="19" t="s">
        <v>27</v>
      </c>
      <c r="B622" s="112" t="s">
        <v>738</v>
      </c>
      <c r="C622" s="37" t="s">
        <v>96</v>
      </c>
      <c r="D622" s="37">
        <v>5</v>
      </c>
      <c r="E622" s="37" t="s">
        <v>97</v>
      </c>
      <c r="J622" s="144"/>
      <c r="K622" s="144"/>
      <c r="L622" s="144">
        <v>1</v>
      </c>
      <c r="M622" s="144">
        <v>0</v>
      </c>
      <c r="N622" s="144">
        <v>6</v>
      </c>
      <c r="O622" s="192">
        <v>0</v>
      </c>
      <c r="P622" s="192"/>
      <c r="Q622" s="192"/>
      <c r="R622" s="192"/>
      <c r="S622" s="371">
        <v>0</v>
      </c>
      <c r="T622" s="371"/>
      <c r="U622" s="371"/>
      <c r="V622" s="371"/>
      <c r="W622" s="217"/>
      <c r="X622" s="27"/>
      <c r="Y622" s="28"/>
      <c r="Z622" s="28"/>
      <c r="AA622" s="27"/>
      <c r="AB622" s="28"/>
      <c r="AC622" s="28"/>
      <c r="AJ622" s="42"/>
      <c r="AK622" s="42"/>
      <c r="AL622" s="42"/>
    </row>
    <row r="623" spans="1:38" s="19" customFormat="1" x14ac:dyDescent="0.2">
      <c r="B623" s="112" t="s">
        <v>739</v>
      </c>
      <c r="C623" s="37" t="s">
        <v>96</v>
      </c>
      <c r="D623" s="37">
        <v>5</v>
      </c>
      <c r="E623" s="37" t="s">
        <v>97</v>
      </c>
      <c r="J623" s="144"/>
      <c r="K623" s="144"/>
      <c r="L623" s="144"/>
      <c r="M623" s="144"/>
      <c r="N623" s="144"/>
      <c r="O623" s="192">
        <v>0</v>
      </c>
      <c r="P623" s="192"/>
      <c r="Q623" s="192"/>
      <c r="R623" s="192"/>
      <c r="S623" s="371"/>
      <c r="T623" s="371"/>
      <c r="U623" s="371"/>
      <c r="V623" s="371"/>
      <c r="W623" s="217"/>
      <c r="X623" s="27"/>
      <c r="Y623" s="28"/>
      <c r="Z623" s="28"/>
      <c r="AA623" s="27"/>
      <c r="AB623" s="28"/>
      <c r="AC623" s="28"/>
      <c r="AJ623" s="42"/>
      <c r="AK623" s="42"/>
      <c r="AL623" s="42"/>
    </row>
    <row r="624" spans="1:38" s="19" customFormat="1" x14ac:dyDescent="0.2">
      <c r="B624" s="112" t="s">
        <v>740</v>
      </c>
      <c r="C624" s="37" t="s">
        <v>96</v>
      </c>
      <c r="D624" s="37">
        <v>5</v>
      </c>
      <c r="E624" s="37" t="s">
        <v>97</v>
      </c>
      <c r="J624" s="144"/>
      <c r="K624" s="144"/>
      <c r="L624" s="144"/>
      <c r="M624" s="144"/>
      <c r="N624" s="144"/>
      <c r="O624" s="192">
        <v>0</v>
      </c>
      <c r="P624" s="192"/>
      <c r="Q624" s="192"/>
      <c r="R624" s="192"/>
      <c r="S624" s="371"/>
      <c r="T624" s="371"/>
      <c r="U624" s="371"/>
      <c r="V624" s="371"/>
      <c r="W624" s="217"/>
      <c r="X624" s="27"/>
      <c r="Y624" s="28"/>
      <c r="Z624" s="28"/>
      <c r="AA624" s="27"/>
      <c r="AB624" s="28"/>
      <c r="AC624" s="28"/>
      <c r="AJ624" s="42"/>
      <c r="AK624" s="42"/>
      <c r="AL624" s="42"/>
    </row>
    <row r="625" spans="1:38" s="19" customFormat="1" x14ac:dyDescent="0.2">
      <c r="B625" s="112" t="s">
        <v>741</v>
      </c>
      <c r="C625" s="37" t="s">
        <v>96</v>
      </c>
      <c r="D625" s="37">
        <v>5</v>
      </c>
      <c r="E625" s="37" t="s">
        <v>108</v>
      </c>
      <c r="J625" s="144"/>
      <c r="K625" s="144"/>
      <c r="L625" s="144" t="s">
        <v>27</v>
      </c>
      <c r="M625" s="144" t="s">
        <v>27</v>
      </c>
      <c r="N625" s="144" t="s">
        <v>27</v>
      </c>
      <c r="O625" s="192">
        <v>0</v>
      </c>
      <c r="P625" s="192"/>
      <c r="Q625" s="192"/>
      <c r="R625" s="192"/>
      <c r="S625" s="371"/>
      <c r="T625" s="371"/>
      <c r="U625" s="371"/>
      <c r="V625" s="371"/>
      <c r="W625" s="217"/>
      <c r="X625" s="27"/>
      <c r="Y625" s="28"/>
      <c r="Z625" s="28"/>
      <c r="AA625" s="27"/>
      <c r="AB625" s="28"/>
      <c r="AC625" s="28"/>
      <c r="AJ625" s="42"/>
      <c r="AK625" s="42"/>
      <c r="AL625" s="42"/>
    </row>
    <row r="626" spans="1:38" s="19" customFormat="1" x14ac:dyDescent="0.2">
      <c r="B626" s="112" t="s">
        <v>742</v>
      </c>
      <c r="C626" s="37" t="s">
        <v>96</v>
      </c>
      <c r="D626" s="37">
        <v>5</v>
      </c>
      <c r="E626" s="37" t="s">
        <v>108</v>
      </c>
      <c r="J626" s="144"/>
      <c r="K626" s="144"/>
      <c r="L626" s="144"/>
      <c r="M626" s="144"/>
      <c r="N626" s="144"/>
      <c r="O626" s="192">
        <v>0</v>
      </c>
      <c r="P626" s="192"/>
      <c r="Q626" s="192"/>
      <c r="R626" s="192"/>
      <c r="S626" s="371"/>
      <c r="T626" s="371"/>
      <c r="U626" s="371"/>
      <c r="V626" s="371"/>
      <c r="W626" s="217"/>
      <c r="X626" s="27"/>
      <c r="Y626" s="28"/>
      <c r="Z626" s="28"/>
      <c r="AA626" s="27"/>
      <c r="AB626" s="28"/>
      <c r="AC626" s="28"/>
      <c r="AJ626" s="42"/>
      <c r="AK626" s="42"/>
      <c r="AL626" s="42"/>
    </row>
    <row r="627" spans="1:38" s="19" customFormat="1" x14ac:dyDescent="0.2">
      <c r="B627" s="112" t="s">
        <v>743</v>
      </c>
      <c r="C627" s="37" t="s">
        <v>96</v>
      </c>
      <c r="D627" s="37">
        <v>5</v>
      </c>
      <c r="E627" s="37" t="s">
        <v>108</v>
      </c>
      <c r="J627" s="144"/>
      <c r="K627" s="144"/>
      <c r="L627" s="144"/>
      <c r="M627" s="144"/>
      <c r="N627" s="144"/>
      <c r="O627" s="192">
        <v>0</v>
      </c>
      <c r="P627" s="192"/>
      <c r="Q627" s="192"/>
      <c r="R627" s="192"/>
      <c r="S627" s="371"/>
      <c r="T627" s="371"/>
      <c r="U627" s="371"/>
      <c r="V627" s="371"/>
      <c r="W627" s="217"/>
      <c r="X627" s="27"/>
      <c r="Y627" s="28"/>
      <c r="Z627" s="28"/>
      <c r="AA627" s="27"/>
      <c r="AB627" s="28"/>
      <c r="AC627" s="28"/>
      <c r="AJ627" s="42"/>
      <c r="AK627" s="42"/>
      <c r="AL627" s="42"/>
    </row>
    <row r="628" spans="1:38" s="19" customFormat="1" x14ac:dyDescent="0.2">
      <c r="A628" s="19" t="s">
        <v>27</v>
      </c>
      <c r="B628" s="112" t="s">
        <v>744</v>
      </c>
      <c r="C628" s="37" t="s">
        <v>96</v>
      </c>
      <c r="D628" s="37">
        <v>5</v>
      </c>
      <c r="E628" s="37" t="s">
        <v>97</v>
      </c>
      <c r="J628" s="144"/>
      <c r="K628" s="144"/>
      <c r="L628" s="144">
        <v>1</v>
      </c>
      <c r="M628" s="144">
        <v>0</v>
      </c>
      <c r="N628" s="144">
        <v>5</v>
      </c>
      <c r="O628" s="192">
        <v>0</v>
      </c>
      <c r="P628" s="192"/>
      <c r="Q628" s="192"/>
      <c r="R628" s="192"/>
      <c r="S628" s="371">
        <v>0</v>
      </c>
      <c r="T628" s="371"/>
      <c r="U628" s="371"/>
      <c r="V628" s="371"/>
      <c r="W628" s="217"/>
      <c r="X628" s="27"/>
      <c r="Y628" s="28"/>
      <c r="Z628" s="28"/>
      <c r="AA628" s="27"/>
      <c r="AB628" s="28"/>
      <c r="AC628" s="28"/>
      <c r="AJ628" s="42"/>
      <c r="AK628" s="42"/>
      <c r="AL628" s="42"/>
    </row>
    <row r="629" spans="1:38" s="19" customFormat="1" x14ac:dyDescent="0.2">
      <c r="B629" s="112" t="s">
        <v>745</v>
      </c>
      <c r="C629" s="37" t="s">
        <v>96</v>
      </c>
      <c r="D629" s="37">
        <v>5</v>
      </c>
      <c r="E629" s="37" t="s">
        <v>97</v>
      </c>
      <c r="J629" s="144"/>
      <c r="K629" s="144"/>
      <c r="L629" s="144"/>
      <c r="M629" s="144"/>
      <c r="N629" s="144"/>
      <c r="O629" s="192">
        <v>0</v>
      </c>
      <c r="P629" s="192"/>
      <c r="Q629" s="192"/>
      <c r="R629" s="192"/>
      <c r="S629" s="371" t="s">
        <v>27</v>
      </c>
      <c r="T629" s="371"/>
      <c r="U629" s="371"/>
      <c r="V629" s="371"/>
      <c r="W629" s="217"/>
      <c r="X629" s="27"/>
      <c r="Y629" s="28"/>
      <c r="Z629" s="28"/>
      <c r="AA629" s="27"/>
      <c r="AB629" s="28"/>
      <c r="AC629" s="28"/>
      <c r="AJ629" s="42"/>
      <c r="AK629" s="42"/>
      <c r="AL629" s="42"/>
    </row>
    <row r="630" spans="1:38" s="19" customFormat="1" x14ac:dyDescent="0.2">
      <c r="B630" s="112" t="s">
        <v>746</v>
      </c>
      <c r="C630" s="37" t="s">
        <v>96</v>
      </c>
      <c r="D630" s="37">
        <v>5</v>
      </c>
      <c r="E630" s="37" t="s">
        <v>97</v>
      </c>
      <c r="J630" s="144"/>
      <c r="K630" s="144"/>
      <c r="L630" s="144"/>
      <c r="M630" s="144"/>
      <c r="N630" s="144"/>
      <c r="O630" s="192">
        <v>0</v>
      </c>
      <c r="P630" s="192"/>
      <c r="Q630" s="192"/>
      <c r="R630" s="192"/>
      <c r="S630" s="371"/>
      <c r="T630" s="371"/>
      <c r="U630" s="371"/>
      <c r="V630" s="371"/>
      <c r="W630" s="217"/>
      <c r="X630" s="27"/>
      <c r="Y630" s="28"/>
      <c r="Z630" s="28"/>
      <c r="AA630" s="27"/>
      <c r="AB630" s="28"/>
      <c r="AC630" s="28"/>
      <c r="AJ630" s="42"/>
      <c r="AK630" s="42"/>
      <c r="AL630" s="42"/>
    </row>
    <row r="631" spans="1:38" s="19" customFormat="1" x14ac:dyDescent="0.2">
      <c r="A631" s="19" t="s">
        <v>27</v>
      </c>
      <c r="B631" s="112" t="s">
        <v>747</v>
      </c>
      <c r="C631" s="37"/>
      <c r="D631" s="37"/>
      <c r="E631" s="37"/>
      <c r="G631" s="19" t="s">
        <v>126</v>
      </c>
      <c r="J631" s="144"/>
      <c r="K631" s="144"/>
      <c r="L631" s="144"/>
      <c r="M631" s="144"/>
      <c r="N631" s="144"/>
      <c r="O631" s="192">
        <v>0</v>
      </c>
      <c r="P631" s="192"/>
      <c r="Q631" s="192"/>
      <c r="R631" s="192"/>
      <c r="S631" s="371"/>
      <c r="T631" s="371"/>
      <c r="U631" s="371"/>
      <c r="V631" s="371"/>
      <c r="W631" s="217"/>
      <c r="X631" s="27"/>
      <c r="Y631" s="28"/>
      <c r="Z631" s="28"/>
      <c r="AA631" s="27"/>
      <c r="AB631" s="28"/>
      <c r="AC631" s="28"/>
      <c r="AJ631" s="42"/>
      <c r="AK631" s="42"/>
      <c r="AL631" s="42"/>
    </row>
    <row r="632" spans="1:38" s="19" customFormat="1" x14ac:dyDescent="0.2">
      <c r="A632" s="19" t="s">
        <v>27</v>
      </c>
      <c r="B632" s="112" t="s">
        <v>748</v>
      </c>
      <c r="C632" s="37"/>
      <c r="D632" s="37"/>
      <c r="E632" s="37"/>
      <c r="G632" s="19" t="s">
        <v>126</v>
      </c>
      <c r="J632" s="144"/>
      <c r="K632" s="144"/>
      <c r="L632" s="144"/>
      <c r="M632" s="144"/>
      <c r="N632" s="144"/>
      <c r="O632" s="192">
        <v>0</v>
      </c>
      <c r="P632" s="192"/>
      <c r="Q632" s="192"/>
      <c r="R632" s="192"/>
      <c r="S632" s="371"/>
      <c r="T632" s="371"/>
      <c r="U632" s="371"/>
      <c r="V632" s="371"/>
      <c r="W632" s="217"/>
      <c r="X632" s="27"/>
      <c r="Y632" s="28"/>
      <c r="Z632" s="28"/>
      <c r="AA632" s="27"/>
      <c r="AB632" s="28"/>
      <c r="AC632" s="28"/>
      <c r="AJ632" s="42"/>
      <c r="AK632" s="42"/>
      <c r="AL632" s="42"/>
    </row>
    <row r="633" spans="1:38" s="19" customFormat="1" x14ac:dyDescent="0.2">
      <c r="A633" s="19" t="s">
        <v>27</v>
      </c>
      <c r="B633" s="112" t="s">
        <v>749</v>
      </c>
      <c r="C633" s="37" t="s">
        <v>96</v>
      </c>
      <c r="D633" s="37">
        <v>5</v>
      </c>
      <c r="E633" s="37" t="s">
        <v>108</v>
      </c>
      <c r="F633" s="37" t="s">
        <v>103</v>
      </c>
      <c r="G633" s="37"/>
      <c r="H633" s="37"/>
      <c r="J633" s="144"/>
      <c r="K633" s="144"/>
      <c r="L633" s="144">
        <v>1</v>
      </c>
      <c r="M633" s="144">
        <v>0</v>
      </c>
      <c r="N633" s="144">
        <v>6</v>
      </c>
      <c r="O633" s="192">
        <v>0</v>
      </c>
      <c r="P633" s="192"/>
      <c r="Q633" s="192"/>
      <c r="R633" s="192"/>
      <c r="S633" s="371">
        <v>0</v>
      </c>
      <c r="T633" s="371"/>
      <c r="U633" s="371"/>
      <c r="V633" s="371"/>
      <c r="W633" s="217"/>
      <c r="X633" s="27"/>
      <c r="Y633" s="28"/>
      <c r="Z633" s="28"/>
      <c r="AA633" s="27"/>
      <c r="AB633" s="28"/>
      <c r="AC633" s="28"/>
      <c r="AJ633" s="42"/>
      <c r="AK633" s="42"/>
      <c r="AL633" s="42"/>
    </row>
    <row r="634" spans="1:38" s="19" customFormat="1" x14ac:dyDescent="0.2">
      <c r="B634" s="112" t="s">
        <v>750</v>
      </c>
      <c r="C634" s="37" t="s">
        <v>96</v>
      </c>
      <c r="D634" s="37">
        <v>5</v>
      </c>
      <c r="E634" s="37" t="s">
        <v>108</v>
      </c>
      <c r="J634" s="144"/>
      <c r="K634" s="144"/>
      <c r="L634" s="144"/>
      <c r="M634" s="144"/>
      <c r="N634" s="144"/>
      <c r="O634" s="192">
        <v>0</v>
      </c>
      <c r="P634" s="192"/>
      <c r="Q634" s="192"/>
      <c r="R634" s="192"/>
      <c r="S634" s="371"/>
      <c r="T634" s="371"/>
      <c r="U634" s="371"/>
      <c r="V634" s="371"/>
      <c r="W634" s="217"/>
      <c r="X634" s="27"/>
      <c r="Y634" s="28"/>
      <c r="Z634" s="28"/>
      <c r="AA634" s="27"/>
      <c r="AB634" s="28"/>
      <c r="AC634" s="28"/>
      <c r="AJ634" s="42"/>
      <c r="AK634" s="42"/>
      <c r="AL634" s="42"/>
    </row>
    <row r="635" spans="1:38" s="19" customFormat="1" x14ac:dyDescent="0.2">
      <c r="B635" s="112" t="s">
        <v>751</v>
      </c>
      <c r="C635" s="37" t="s">
        <v>96</v>
      </c>
      <c r="D635" s="37">
        <v>5</v>
      </c>
      <c r="E635" s="37" t="s">
        <v>292</v>
      </c>
      <c r="J635" s="144"/>
      <c r="K635" s="144"/>
      <c r="L635" s="144"/>
      <c r="M635" s="144"/>
      <c r="N635" s="144"/>
      <c r="O635" s="192">
        <v>0</v>
      </c>
      <c r="P635" s="192"/>
      <c r="Q635" s="192"/>
      <c r="R635" s="192"/>
      <c r="S635" s="371"/>
      <c r="T635" s="371"/>
      <c r="U635" s="371"/>
      <c r="V635" s="371"/>
      <c r="W635" s="217"/>
      <c r="X635" s="27"/>
      <c r="Y635" s="28"/>
      <c r="Z635" s="28"/>
      <c r="AA635" s="27"/>
      <c r="AB635" s="28"/>
      <c r="AC635" s="28"/>
      <c r="AJ635" s="42"/>
      <c r="AK635" s="42"/>
      <c r="AL635" s="42"/>
    </row>
    <row r="636" spans="1:38" s="19" customFormat="1" x14ac:dyDescent="0.2">
      <c r="B636" s="112" t="s">
        <v>752</v>
      </c>
      <c r="C636" s="37" t="s">
        <v>96</v>
      </c>
      <c r="D636" s="37">
        <v>5</v>
      </c>
      <c r="E636" s="37" t="s">
        <v>292</v>
      </c>
      <c r="J636" s="144"/>
      <c r="K636" s="144"/>
      <c r="L636" s="144"/>
      <c r="M636" s="144"/>
      <c r="N636" s="144"/>
      <c r="O636" s="192">
        <v>0</v>
      </c>
      <c r="P636" s="192"/>
      <c r="Q636" s="192"/>
      <c r="R636" s="192"/>
      <c r="S636" s="371" t="s">
        <v>27</v>
      </c>
      <c r="T636" s="371"/>
      <c r="U636" s="371"/>
      <c r="V636" s="371"/>
      <c r="W636" s="217"/>
      <c r="X636" s="27"/>
      <c r="Y636" s="28"/>
      <c r="Z636" s="28"/>
      <c r="AA636" s="27"/>
      <c r="AB636" s="28"/>
      <c r="AC636" s="28"/>
      <c r="AJ636" s="42"/>
      <c r="AK636" s="42"/>
      <c r="AL636" s="42"/>
    </row>
    <row r="637" spans="1:38" s="19" customFormat="1" x14ac:dyDescent="0.2">
      <c r="B637" s="112" t="s">
        <v>753</v>
      </c>
      <c r="C637" s="37" t="s">
        <v>96</v>
      </c>
      <c r="D637" s="37">
        <v>5</v>
      </c>
      <c r="E637" s="37" t="s">
        <v>292</v>
      </c>
      <c r="J637" s="144"/>
      <c r="K637" s="144"/>
      <c r="L637" s="144"/>
      <c r="M637" s="144"/>
      <c r="N637" s="144"/>
      <c r="O637" s="192">
        <v>0</v>
      </c>
      <c r="P637" s="192"/>
      <c r="Q637" s="192"/>
      <c r="R637" s="192"/>
      <c r="S637" s="371"/>
      <c r="T637" s="371"/>
      <c r="U637" s="371"/>
      <c r="V637" s="371"/>
      <c r="W637" s="217"/>
      <c r="X637" s="27"/>
      <c r="Y637" s="28"/>
      <c r="Z637" s="28"/>
      <c r="AA637" s="27"/>
      <c r="AB637" s="28"/>
      <c r="AC637" s="28"/>
      <c r="AJ637" s="42"/>
      <c r="AK637" s="42"/>
      <c r="AL637" s="42"/>
    </row>
    <row r="638" spans="1:38" s="19" customFormat="1" x14ac:dyDescent="0.2">
      <c r="B638" s="112" t="s">
        <v>754</v>
      </c>
      <c r="C638" s="37" t="s">
        <v>96</v>
      </c>
      <c r="D638" s="37">
        <v>5</v>
      </c>
      <c r="E638" s="37" t="s">
        <v>292</v>
      </c>
      <c r="J638" s="144"/>
      <c r="K638" s="144"/>
      <c r="L638" s="144"/>
      <c r="M638" s="144"/>
      <c r="N638" s="144"/>
      <c r="O638" s="192">
        <v>0</v>
      </c>
      <c r="P638" s="192"/>
      <c r="Q638" s="192"/>
      <c r="R638" s="192"/>
      <c r="S638" s="371"/>
      <c r="T638" s="371"/>
      <c r="U638" s="371"/>
      <c r="V638" s="371"/>
      <c r="W638" s="217"/>
      <c r="X638" s="27"/>
      <c r="Y638" s="28"/>
      <c r="Z638" s="28"/>
      <c r="AA638" s="27"/>
      <c r="AB638" s="28"/>
      <c r="AC638" s="28"/>
      <c r="AJ638" s="42"/>
      <c r="AK638" s="42"/>
      <c r="AL638" s="42"/>
    </row>
    <row r="639" spans="1:38" s="19" customFormat="1" x14ac:dyDescent="0.2">
      <c r="A639" s="19" t="s">
        <v>27</v>
      </c>
      <c r="B639" s="112" t="s">
        <v>755</v>
      </c>
      <c r="C639" s="37" t="s">
        <v>96</v>
      </c>
      <c r="D639" s="37">
        <v>5</v>
      </c>
      <c r="E639" s="37" t="s">
        <v>292</v>
      </c>
      <c r="J639" s="144"/>
      <c r="K639" s="144"/>
      <c r="L639" s="144">
        <v>1</v>
      </c>
      <c r="M639" s="144">
        <v>0</v>
      </c>
      <c r="N639" s="144">
        <v>6</v>
      </c>
      <c r="O639" s="192">
        <v>0</v>
      </c>
      <c r="P639" s="192"/>
      <c r="Q639" s="192"/>
      <c r="R639" s="192"/>
      <c r="S639" s="371">
        <v>0</v>
      </c>
      <c r="T639" s="371"/>
      <c r="U639" s="371"/>
      <c r="V639" s="371"/>
      <c r="W639" s="217"/>
      <c r="X639" s="27"/>
      <c r="Y639" s="28"/>
      <c r="Z639" s="28"/>
      <c r="AA639" s="27"/>
      <c r="AB639" s="28"/>
      <c r="AC639" s="28"/>
      <c r="AJ639" s="42"/>
      <c r="AK639" s="42"/>
      <c r="AL639" s="42"/>
    </row>
    <row r="640" spans="1:38" s="19" customFormat="1" x14ac:dyDescent="0.2">
      <c r="B640" s="112" t="s">
        <v>756</v>
      </c>
      <c r="C640" s="37" t="s">
        <v>96</v>
      </c>
      <c r="D640" s="37">
        <v>5</v>
      </c>
      <c r="E640" s="37" t="s">
        <v>292</v>
      </c>
      <c r="J640" s="144"/>
      <c r="K640" s="144"/>
      <c r="L640" s="144"/>
      <c r="M640" s="144"/>
      <c r="N640" s="144"/>
      <c r="O640" s="192">
        <v>0</v>
      </c>
      <c r="P640" s="192"/>
      <c r="Q640" s="192"/>
      <c r="R640" s="192"/>
      <c r="S640" s="371"/>
      <c r="T640" s="371"/>
      <c r="U640" s="371"/>
      <c r="V640" s="371"/>
      <c r="W640" s="217"/>
      <c r="X640" s="27"/>
      <c r="Y640" s="28"/>
      <c r="Z640" s="28"/>
      <c r="AA640" s="27"/>
      <c r="AB640" s="28"/>
      <c r="AC640" s="28"/>
      <c r="AJ640" s="42"/>
      <c r="AK640" s="42"/>
      <c r="AL640" s="42"/>
    </row>
    <row r="641" spans="1:38" s="19" customFormat="1" x14ac:dyDescent="0.2">
      <c r="B641" s="112" t="s">
        <v>757</v>
      </c>
      <c r="C641" s="37" t="s">
        <v>96</v>
      </c>
      <c r="D641" s="37">
        <v>5</v>
      </c>
      <c r="E641" s="37" t="s">
        <v>292</v>
      </c>
      <c r="J641" s="144"/>
      <c r="K641" s="144"/>
      <c r="L641" s="144"/>
      <c r="M641" s="144"/>
      <c r="N641" s="144"/>
      <c r="O641" s="192">
        <v>0</v>
      </c>
      <c r="P641" s="192"/>
      <c r="Q641" s="192"/>
      <c r="R641" s="192"/>
      <c r="S641" s="371"/>
      <c r="T641" s="371"/>
      <c r="U641" s="371"/>
      <c r="V641" s="371"/>
      <c r="W641" s="217"/>
      <c r="X641" s="27"/>
      <c r="Y641" s="28"/>
      <c r="Z641" s="28"/>
      <c r="AA641" s="27"/>
      <c r="AB641" s="28"/>
      <c r="AC641" s="28"/>
      <c r="AJ641" s="42"/>
      <c r="AK641" s="42"/>
      <c r="AL641" s="42"/>
    </row>
    <row r="642" spans="1:38" s="19" customFormat="1" x14ac:dyDescent="0.2">
      <c r="B642" s="112" t="s">
        <v>758</v>
      </c>
      <c r="C642" s="37"/>
      <c r="D642" s="37"/>
      <c r="E642" s="37"/>
      <c r="J642" s="144"/>
      <c r="K642" s="144"/>
      <c r="L642" s="144"/>
      <c r="M642" s="144"/>
      <c r="N642" s="144"/>
      <c r="O642" s="192">
        <v>0</v>
      </c>
      <c r="P642" s="192"/>
      <c r="Q642" s="192"/>
      <c r="R642" s="192"/>
      <c r="S642" s="371" t="s">
        <v>27</v>
      </c>
      <c r="T642" s="371"/>
      <c r="U642" s="371"/>
      <c r="V642" s="371"/>
      <c r="W642" s="217"/>
      <c r="X642" s="27"/>
      <c r="Y642" s="28"/>
      <c r="Z642" s="28"/>
      <c r="AA642" s="27"/>
      <c r="AB642" s="28"/>
      <c r="AC642" s="28"/>
      <c r="AJ642" s="42"/>
      <c r="AK642" s="42"/>
      <c r="AL642" s="42"/>
    </row>
    <row r="643" spans="1:38" s="19" customFormat="1" x14ac:dyDescent="0.2">
      <c r="B643" s="112" t="s">
        <v>759</v>
      </c>
      <c r="C643" s="37"/>
      <c r="D643" s="37"/>
      <c r="E643" s="37"/>
      <c r="J643" s="144"/>
      <c r="K643" s="144"/>
      <c r="L643" s="144"/>
      <c r="M643" s="144"/>
      <c r="N643" s="144"/>
      <c r="O643" s="192">
        <v>0</v>
      </c>
      <c r="P643" s="192"/>
      <c r="Q643" s="192"/>
      <c r="R643" s="192"/>
      <c r="S643" s="371"/>
      <c r="T643" s="371"/>
      <c r="U643" s="371"/>
      <c r="V643" s="371"/>
      <c r="W643" s="217"/>
      <c r="X643" s="27"/>
      <c r="Y643" s="28"/>
      <c r="Z643" s="28"/>
      <c r="AA643" s="27"/>
      <c r="AB643" s="28"/>
      <c r="AC643" s="28"/>
      <c r="AJ643" s="42"/>
      <c r="AK643" s="42"/>
      <c r="AL643" s="42"/>
    </row>
    <row r="644" spans="1:38" s="19" customFormat="1" x14ac:dyDescent="0.2">
      <c r="B644" s="112" t="s">
        <v>760</v>
      </c>
      <c r="C644" s="37"/>
      <c r="D644" s="37"/>
      <c r="E644" s="37"/>
      <c r="J644" s="144"/>
      <c r="K644" s="144"/>
      <c r="L644" s="144"/>
      <c r="M644" s="144"/>
      <c r="N644" s="144"/>
      <c r="O644" s="192">
        <v>0</v>
      </c>
      <c r="P644" s="192"/>
      <c r="Q644" s="192"/>
      <c r="R644" s="192"/>
      <c r="S644" s="371"/>
      <c r="T644" s="371"/>
      <c r="U644" s="371"/>
      <c r="V644" s="371"/>
      <c r="W644" s="217"/>
      <c r="X644" s="27"/>
      <c r="Y644" s="28"/>
      <c r="Z644" s="28"/>
      <c r="AA644" s="27"/>
      <c r="AB644" s="28"/>
      <c r="AC644" s="28"/>
      <c r="AJ644" s="42"/>
      <c r="AK644" s="42"/>
      <c r="AL644" s="42"/>
    </row>
    <row r="645" spans="1:38" s="19" customFormat="1" ht="19.5" customHeight="1" x14ac:dyDescent="0.2">
      <c r="B645" s="112" t="s">
        <v>761</v>
      </c>
      <c r="C645" s="37" t="s">
        <v>101</v>
      </c>
      <c r="D645" s="37">
        <v>5</v>
      </c>
      <c r="E645" s="37" t="s">
        <v>108</v>
      </c>
      <c r="J645" s="144"/>
      <c r="K645" s="144"/>
      <c r="L645" s="144">
        <v>1</v>
      </c>
      <c r="M645" s="144">
        <v>0</v>
      </c>
      <c r="N645" s="144">
        <v>9</v>
      </c>
      <c r="O645" s="192">
        <v>0</v>
      </c>
      <c r="P645" s="192"/>
      <c r="Q645" s="192"/>
      <c r="R645" s="192"/>
      <c r="S645" s="371">
        <v>0</v>
      </c>
      <c r="T645" s="371"/>
      <c r="U645" s="371"/>
      <c r="V645" s="371"/>
      <c r="W645" s="217"/>
      <c r="X645" s="27"/>
      <c r="Y645" s="28"/>
      <c r="Z645" s="28"/>
      <c r="AA645" s="27"/>
      <c r="AB645" s="28"/>
      <c r="AC645" s="28"/>
      <c r="AJ645" s="42"/>
      <c r="AK645" s="42"/>
      <c r="AL645" s="42"/>
    </row>
    <row r="646" spans="1:38" s="19" customFormat="1" ht="19.5" customHeight="1" x14ac:dyDescent="0.2">
      <c r="B646" s="112" t="s">
        <v>762</v>
      </c>
      <c r="C646" s="37" t="s">
        <v>101</v>
      </c>
      <c r="D646" s="37">
        <v>5</v>
      </c>
      <c r="E646" s="37" t="s">
        <v>108</v>
      </c>
      <c r="J646" s="144"/>
      <c r="K646" s="144"/>
      <c r="L646" s="144"/>
      <c r="M646" s="144"/>
      <c r="N646" s="144"/>
      <c r="O646" s="192">
        <v>0</v>
      </c>
      <c r="P646" s="192"/>
      <c r="Q646" s="192"/>
      <c r="R646" s="192"/>
      <c r="S646" s="371" t="s">
        <v>27</v>
      </c>
      <c r="T646" s="371"/>
      <c r="U646" s="371"/>
      <c r="V646" s="371"/>
      <c r="W646" s="217"/>
      <c r="X646" s="27"/>
      <c r="Y646" s="28"/>
      <c r="Z646" s="28"/>
      <c r="AA646" s="27"/>
      <c r="AB646" s="28"/>
      <c r="AC646" s="28"/>
      <c r="AJ646" s="42"/>
      <c r="AK646" s="42"/>
      <c r="AL646" s="42"/>
    </row>
    <row r="647" spans="1:38" s="19" customFormat="1" ht="19.5" customHeight="1" x14ac:dyDescent="0.2">
      <c r="B647" s="112" t="s">
        <v>763</v>
      </c>
      <c r="C647" s="37" t="s">
        <v>101</v>
      </c>
      <c r="D647" s="37">
        <v>5</v>
      </c>
      <c r="E647" s="37" t="s">
        <v>108</v>
      </c>
      <c r="J647" s="144"/>
      <c r="K647" s="144"/>
      <c r="L647" s="144"/>
      <c r="M647" s="144"/>
      <c r="N647" s="144"/>
      <c r="O647" s="192">
        <v>0</v>
      </c>
      <c r="P647" s="192"/>
      <c r="Q647" s="192"/>
      <c r="R647" s="192"/>
      <c r="S647" s="371"/>
      <c r="T647" s="371"/>
      <c r="U647" s="371"/>
      <c r="V647" s="371"/>
      <c r="W647" s="217"/>
      <c r="X647" s="27"/>
      <c r="Y647" s="28"/>
      <c r="Z647" s="28"/>
      <c r="AA647" s="27"/>
      <c r="AB647" s="28"/>
      <c r="AC647" s="28"/>
      <c r="AJ647" s="42"/>
      <c r="AK647" s="42"/>
      <c r="AL647" s="42"/>
    </row>
    <row r="648" spans="1:38" s="19" customFormat="1" ht="19.5" customHeight="1" x14ac:dyDescent="0.2">
      <c r="B648" s="112" t="s">
        <v>764</v>
      </c>
      <c r="C648" s="37" t="s">
        <v>96</v>
      </c>
      <c r="D648" s="37">
        <v>5</v>
      </c>
      <c r="E648" s="37" t="s">
        <v>97</v>
      </c>
      <c r="F648" s="37"/>
      <c r="G648" s="37"/>
      <c r="H648" s="37"/>
      <c r="J648" s="144"/>
      <c r="K648" s="144"/>
      <c r="L648" s="144"/>
      <c r="M648" s="144"/>
      <c r="N648" s="144"/>
      <c r="O648" s="192">
        <v>0</v>
      </c>
      <c r="P648" s="192"/>
      <c r="Q648" s="192"/>
      <c r="R648" s="192"/>
      <c r="S648" s="371"/>
      <c r="T648" s="371"/>
      <c r="U648" s="371"/>
      <c r="V648" s="371"/>
      <c r="W648" s="217"/>
      <c r="X648" s="27"/>
      <c r="Y648" s="28"/>
      <c r="Z648" s="28"/>
      <c r="AA648" s="27"/>
      <c r="AB648" s="28"/>
      <c r="AC648" s="28"/>
      <c r="AJ648" s="42"/>
      <c r="AK648" s="42"/>
      <c r="AL648" s="42"/>
    </row>
    <row r="649" spans="1:38" s="19" customFormat="1" ht="19.5" customHeight="1" x14ac:dyDescent="0.2">
      <c r="B649" s="112" t="s">
        <v>765</v>
      </c>
      <c r="C649" s="37" t="s">
        <v>96</v>
      </c>
      <c r="D649" s="37">
        <v>5</v>
      </c>
      <c r="E649" s="37" t="s">
        <v>97</v>
      </c>
      <c r="F649" s="37"/>
      <c r="G649" s="37"/>
      <c r="H649" s="37"/>
      <c r="J649" s="144"/>
      <c r="K649" s="144"/>
      <c r="L649" s="144"/>
      <c r="M649" s="144"/>
      <c r="N649" s="144"/>
      <c r="O649" s="192">
        <v>0</v>
      </c>
      <c r="P649" s="192"/>
      <c r="Q649" s="192"/>
      <c r="R649" s="192"/>
      <c r="S649" s="371" t="s">
        <v>27</v>
      </c>
      <c r="T649" s="371"/>
      <c r="U649" s="371"/>
      <c r="V649" s="371"/>
      <c r="W649" s="217"/>
      <c r="X649" s="27"/>
      <c r="Y649" s="28"/>
      <c r="Z649" s="28"/>
      <c r="AA649" s="27"/>
      <c r="AB649" s="28"/>
      <c r="AC649" s="28"/>
      <c r="AJ649" s="42"/>
      <c r="AK649" s="42"/>
      <c r="AL649" s="42"/>
    </row>
    <row r="650" spans="1:38" s="19" customFormat="1" ht="19.5" customHeight="1" x14ac:dyDescent="0.2">
      <c r="B650" s="112" t="s">
        <v>766</v>
      </c>
      <c r="C650" s="37" t="s">
        <v>96</v>
      </c>
      <c r="D650" s="37">
        <v>5</v>
      </c>
      <c r="E650" s="37" t="s">
        <v>97</v>
      </c>
      <c r="F650" s="37"/>
      <c r="G650" s="37"/>
      <c r="H650" s="37"/>
      <c r="J650" s="144"/>
      <c r="K650" s="144"/>
      <c r="L650" s="144"/>
      <c r="M650" s="144"/>
      <c r="N650" s="144"/>
      <c r="O650" s="192">
        <v>0</v>
      </c>
      <c r="P650" s="192"/>
      <c r="Q650" s="192"/>
      <c r="R650" s="192"/>
      <c r="S650" s="371"/>
      <c r="T650" s="371"/>
      <c r="U650" s="371"/>
      <c r="V650" s="371"/>
      <c r="W650" s="217"/>
      <c r="X650" s="27"/>
      <c r="Y650" s="28"/>
      <c r="Z650" s="28"/>
      <c r="AA650" s="27"/>
      <c r="AB650" s="28"/>
      <c r="AC650" s="28"/>
      <c r="AJ650" s="42"/>
      <c r="AK650" s="42"/>
      <c r="AL650" s="42"/>
    </row>
    <row r="651" spans="1:38" s="19" customFormat="1" ht="19.5" customHeight="1" x14ac:dyDescent="0.2">
      <c r="B651" s="112" t="s">
        <v>767</v>
      </c>
      <c r="C651" s="37"/>
      <c r="D651" s="37"/>
      <c r="E651" s="37"/>
      <c r="F651" s="37"/>
      <c r="G651" s="37"/>
      <c r="H651" s="37"/>
      <c r="J651" s="144"/>
      <c r="K651" s="144"/>
      <c r="L651" s="144"/>
      <c r="M651" s="144"/>
      <c r="N651" s="144"/>
      <c r="O651" s="192">
        <v>0</v>
      </c>
      <c r="P651" s="192"/>
      <c r="Q651" s="192"/>
      <c r="R651" s="192"/>
      <c r="S651" s="371"/>
      <c r="T651" s="371"/>
      <c r="U651" s="371"/>
      <c r="V651" s="371"/>
      <c r="W651" s="217"/>
      <c r="X651" s="27"/>
      <c r="Y651" s="28"/>
      <c r="Z651" s="28"/>
      <c r="AA651" s="27"/>
      <c r="AB651" s="28"/>
      <c r="AC651" s="28"/>
      <c r="AJ651" s="42"/>
      <c r="AK651" s="42"/>
      <c r="AL651" s="42"/>
    </row>
    <row r="652" spans="1:38" s="19" customFormat="1" ht="19.5" customHeight="1" x14ac:dyDescent="0.2">
      <c r="B652" s="112" t="s">
        <v>768</v>
      </c>
      <c r="C652" s="37"/>
      <c r="D652" s="37"/>
      <c r="E652" s="37"/>
      <c r="F652" s="37"/>
      <c r="G652" s="37"/>
      <c r="H652" s="37"/>
      <c r="J652" s="144"/>
      <c r="K652" s="144"/>
      <c r="L652" s="144"/>
      <c r="M652" s="144"/>
      <c r="N652" s="144"/>
      <c r="O652" s="192">
        <v>0</v>
      </c>
      <c r="P652" s="192"/>
      <c r="Q652" s="192"/>
      <c r="R652" s="192"/>
      <c r="S652" s="371" t="s">
        <v>27</v>
      </c>
      <c r="T652" s="371"/>
      <c r="U652" s="371"/>
      <c r="V652" s="371"/>
      <c r="W652" s="217"/>
      <c r="X652" s="27"/>
      <c r="Y652" s="28"/>
      <c r="Z652" s="28"/>
      <c r="AA652" s="27"/>
      <c r="AB652" s="28"/>
      <c r="AC652" s="28"/>
      <c r="AJ652" s="42"/>
      <c r="AK652" s="42"/>
      <c r="AL652" s="42"/>
    </row>
    <row r="653" spans="1:38" s="19" customFormat="1" ht="19.5" customHeight="1" x14ac:dyDescent="0.2">
      <c r="B653" s="112" t="s">
        <v>769</v>
      </c>
      <c r="C653" s="37"/>
      <c r="D653" s="37"/>
      <c r="E653" s="37"/>
      <c r="F653" s="37"/>
      <c r="G653" s="37"/>
      <c r="H653" s="37"/>
      <c r="J653" s="144"/>
      <c r="K653" s="144"/>
      <c r="L653" s="144"/>
      <c r="M653" s="144"/>
      <c r="N653" s="144"/>
      <c r="O653" s="192">
        <v>0</v>
      </c>
      <c r="P653" s="192"/>
      <c r="Q653" s="192"/>
      <c r="R653" s="192"/>
      <c r="S653" s="371"/>
      <c r="T653" s="371"/>
      <c r="U653" s="371"/>
      <c r="V653" s="371"/>
      <c r="W653" s="217"/>
      <c r="X653" s="27"/>
      <c r="Y653" s="28"/>
      <c r="Z653" s="28"/>
      <c r="AA653" s="27"/>
      <c r="AB653" s="28"/>
      <c r="AC653" s="28"/>
      <c r="AJ653" s="42"/>
      <c r="AK653" s="42"/>
      <c r="AL653" s="42"/>
    </row>
    <row r="654" spans="1:38" s="19" customFormat="1" x14ac:dyDescent="0.2">
      <c r="A654" s="19" t="s">
        <v>27</v>
      </c>
      <c r="B654" s="112" t="s">
        <v>770</v>
      </c>
      <c r="C654" s="37" t="s">
        <v>96</v>
      </c>
      <c r="D654" s="37">
        <v>5</v>
      </c>
      <c r="E654" s="37" t="s">
        <v>108</v>
      </c>
      <c r="J654" s="144"/>
      <c r="K654" s="144"/>
      <c r="L654" s="144">
        <v>1</v>
      </c>
      <c r="M654" s="144">
        <v>0</v>
      </c>
      <c r="N654" s="144">
        <v>12</v>
      </c>
      <c r="O654" s="192">
        <v>0</v>
      </c>
      <c r="P654" s="192"/>
      <c r="Q654" s="192"/>
      <c r="R654" s="192"/>
      <c r="S654" s="371">
        <v>0</v>
      </c>
      <c r="T654" s="371"/>
      <c r="U654" s="371"/>
      <c r="V654" s="371"/>
      <c r="W654" s="217"/>
      <c r="X654" s="27"/>
      <c r="Y654" s="28"/>
      <c r="Z654" s="28"/>
      <c r="AA654" s="27"/>
      <c r="AB654" s="28"/>
      <c r="AC654" s="28"/>
      <c r="AJ654" s="42"/>
      <c r="AK654" s="42"/>
      <c r="AL654" s="42"/>
    </row>
    <row r="655" spans="1:38" s="19" customFormat="1" x14ac:dyDescent="0.2">
      <c r="B655" s="112" t="s">
        <v>771</v>
      </c>
      <c r="C655" s="37" t="s">
        <v>96</v>
      </c>
      <c r="D655" s="37">
        <v>5</v>
      </c>
      <c r="E655" s="37" t="s">
        <v>108</v>
      </c>
      <c r="J655" s="144"/>
      <c r="K655" s="144"/>
      <c r="L655" s="144"/>
      <c r="M655" s="144"/>
      <c r="N655" s="144"/>
      <c r="O655" s="192">
        <v>0</v>
      </c>
      <c r="P655" s="192"/>
      <c r="Q655" s="192"/>
      <c r="R655" s="192"/>
      <c r="S655" s="371" t="s">
        <v>27</v>
      </c>
      <c r="T655" s="371"/>
      <c r="U655" s="371"/>
      <c r="V655" s="371"/>
      <c r="W655" s="217"/>
      <c r="X655" s="27"/>
      <c r="Y655" s="28"/>
      <c r="Z655" s="28"/>
      <c r="AA655" s="27"/>
      <c r="AB655" s="28"/>
      <c r="AC655" s="28"/>
      <c r="AJ655" s="42"/>
      <c r="AK655" s="42"/>
      <c r="AL655" s="42"/>
    </row>
    <row r="656" spans="1:38" s="19" customFormat="1" x14ac:dyDescent="0.2">
      <c r="B656" s="112" t="s">
        <v>772</v>
      </c>
      <c r="C656" s="37" t="s">
        <v>96</v>
      </c>
      <c r="D656" s="37">
        <v>5</v>
      </c>
      <c r="E656" s="37" t="s">
        <v>108</v>
      </c>
      <c r="J656" s="144"/>
      <c r="K656" s="144"/>
      <c r="L656" s="144"/>
      <c r="M656" s="144"/>
      <c r="N656" s="144"/>
      <c r="O656" s="192">
        <v>0</v>
      </c>
      <c r="P656" s="192"/>
      <c r="Q656" s="192"/>
      <c r="R656" s="192"/>
      <c r="S656" s="371"/>
      <c r="T656" s="371"/>
      <c r="U656" s="371"/>
      <c r="V656" s="371"/>
      <c r="W656" s="217"/>
      <c r="X656" s="27"/>
      <c r="Y656" s="28"/>
      <c r="Z656" s="28"/>
      <c r="AA656" s="27"/>
      <c r="AB656" s="28"/>
      <c r="AC656" s="28"/>
      <c r="AJ656" s="42"/>
      <c r="AK656" s="42"/>
      <c r="AL656" s="42"/>
    </row>
    <row r="657" spans="1:38" s="19" customFormat="1" x14ac:dyDescent="0.2">
      <c r="B657" s="112" t="s">
        <v>773</v>
      </c>
      <c r="C657" s="37" t="s">
        <v>96</v>
      </c>
      <c r="D657" s="37">
        <v>5</v>
      </c>
      <c r="E657" s="37" t="s">
        <v>108</v>
      </c>
      <c r="J657" s="144"/>
      <c r="K657" s="144"/>
      <c r="L657" s="144"/>
      <c r="M657" s="144"/>
      <c r="N657" s="144"/>
      <c r="O657" s="192">
        <v>0</v>
      </c>
      <c r="P657" s="192"/>
      <c r="Q657" s="192"/>
      <c r="R657" s="192"/>
      <c r="S657" s="371"/>
      <c r="T657" s="371"/>
      <c r="U657" s="371"/>
      <c r="V657" s="371"/>
      <c r="W657" s="217"/>
      <c r="X657" s="27"/>
      <c r="Y657" s="28"/>
      <c r="Z657" s="28"/>
      <c r="AA657" s="27"/>
      <c r="AB657" s="28"/>
      <c r="AC657" s="28"/>
      <c r="AJ657" s="42"/>
      <c r="AK657" s="42"/>
      <c r="AL657" s="42"/>
    </row>
    <row r="658" spans="1:38" s="19" customFormat="1" x14ac:dyDescent="0.2">
      <c r="B658" s="112" t="s">
        <v>774</v>
      </c>
      <c r="C658" s="37" t="s">
        <v>96</v>
      </c>
      <c r="D658" s="37">
        <v>5</v>
      </c>
      <c r="E658" s="37" t="s">
        <v>108</v>
      </c>
      <c r="J658" s="144"/>
      <c r="K658" s="144"/>
      <c r="L658" s="144"/>
      <c r="M658" s="144"/>
      <c r="N658" s="144"/>
      <c r="O658" s="192">
        <v>0</v>
      </c>
      <c r="P658" s="192"/>
      <c r="Q658" s="192"/>
      <c r="R658" s="192"/>
      <c r="S658" s="371"/>
      <c r="T658" s="371"/>
      <c r="U658" s="371"/>
      <c r="V658" s="371"/>
      <c r="W658" s="217"/>
      <c r="X658" s="27"/>
      <c r="Y658" s="28"/>
      <c r="Z658" s="28"/>
      <c r="AA658" s="27"/>
      <c r="AB658" s="28"/>
      <c r="AC658" s="28"/>
      <c r="AJ658" s="42"/>
      <c r="AK658" s="42"/>
      <c r="AL658" s="42"/>
    </row>
    <row r="659" spans="1:38" s="19" customFormat="1" x14ac:dyDescent="0.2">
      <c r="B659" s="112" t="s">
        <v>775</v>
      </c>
      <c r="C659" s="37" t="s">
        <v>96</v>
      </c>
      <c r="D659" s="37">
        <v>5</v>
      </c>
      <c r="E659" s="37" t="s">
        <v>108</v>
      </c>
      <c r="J659" s="144"/>
      <c r="K659" s="144"/>
      <c r="L659" s="144"/>
      <c r="M659" s="144"/>
      <c r="N659" s="144"/>
      <c r="O659" s="192">
        <v>0</v>
      </c>
      <c r="P659" s="192"/>
      <c r="Q659" s="192"/>
      <c r="R659" s="192"/>
      <c r="S659" s="371" t="s">
        <v>27</v>
      </c>
      <c r="T659" s="371"/>
      <c r="U659" s="371"/>
      <c r="V659" s="371"/>
      <c r="W659" s="217"/>
      <c r="X659" s="27"/>
      <c r="Y659" s="28"/>
      <c r="Z659" s="28"/>
      <c r="AA659" s="27"/>
      <c r="AB659" s="28"/>
      <c r="AC659" s="28"/>
      <c r="AJ659" s="42"/>
      <c r="AK659" s="42"/>
      <c r="AL659" s="42"/>
    </row>
    <row r="660" spans="1:38" s="19" customFormat="1" x14ac:dyDescent="0.2">
      <c r="A660" s="19" t="s">
        <v>27</v>
      </c>
      <c r="B660" s="112" t="s">
        <v>776</v>
      </c>
      <c r="C660" s="37" t="s">
        <v>96</v>
      </c>
      <c r="D660" s="37">
        <v>5</v>
      </c>
      <c r="E660" s="37" t="s">
        <v>97</v>
      </c>
      <c r="J660" s="144"/>
      <c r="K660" s="144" t="s">
        <v>27</v>
      </c>
      <c r="L660" s="144"/>
      <c r="M660" s="144"/>
      <c r="N660" s="144"/>
      <c r="O660" s="192">
        <v>0</v>
      </c>
      <c r="P660" s="192"/>
      <c r="Q660" s="192"/>
      <c r="R660" s="192"/>
      <c r="S660" s="371"/>
      <c r="T660" s="371"/>
      <c r="U660" s="371"/>
      <c r="V660" s="371"/>
      <c r="W660" s="217"/>
      <c r="X660" s="27"/>
      <c r="Y660" s="28"/>
      <c r="Z660" s="28"/>
      <c r="AA660" s="27"/>
      <c r="AB660" s="28"/>
      <c r="AC660" s="28"/>
      <c r="AJ660" s="42"/>
      <c r="AK660" s="42"/>
      <c r="AL660" s="42"/>
    </row>
    <row r="661" spans="1:38" s="19" customFormat="1" x14ac:dyDescent="0.2">
      <c r="B661" s="112" t="s">
        <v>777</v>
      </c>
      <c r="C661" s="37" t="s">
        <v>96</v>
      </c>
      <c r="D661" s="37">
        <v>5</v>
      </c>
      <c r="E661" s="37" t="s">
        <v>97</v>
      </c>
      <c r="J661" s="144"/>
      <c r="K661" s="144"/>
      <c r="L661" s="144"/>
      <c r="M661" s="144"/>
      <c r="N661" s="144"/>
      <c r="O661" s="192">
        <v>0</v>
      </c>
      <c r="P661" s="192"/>
      <c r="Q661" s="192"/>
      <c r="R661" s="192"/>
      <c r="S661" s="371"/>
      <c r="T661" s="371"/>
      <c r="U661" s="371"/>
      <c r="V661" s="371"/>
      <c r="W661" s="217"/>
      <c r="X661" s="29"/>
      <c r="Y661" s="30"/>
      <c r="Z661" s="30"/>
      <c r="AA661" s="29"/>
      <c r="AB661" s="30"/>
      <c r="AC661" s="30"/>
      <c r="AJ661" s="42"/>
      <c r="AK661" s="42"/>
      <c r="AL661" s="42"/>
    </row>
    <row r="662" spans="1:38" s="19" customFormat="1" x14ac:dyDescent="0.2">
      <c r="B662" s="112" t="s">
        <v>778</v>
      </c>
      <c r="C662" s="37" t="s">
        <v>96</v>
      </c>
      <c r="D662" s="37">
        <v>5</v>
      </c>
      <c r="E662" s="37" t="s">
        <v>97</v>
      </c>
      <c r="J662" s="144"/>
      <c r="K662" s="144"/>
      <c r="L662" s="144"/>
      <c r="M662" s="144"/>
      <c r="N662" s="144"/>
      <c r="O662" s="192">
        <v>0</v>
      </c>
      <c r="P662" s="192"/>
      <c r="Q662" s="192"/>
      <c r="R662" s="192"/>
      <c r="S662" s="371"/>
      <c r="T662" s="371"/>
      <c r="U662" s="371"/>
      <c r="V662" s="371"/>
      <c r="W662" s="217"/>
      <c r="X662" s="29"/>
      <c r="Y662" s="30"/>
      <c r="Z662" s="30"/>
      <c r="AA662" s="29"/>
      <c r="AB662" s="30"/>
      <c r="AC662" s="30"/>
      <c r="AJ662" s="42"/>
      <c r="AK662" s="42"/>
      <c r="AL662" s="42"/>
    </row>
    <row r="663" spans="1:38" s="19" customFormat="1" x14ac:dyDescent="0.2">
      <c r="B663" s="112" t="s">
        <v>779</v>
      </c>
      <c r="C663" s="37" t="s">
        <v>96</v>
      </c>
      <c r="D663" s="37">
        <v>5</v>
      </c>
      <c r="E663" s="37" t="s">
        <v>97</v>
      </c>
      <c r="J663" s="144"/>
      <c r="K663" s="144"/>
      <c r="L663" s="144"/>
      <c r="M663" s="144"/>
      <c r="N663" s="144"/>
      <c r="O663" s="192">
        <v>0</v>
      </c>
      <c r="P663" s="192"/>
      <c r="Q663" s="192"/>
      <c r="R663" s="192"/>
      <c r="S663" s="371"/>
      <c r="T663" s="371"/>
      <c r="U663" s="371"/>
      <c r="V663" s="371"/>
      <c r="W663" s="217"/>
      <c r="X663" s="29"/>
      <c r="Y663" s="30"/>
      <c r="Z663" s="30"/>
      <c r="AA663" s="29"/>
      <c r="AB663" s="30"/>
      <c r="AC663" s="30"/>
      <c r="AJ663" s="42"/>
      <c r="AK663" s="42"/>
      <c r="AL663" s="42"/>
    </row>
    <row r="664" spans="1:38" s="19" customFormat="1" x14ac:dyDescent="0.2">
      <c r="B664" s="112" t="s">
        <v>780</v>
      </c>
      <c r="C664" s="37" t="s">
        <v>96</v>
      </c>
      <c r="D664" s="37">
        <v>5</v>
      </c>
      <c r="E664" s="37" t="s">
        <v>97</v>
      </c>
      <c r="J664" s="144"/>
      <c r="K664" s="144"/>
      <c r="L664" s="144"/>
      <c r="M664" s="144"/>
      <c r="N664" s="144"/>
      <c r="O664" s="192">
        <v>0</v>
      </c>
      <c r="P664" s="192"/>
      <c r="Q664" s="192"/>
      <c r="R664" s="192"/>
      <c r="S664" s="371"/>
      <c r="T664" s="371"/>
      <c r="U664" s="371"/>
      <c r="V664" s="371"/>
      <c r="W664" s="217"/>
      <c r="X664" s="29"/>
      <c r="Y664" s="30"/>
      <c r="Z664" s="30"/>
      <c r="AA664" s="29"/>
      <c r="AB664" s="30"/>
      <c r="AC664" s="30"/>
      <c r="AJ664" s="42"/>
      <c r="AK664" s="42"/>
      <c r="AL664" s="42"/>
    </row>
    <row r="665" spans="1:38" s="19" customFormat="1" x14ac:dyDescent="0.2">
      <c r="B665" s="112" t="s">
        <v>781</v>
      </c>
      <c r="C665" s="37" t="s">
        <v>96</v>
      </c>
      <c r="D665" s="37">
        <v>5</v>
      </c>
      <c r="E665" s="37" t="s">
        <v>97</v>
      </c>
      <c r="J665" s="144"/>
      <c r="K665" s="144"/>
      <c r="L665" s="144"/>
      <c r="M665" s="144"/>
      <c r="N665" s="144"/>
      <c r="O665" s="192">
        <v>0</v>
      </c>
      <c r="P665" s="192"/>
      <c r="Q665" s="192"/>
      <c r="R665" s="192"/>
      <c r="S665" s="371"/>
      <c r="T665" s="371"/>
      <c r="U665" s="371"/>
      <c r="V665" s="371"/>
      <c r="W665" s="217"/>
      <c r="X665" s="29"/>
      <c r="Y665" s="30"/>
      <c r="Z665" s="30"/>
      <c r="AA665" s="29"/>
      <c r="AB665" s="30"/>
      <c r="AC665" s="30"/>
      <c r="AJ665" s="42"/>
      <c r="AK665" s="42"/>
      <c r="AL665" s="42"/>
    </row>
    <row r="666" spans="1:38" s="19" customFormat="1" x14ac:dyDescent="0.2">
      <c r="A666" s="19" t="s">
        <v>27</v>
      </c>
      <c r="B666" s="112" t="s">
        <v>782</v>
      </c>
      <c r="C666" s="37" t="s">
        <v>96</v>
      </c>
      <c r="D666" s="37">
        <v>5</v>
      </c>
      <c r="E666" s="37" t="s">
        <v>97</v>
      </c>
      <c r="J666" s="144"/>
      <c r="K666" s="144"/>
      <c r="L666" s="144">
        <v>1</v>
      </c>
      <c r="M666" s="144">
        <v>0</v>
      </c>
      <c r="N666" s="144">
        <v>4</v>
      </c>
      <c r="O666" s="192">
        <v>0</v>
      </c>
      <c r="P666" s="192"/>
      <c r="Q666" s="192"/>
      <c r="R666" s="192"/>
      <c r="S666" s="371">
        <v>0</v>
      </c>
      <c r="T666" s="371"/>
      <c r="U666" s="371"/>
      <c r="V666" s="371"/>
      <c r="W666" s="217"/>
      <c r="X666" s="29"/>
      <c r="Y666" s="30"/>
      <c r="Z666" s="30"/>
      <c r="AA666" s="29"/>
      <c r="AB666" s="30"/>
      <c r="AC666" s="30"/>
      <c r="AJ666" s="42"/>
      <c r="AK666" s="42"/>
      <c r="AL666" s="42"/>
    </row>
    <row r="667" spans="1:38" s="19" customFormat="1" x14ac:dyDescent="0.2">
      <c r="B667" s="112" t="s">
        <v>783</v>
      </c>
      <c r="C667" s="37" t="s">
        <v>96</v>
      </c>
      <c r="D667" s="37">
        <v>5</v>
      </c>
      <c r="E667" s="37" t="s">
        <v>97</v>
      </c>
      <c r="J667" s="144"/>
      <c r="K667" s="144"/>
      <c r="L667" s="144"/>
      <c r="M667" s="144"/>
      <c r="N667" s="144"/>
      <c r="O667" s="192">
        <v>0</v>
      </c>
      <c r="P667" s="192"/>
      <c r="Q667" s="192"/>
      <c r="R667" s="192"/>
      <c r="S667" s="371"/>
      <c r="T667" s="371"/>
      <c r="U667" s="371"/>
      <c r="V667" s="371"/>
      <c r="W667" s="217"/>
      <c r="X667" s="29"/>
      <c r="Y667" s="30"/>
      <c r="Z667" s="30"/>
      <c r="AA667" s="29"/>
      <c r="AB667" s="30"/>
      <c r="AC667" s="30"/>
      <c r="AJ667" s="42"/>
      <c r="AK667" s="42"/>
      <c r="AL667" s="42"/>
    </row>
    <row r="668" spans="1:38" s="19" customFormat="1" x14ac:dyDescent="0.2">
      <c r="B668" s="112" t="s">
        <v>784</v>
      </c>
      <c r="C668" s="37" t="s">
        <v>96</v>
      </c>
      <c r="D668" s="37">
        <v>5</v>
      </c>
      <c r="E668" s="37" t="s">
        <v>97</v>
      </c>
      <c r="J668" s="144"/>
      <c r="K668" s="144"/>
      <c r="L668" s="144"/>
      <c r="M668" s="144"/>
      <c r="N668" s="144"/>
      <c r="O668" s="192">
        <v>0</v>
      </c>
      <c r="P668" s="192"/>
      <c r="Q668" s="192"/>
      <c r="R668" s="192"/>
      <c r="S668" s="371" t="s">
        <v>27</v>
      </c>
      <c r="T668" s="371"/>
      <c r="U668" s="371"/>
      <c r="V668" s="371"/>
      <c r="W668" s="217"/>
      <c r="X668" s="29"/>
      <c r="Y668" s="30"/>
      <c r="Z668" s="30"/>
      <c r="AA668" s="29"/>
      <c r="AB668" s="30"/>
      <c r="AC668" s="30"/>
      <c r="AJ668" s="42"/>
      <c r="AK668" s="42"/>
      <c r="AL668" s="42"/>
    </row>
    <row r="669" spans="1:38" s="19" customFormat="1" x14ac:dyDescent="0.2">
      <c r="B669" s="112" t="s">
        <v>785</v>
      </c>
      <c r="C669" s="37" t="s">
        <v>96</v>
      </c>
      <c r="D669" s="37">
        <v>5</v>
      </c>
      <c r="E669" s="37" t="s">
        <v>97</v>
      </c>
      <c r="J669" s="144"/>
      <c r="K669" s="144"/>
      <c r="L669" s="144"/>
      <c r="M669" s="144"/>
      <c r="N669" s="144"/>
      <c r="O669" s="192">
        <v>0</v>
      </c>
      <c r="P669" s="192"/>
      <c r="Q669" s="192"/>
      <c r="R669" s="192"/>
      <c r="S669" s="371"/>
      <c r="T669" s="371"/>
      <c r="U669" s="371"/>
      <c r="V669" s="371"/>
      <c r="W669" s="217"/>
      <c r="X669" s="29"/>
      <c r="Y669" s="30"/>
      <c r="Z669" s="30"/>
      <c r="AA669" s="29"/>
      <c r="AB669" s="30"/>
      <c r="AC669" s="30"/>
      <c r="AJ669" s="42"/>
      <c r="AK669" s="42"/>
      <c r="AL669" s="42"/>
    </row>
    <row r="670" spans="1:38" s="19" customFormat="1" x14ac:dyDescent="0.2">
      <c r="A670" s="19" t="s">
        <v>27</v>
      </c>
      <c r="B670" s="112" t="s">
        <v>786</v>
      </c>
      <c r="C670" s="37" t="s">
        <v>96</v>
      </c>
      <c r="D670" s="37">
        <v>5</v>
      </c>
      <c r="E670" s="37" t="s">
        <v>97</v>
      </c>
      <c r="J670" s="144"/>
      <c r="K670" s="144"/>
      <c r="L670" s="144">
        <v>1</v>
      </c>
      <c r="M670" s="144">
        <v>0</v>
      </c>
      <c r="N670" s="144">
        <v>2</v>
      </c>
      <c r="O670" s="192">
        <v>0</v>
      </c>
      <c r="P670" s="192"/>
      <c r="Q670" s="192"/>
      <c r="R670" s="192"/>
      <c r="S670" s="371">
        <v>0</v>
      </c>
      <c r="T670" s="371"/>
      <c r="U670" s="371"/>
      <c r="V670" s="371"/>
      <c r="W670" s="217"/>
      <c r="X670" s="29"/>
      <c r="Y670" s="30"/>
      <c r="Z670" s="30"/>
      <c r="AA670" s="29"/>
      <c r="AB670" s="30"/>
      <c r="AC670" s="30"/>
      <c r="AJ670" s="42"/>
      <c r="AK670" s="42"/>
      <c r="AL670" s="42"/>
    </row>
    <row r="671" spans="1:38" s="19" customFormat="1" x14ac:dyDescent="0.2">
      <c r="B671" s="112" t="s">
        <v>787</v>
      </c>
      <c r="C671" s="37" t="s">
        <v>96</v>
      </c>
      <c r="D671" s="37">
        <v>5</v>
      </c>
      <c r="E671" s="37" t="s">
        <v>97</v>
      </c>
      <c r="J671" s="144"/>
      <c r="K671" s="144"/>
      <c r="L671" s="144"/>
      <c r="M671" s="144"/>
      <c r="N671" s="144"/>
      <c r="O671" s="192">
        <v>0</v>
      </c>
      <c r="P671" s="192"/>
      <c r="Q671" s="192"/>
      <c r="R671" s="192"/>
      <c r="S671" s="371"/>
      <c r="T671" s="371"/>
      <c r="U671" s="371"/>
      <c r="V671" s="371"/>
      <c r="W671" s="217"/>
      <c r="X671" s="29"/>
      <c r="Y671" s="30"/>
      <c r="Z671" s="30"/>
      <c r="AA671" s="29"/>
      <c r="AB671" s="30"/>
      <c r="AC671" s="30"/>
      <c r="AJ671" s="42"/>
      <c r="AK671" s="42"/>
      <c r="AL671" s="42"/>
    </row>
    <row r="672" spans="1:38" s="19" customFormat="1" x14ac:dyDescent="0.2">
      <c r="A672" s="19" t="s">
        <v>27</v>
      </c>
      <c r="B672" s="112" t="s">
        <v>788</v>
      </c>
      <c r="C672" s="37" t="s">
        <v>96</v>
      </c>
      <c r="D672" s="37">
        <v>5</v>
      </c>
      <c r="E672" s="37" t="s">
        <v>108</v>
      </c>
      <c r="J672" s="144"/>
      <c r="K672" s="144"/>
      <c r="L672" s="144">
        <v>1</v>
      </c>
      <c r="M672" s="144">
        <v>0</v>
      </c>
      <c r="N672" s="144">
        <f>COUNTA(#REF!)</f>
        <v>1</v>
      </c>
      <c r="O672" s="192">
        <v>0</v>
      </c>
      <c r="P672" s="192"/>
      <c r="Q672" s="192"/>
      <c r="R672" s="192"/>
      <c r="S672" s="371">
        <v>0</v>
      </c>
      <c r="T672" s="371"/>
      <c r="U672" s="371"/>
      <c r="V672" s="371"/>
      <c r="W672" s="217"/>
      <c r="X672" s="29"/>
      <c r="Y672" s="30"/>
      <c r="Z672" s="30"/>
      <c r="AA672" s="29"/>
      <c r="AB672" s="30"/>
      <c r="AC672" s="30"/>
      <c r="AJ672" s="42"/>
      <c r="AK672" s="42"/>
      <c r="AL672" s="42"/>
    </row>
    <row r="673" spans="1:38" s="19" customFormat="1" x14ac:dyDescent="0.2">
      <c r="B673" s="112" t="s">
        <v>789</v>
      </c>
      <c r="C673" s="37" t="s">
        <v>96</v>
      </c>
      <c r="D673" s="37">
        <v>5</v>
      </c>
      <c r="E673" s="37" t="s">
        <v>790</v>
      </c>
      <c r="J673" s="144"/>
      <c r="K673" s="144"/>
      <c r="L673" s="145">
        <v>1</v>
      </c>
      <c r="M673" s="145">
        <v>0</v>
      </c>
      <c r="N673" s="144">
        <v>1</v>
      </c>
      <c r="O673" s="192">
        <v>0</v>
      </c>
      <c r="P673" s="192"/>
      <c r="Q673" s="192"/>
      <c r="R673" s="192"/>
      <c r="S673" s="371">
        <v>0</v>
      </c>
      <c r="T673" s="371"/>
      <c r="U673" s="371"/>
      <c r="V673" s="371"/>
      <c r="W673" s="217"/>
      <c r="X673" s="29"/>
      <c r="Y673" s="30"/>
      <c r="Z673" s="30"/>
      <c r="AA673" s="29"/>
      <c r="AB673" s="30"/>
      <c r="AC673" s="30"/>
      <c r="AJ673" s="42"/>
      <c r="AK673" s="42"/>
      <c r="AL673" s="42"/>
    </row>
    <row r="674" spans="1:38" s="19" customFormat="1" x14ac:dyDescent="0.2">
      <c r="A674" s="37" t="s">
        <v>27</v>
      </c>
      <c r="B674" s="112" t="s">
        <v>791</v>
      </c>
      <c r="C674" s="37" t="s">
        <v>96</v>
      </c>
      <c r="D674" s="37">
        <v>5</v>
      </c>
      <c r="E674" s="37" t="s">
        <v>108</v>
      </c>
      <c r="J674" s="144"/>
      <c r="K674" s="144"/>
      <c r="L674" s="144">
        <v>1</v>
      </c>
      <c r="M674" s="145">
        <v>0</v>
      </c>
      <c r="N674" s="144">
        <v>8</v>
      </c>
      <c r="O674" s="192">
        <v>0</v>
      </c>
      <c r="P674" s="192"/>
      <c r="Q674" s="192"/>
      <c r="R674" s="192"/>
      <c r="S674" s="371">
        <v>0</v>
      </c>
      <c r="T674" s="371"/>
      <c r="U674" s="371"/>
      <c r="V674" s="371"/>
      <c r="W674" s="217"/>
      <c r="X674" s="29"/>
      <c r="Y674" s="30"/>
      <c r="Z674" s="30"/>
      <c r="AA674" s="29"/>
      <c r="AB674" s="30"/>
      <c r="AC674" s="30"/>
      <c r="AJ674" s="42"/>
      <c r="AK674" s="42"/>
      <c r="AL674" s="42"/>
    </row>
    <row r="675" spans="1:38" s="19" customFormat="1" x14ac:dyDescent="0.2">
      <c r="B675" s="112" t="s">
        <v>792</v>
      </c>
      <c r="C675" s="37" t="s">
        <v>96</v>
      </c>
      <c r="D675" s="37">
        <v>5</v>
      </c>
      <c r="E675" s="37" t="s">
        <v>108</v>
      </c>
      <c r="J675" s="144"/>
      <c r="K675" s="144"/>
      <c r="L675" s="144"/>
      <c r="M675" s="144"/>
      <c r="N675" s="144"/>
      <c r="O675" s="192">
        <v>0</v>
      </c>
      <c r="P675" s="192"/>
      <c r="Q675" s="192"/>
      <c r="R675" s="192"/>
      <c r="S675" s="371"/>
      <c r="T675" s="371"/>
      <c r="U675" s="371"/>
      <c r="V675" s="371"/>
      <c r="W675" s="217"/>
      <c r="X675" s="29"/>
      <c r="Y675" s="30"/>
      <c r="Z675" s="30"/>
      <c r="AA675" s="29"/>
      <c r="AB675" s="30"/>
      <c r="AC675" s="30"/>
      <c r="AJ675" s="42"/>
      <c r="AK675" s="42"/>
      <c r="AL675" s="42"/>
    </row>
    <row r="676" spans="1:38" s="19" customFormat="1" x14ac:dyDescent="0.2">
      <c r="B676" s="112" t="s">
        <v>793</v>
      </c>
      <c r="C676" s="37" t="s">
        <v>96</v>
      </c>
      <c r="D676" s="37">
        <v>5</v>
      </c>
      <c r="E676" s="37" t="s">
        <v>108</v>
      </c>
      <c r="J676" s="144"/>
      <c r="K676" s="144"/>
      <c r="L676" s="144"/>
      <c r="M676" s="144"/>
      <c r="N676" s="144"/>
      <c r="O676" s="192">
        <v>0</v>
      </c>
      <c r="P676" s="192"/>
      <c r="Q676" s="192"/>
      <c r="R676" s="192"/>
      <c r="S676" s="371"/>
      <c r="T676" s="371"/>
      <c r="U676" s="371"/>
      <c r="V676" s="371"/>
      <c r="W676" s="217"/>
      <c r="X676" s="29"/>
      <c r="Y676" s="30"/>
      <c r="Z676" s="30"/>
      <c r="AA676" s="29"/>
      <c r="AB676" s="30"/>
      <c r="AC676" s="30"/>
      <c r="AJ676" s="42"/>
      <c r="AK676" s="42"/>
      <c r="AL676" s="42"/>
    </row>
    <row r="677" spans="1:38" s="19" customFormat="1" x14ac:dyDescent="0.2">
      <c r="B677" s="112" t="s">
        <v>794</v>
      </c>
      <c r="C677" s="37" t="s">
        <v>96</v>
      </c>
      <c r="D677" s="37">
        <v>5</v>
      </c>
      <c r="E677" s="37" t="s">
        <v>108</v>
      </c>
      <c r="J677" s="144"/>
      <c r="K677" s="144"/>
      <c r="L677" s="144"/>
      <c r="M677" s="144"/>
      <c r="N677" s="144"/>
      <c r="O677" s="192">
        <v>0</v>
      </c>
      <c r="P677" s="192"/>
      <c r="Q677" s="192"/>
      <c r="R677" s="192"/>
      <c r="S677" s="371"/>
      <c r="T677" s="371"/>
      <c r="U677" s="371"/>
      <c r="V677" s="371"/>
      <c r="W677" s="217"/>
      <c r="X677" s="29"/>
      <c r="Y677" s="30"/>
      <c r="Z677" s="30"/>
      <c r="AA677" s="29"/>
      <c r="AB677" s="30"/>
      <c r="AC677" s="30"/>
      <c r="AJ677" s="42"/>
      <c r="AK677" s="42"/>
      <c r="AL677" s="42"/>
    </row>
    <row r="678" spans="1:38" s="19" customFormat="1" x14ac:dyDescent="0.2">
      <c r="B678" s="112" t="s">
        <v>795</v>
      </c>
      <c r="C678" s="37" t="s">
        <v>96</v>
      </c>
      <c r="D678" s="37">
        <v>5</v>
      </c>
      <c r="E678" s="37" t="s">
        <v>796</v>
      </c>
      <c r="J678" s="144"/>
      <c r="K678" s="144"/>
      <c r="L678" s="144"/>
      <c r="M678" s="144"/>
      <c r="N678" s="144"/>
      <c r="O678" s="192">
        <v>0</v>
      </c>
      <c r="P678" s="192"/>
      <c r="Q678" s="192"/>
      <c r="R678" s="192"/>
      <c r="S678" s="371"/>
      <c r="T678" s="371"/>
      <c r="U678" s="371"/>
      <c r="V678" s="371"/>
      <c r="W678" s="217"/>
      <c r="X678" s="29"/>
      <c r="Y678" s="30"/>
      <c r="Z678" s="30"/>
      <c r="AA678" s="29"/>
      <c r="AB678" s="30"/>
      <c r="AC678" s="30"/>
      <c r="AJ678" s="42"/>
      <c r="AK678" s="42"/>
      <c r="AL678" s="42"/>
    </row>
    <row r="679" spans="1:38" s="19" customFormat="1" x14ac:dyDescent="0.2">
      <c r="B679" s="112" t="s">
        <v>797</v>
      </c>
      <c r="C679" s="37" t="s">
        <v>96</v>
      </c>
      <c r="D679" s="37">
        <v>5</v>
      </c>
      <c r="E679" s="37" t="s">
        <v>796</v>
      </c>
      <c r="J679" s="144"/>
      <c r="K679" s="144"/>
      <c r="L679" s="144"/>
      <c r="M679" s="144"/>
      <c r="N679" s="144"/>
      <c r="O679" s="192">
        <v>0</v>
      </c>
      <c r="P679" s="192"/>
      <c r="Q679" s="192"/>
      <c r="R679" s="192"/>
      <c r="S679" s="371"/>
      <c r="T679" s="371"/>
      <c r="U679" s="371"/>
      <c r="V679" s="371"/>
      <c r="W679" s="217"/>
      <c r="X679" s="29"/>
      <c r="Y679" s="30"/>
      <c r="Z679" s="30"/>
      <c r="AA679" s="29"/>
      <c r="AB679" s="30"/>
      <c r="AC679" s="30"/>
      <c r="AJ679" s="42"/>
      <c r="AK679" s="42"/>
      <c r="AL679" s="42"/>
    </row>
    <row r="680" spans="1:38" s="19" customFormat="1" x14ac:dyDescent="0.2">
      <c r="B680" s="112" t="s">
        <v>798</v>
      </c>
      <c r="C680" s="37" t="s">
        <v>96</v>
      </c>
      <c r="D680" s="37">
        <v>5</v>
      </c>
      <c r="E680" s="37" t="s">
        <v>796</v>
      </c>
      <c r="J680" s="144"/>
      <c r="K680" s="144"/>
      <c r="L680" s="144"/>
      <c r="M680" s="144"/>
      <c r="N680" s="144"/>
      <c r="O680" s="192">
        <v>0</v>
      </c>
      <c r="P680" s="192"/>
      <c r="Q680" s="192"/>
      <c r="R680" s="192"/>
      <c r="S680" s="371"/>
      <c r="T680" s="371"/>
      <c r="U680" s="371"/>
      <c r="V680" s="371"/>
      <c r="W680" s="217"/>
      <c r="X680" s="29"/>
      <c r="Y680" s="30"/>
      <c r="Z680" s="30"/>
      <c r="AA680" s="29"/>
      <c r="AB680" s="30"/>
      <c r="AC680" s="30"/>
      <c r="AJ680" s="42"/>
      <c r="AK680" s="42"/>
      <c r="AL680" s="42"/>
    </row>
    <row r="681" spans="1:38" s="19" customFormat="1" x14ac:dyDescent="0.2">
      <c r="B681" s="112" t="s">
        <v>799</v>
      </c>
      <c r="C681" s="37" t="s">
        <v>96</v>
      </c>
      <c r="D681" s="37">
        <v>5</v>
      </c>
      <c r="E681" s="37" t="s">
        <v>796</v>
      </c>
      <c r="J681" s="144"/>
      <c r="K681" s="144"/>
      <c r="L681" s="144"/>
      <c r="M681" s="144"/>
      <c r="N681" s="144"/>
      <c r="O681" s="192">
        <v>0</v>
      </c>
      <c r="P681" s="192"/>
      <c r="Q681" s="192"/>
      <c r="R681" s="192"/>
      <c r="S681" s="371"/>
      <c r="T681" s="371"/>
      <c r="U681" s="371"/>
      <c r="V681" s="371"/>
      <c r="W681" s="217"/>
      <c r="X681" s="29"/>
      <c r="Y681" s="30"/>
      <c r="Z681" s="30"/>
      <c r="AA681" s="29"/>
      <c r="AB681" s="30"/>
      <c r="AC681" s="30"/>
      <c r="AJ681" s="42"/>
      <c r="AK681" s="42"/>
      <c r="AL681" s="42"/>
    </row>
    <row r="682" spans="1:38" s="19" customFormat="1" x14ac:dyDescent="0.2">
      <c r="A682" s="19" t="s">
        <v>27</v>
      </c>
      <c r="B682" s="112" t="s">
        <v>800</v>
      </c>
      <c r="C682" s="37" t="s">
        <v>96</v>
      </c>
      <c r="D682" s="37">
        <v>5</v>
      </c>
      <c r="E682" s="37" t="s">
        <v>97</v>
      </c>
      <c r="J682" s="144"/>
      <c r="K682" s="144"/>
      <c r="L682" s="144">
        <v>1</v>
      </c>
      <c r="M682" s="144">
        <v>0</v>
      </c>
      <c r="N682" s="144">
        <v>8</v>
      </c>
      <c r="O682" s="192">
        <v>0</v>
      </c>
      <c r="P682" s="192"/>
      <c r="Q682" s="192"/>
      <c r="R682" s="192"/>
      <c r="S682" s="371">
        <v>0</v>
      </c>
      <c r="T682" s="371"/>
      <c r="U682" s="371"/>
      <c r="V682" s="371"/>
      <c r="W682" s="217"/>
      <c r="X682" s="29"/>
      <c r="Y682" s="30"/>
      <c r="Z682" s="30"/>
      <c r="AA682" s="29"/>
      <c r="AB682" s="30"/>
      <c r="AC682" s="30"/>
      <c r="AJ682" s="42"/>
      <c r="AK682" s="42"/>
      <c r="AL682" s="42"/>
    </row>
    <row r="683" spans="1:38" s="19" customFormat="1" x14ac:dyDescent="0.2">
      <c r="B683" s="112" t="s">
        <v>801</v>
      </c>
      <c r="C683" s="37" t="s">
        <v>96</v>
      </c>
      <c r="D683" s="37">
        <v>5</v>
      </c>
      <c r="E683" s="37" t="s">
        <v>97</v>
      </c>
      <c r="J683" s="144"/>
      <c r="K683" s="144"/>
      <c r="L683" s="144"/>
      <c r="M683" s="144"/>
      <c r="N683" s="144"/>
      <c r="O683" s="192">
        <v>0</v>
      </c>
      <c r="P683" s="192"/>
      <c r="Q683" s="192"/>
      <c r="R683" s="192"/>
      <c r="S683" s="371"/>
      <c r="T683" s="371"/>
      <c r="U683" s="371"/>
      <c r="V683" s="371"/>
      <c r="W683" s="217"/>
      <c r="X683" s="29"/>
      <c r="Y683" s="30"/>
      <c r="Z683" s="30"/>
      <c r="AA683" s="29"/>
      <c r="AB683" s="30"/>
      <c r="AC683" s="30"/>
      <c r="AJ683" s="42"/>
      <c r="AK683" s="42"/>
      <c r="AL683" s="42"/>
    </row>
    <row r="684" spans="1:38" s="19" customFormat="1" x14ac:dyDescent="0.2">
      <c r="B684" s="112" t="s">
        <v>802</v>
      </c>
      <c r="C684" s="37" t="s">
        <v>96</v>
      </c>
      <c r="D684" s="37">
        <v>5</v>
      </c>
      <c r="E684" s="37" t="s">
        <v>97</v>
      </c>
      <c r="J684" s="144"/>
      <c r="K684" s="144"/>
      <c r="L684" s="144"/>
      <c r="M684" s="144"/>
      <c r="N684" s="144"/>
      <c r="O684" s="192">
        <v>0</v>
      </c>
      <c r="P684" s="192"/>
      <c r="Q684" s="192"/>
      <c r="R684" s="192"/>
      <c r="S684" s="371"/>
      <c r="T684" s="371"/>
      <c r="U684" s="371"/>
      <c r="V684" s="371"/>
      <c r="W684" s="217"/>
      <c r="X684" s="29"/>
      <c r="Y684" s="30"/>
      <c r="Z684" s="30"/>
      <c r="AA684" s="29"/>
      <c r="AB684" s="30"/>
      <c r="AC684" s="30"/>
      <c r="AJ684" s="42"/>
      <c r="AK684" s="42"/>
      <c r="AL684" s="42"/>
    </row>
    <row r="685" spans="1:38" s="19" customFormat="1" x14ac:dyDescent="0.2">
      <c r="B685" s="112" t="s">
        <v>803</v>
      </c>
      <c r="C685" s="37" t="s">
        <v>96</v>
      </c>
      <c r="D685" s="37">
        <v>5</v>
      </c>
      <c r="E685" s="37" t="s">
        <v>97</v>
      </c>
      <c r="J685" s="144"/>
      <c r="K685" s="144"/>
      <c r="L685" s="144"/>
      <c r="M685" s="144"/>
      <c r="N685" s="144"/>
      <c r="O685" s="192">
        <v>0</v>
      </c>
      <c r="P685" s="192"/>
      <c r="Q685" s="192"/>
      <c r="R685" s="192"/>
      <c r="S685" s="371"/>
      <c r="T685" s="371"/>
      <c r="U685" s="371"/>
      <c r="V685" s="371"/>
      <c r="W685" s="217"/>
      <c r="X685" s="29"/>
      <c r="Y685" s="30"/>
      <c r="Z685" s="30"/>
      <c r="AA685" s="29"/>
      <c r="AB685" s="30"/>
      <c r="AC685" s="30"/>
      <c r="AJ685" s="42"/>
      <c r="AK685" s="42"/>
      <c r="AL685" s="42"/>
    </row>
    <row r="686" spans="1:38" s="19" customFormat="1" x14ac:dyDescent="0.2">
      <c r="B686" s="112" t="s">
        <v>804</v>
      </c>
      <c r="C686" s="37" t="s">
        <v>96</v>
      </c>
      <c r="D686" s="37">
        <v>5</v>
      </c>
      <c r="E686" s="37" t="s">
        <v>97</v>
      </c>
      <c r="J686" s="144"/>
      <c r="K686" s="144"/>
      <c r="L686" s="144"/>
      <c r="M686" s="144"/>
      <c r="N686" s="144"/>
      <c r="O686" s="192">
        <v>0</v>
      </c>
      <c r="P686" s="192"/>
      <c r="Q686" s="192"/>
      <c r="R686" s="192"/>
      <c r="S686" s="371"/>
      <c r="T686" s="371"/>
      <c r="U686" s="371"/>
      <c r="V686" s="371"/>
      <c r="W686" s="217"/>
      <c r="X686" s="29"/>
      <c r="Y686" s="30"/>
      <c r="Z686" s="30"/>
      <c r="AA686" s="29"/>
      <c r="AB686" s="30"/>
      <c r="AC686" s="30"/>
      <c r="AJ686" s="42"/>
      <c r="AK686" s="42"/>
      <c r="AL686" s="42"/>
    </row>
    <row r="687" spans="1:38" s="19" customFormat="1" x14ac:dyDescent="0.2">
      <c r="B687" s="112" t="s">
        <v>805</v>
      </c>
      <c r="C687" s="37" t="s">
        <v>96</v>
      </c>
      <c r="D687" s="37">
        <v>5</v>
      </c>
      <c r="E687" s="37" t="s">
        <v>108</v>
      </c>
      <c r="J687" s="144"/>
      <c r="K687" s="144"/>
      <c r="L687" s="144"/>
      <c r="M687" s="144"/>
      <c r="N687" s="144"/>
      <c r="O687" s="192">
        <v>0</v>
      </c>
      <c r="P687" s="192"/>
      <c r="Q687" s="192"/>
      <c r="R687" s="192"/>
      <c r="S687" s="371"/>
      <c r="T687" s="371"/>
      <c r="U687" s="371"/>
      <c r="V687" s="371"/>
      <c r="W687" s="217"/>
      <c r="X687" s="29"/>
      <c r="Y687" s="30"/>
      <c r="Z687" s="30"/>
      <c r="AA687" s="29"/>
      <c r="AB687" s="30"/>
      <c r="AC687" s="30"/>
      <c r="AJ687" s="42"/>
      <c r="AK687" s="42"/>
      <c r="AL687" s="42"/>
    </row>
    <row r="688" spans="1:38" s="19" customFormat="1" x14ac:dyDescent="0.2">
      <c r="B688" s="112" t="s">
        <v>806</v>
      </c>
      <c r="C688" s="37" t="s">
        <v>96</v>
      </c>
      <c r="D688" s="37">
        <v>5</v>
      </c>
      <c r="E688" s="37" t="s">
        <v>108</v>
      </c>
      <c r="J688" s="144"/>
      <c r="K688" s="144"/>
      <c r="L688" s="144"/>
      <c r="M688" s="144"/>
      <c r="N688" s="144"/>
      <c r="O688" s="192">
        <v>0</v>
      </c>
      <c r="P688" s="192"/>
      <c r="Q688" s="192"/>
      <c r="R688" s="192"/>
      <c r="S688" s="371"/>
      <c r="T688" s="371"/>
      <c r="U688" s="371"/>
      <c r="V688" s="371"/>
      <c r="W688" s="217"/>
      <c r="X688" s="29"/>
      <c r="Y688" s="30"/>
      <c r="Z688" s="30"/>
      <c r="AA688" s="29"/>
      <c r="AB688" s="30"/>
      <c r="AC688" s="30"/>
      <c r="AJ688" s="42"/>
      <c r="AK688" s="42"/>
      <c r="AL688" s="42"/>
    </row>
    <row r="689" spans="1:38" s="19" customFormat="1" x14ac:dyDescent="0.2">
      <c r="B689" s="112" t="s">
        <v>807</v>
      </c>
      <c r="C689" s="37" t="s">
        <v>96</v>
      </c>
      <c r="D689" s="37">
        <v>5</v>
      </c>
      <c r="E689" s="37" t="s">
        <v>108</v>
      </c>
      <c r="J689" s="144"/>
      <c r="K689" s="144"/>
      <c r="L689" s="144"/>
      <c r="M689" s="144"/>
      <c r="N689" s="144"/>
      <c r="O689" s="192">
        <v>0</v>
      </c>
      <c r="P689" s="192"/>
      <c r="Q689" s="192"/>
      <c r="R689" s="192"/>
      <c r="S689" s="371"/>
      <c r="T689" s="371"/>
      <c r="U689" s="371"/>
      <c r="V689" s="371"/>
      <c r="W689" s="217"/>
      <c r="X689" s="29"/>
      <c r="Y689" s="30"/>
      <c r="Z689" s="30"/>
      <c r="AA689" s="29"/>
      <c r="AB689" s="30"/>
      <c r="AC689" s="30"/>
      <c r="AJ689" s="42"/>
      <c r="AK689" s="42"/>
      <c r="AL689" s="42"/>
    </row>
    <row r="690" spans="1:38" s="19" customFormat="1" x14ac:dyDescent="0.2">
      <c r="B690" s="112" t="s">
        <v>808</v>
      </c>
      <c r="C690" s="37" t="s">
        <v>96</v>
      </c>
      <c r="D690" s="37">
        <v>5</v>
      </c>
      <c r="E690" s="37" t="s">
        <v>108</v>
      </c>
      <c r="J690" s="144"/>
      <c r="K690" s="144"/>
      <c r="L690" s="144">
        <v>1</v>
      </c>
      <c r="M690" s="144">
        <v>0</v>
      </c>
      <c r="N690" s="144">
        <v>14</v>
      </c>
      <c r="O690" s="192">
        <v>0</v>
      </c>
      <c r="P690" s="192"/>
      <c r="Q690" s="192"/>
      <c r="R690" s="192"/>
      <c r="S690" s="371">
        <v>0</v>
      </c>
      <c r="T690" s="371"/>
      <c r="U690" s="371"/>
      <c r="V690" s="371"/>
      <c r="W690" s="217"/>
      <c r="X690" s="29"/>
      <c r="Y690" s="30"/>
      <c r="Z690" s="30"/>
      <c r="AA690" s="29"/>
      <c r="AB690" s="30"/>
      <c r="AC690" s="30"/>
      <c r="AJ690" s="42"/>
      <c r="AK690" s="42"/>
      <c r="AL690" s="42"/>
    </row>
    <row r="691" spans="1:38" s="19" customFormat="1" x14ac:dyDescent="0.2">
      <c r="B691" s="112" t="s">
        <v>809</v>
      </c>
      <c r="C691" s="37" t="s">
        <v>96</v>
      </c>
      <c r="D691" s="37">
        <v>5</v>
      </c>
      <c r="E691" s="37" t="s">
        <v>108</v>
      </c>
      <c r="J691" s="144"/>
      <c r="K691" s="144"/>
      <c r="L691" s="144"/>
      <c r="M691" s="144"/>
      <c r="N691" s="144"/>
      <c r="O691" s="192">
        <v>0</v>
      </c>
      <c r="P691" s="192"/>
      <c r="Q691" s="192"/>
      <c r="R691" s="192"/>
      <c r="S691" s="371"/>
      <c r="T691" s="371"/>
      <c r="U691" s="371"/>
      <c r="V691" s="371"/>
      <c r="W691" s="217"/>
      <c r="X691" s="29"/>
      <c r="Y691" s="30"/>
      <c r="Z691" s="30"/>
      <c r="AA691" s="29"/>
      <c r="AB691" s="30"/>
      <c r="AC691" s="30"/>
      <c r="AJ691" s="42"/>
      <c r="AK691" s="42"/>
      <c r="AL691" s="42"/>
    </row>
    <row r="692" spans="1:38" s="19" customFormat="1" x14ac:dyDescent="0.2">
      <c r="B692" s="112" t="s">
        <v>810</v>
      </c>
      <c r="C692" s="37" t="s">
        <v>96</v>
      </c>
      <c r="D692" s="37">
        <v>5</v>
      </c>
      <c r="E692" s="37" t="s">
        <v>108</v>
      </c>
      <c r="J692" s="144"/>
      <c r="K692" s="144"/>
      <c r="L692" s="144"/>
      <c r="M692" s="144"/>
      <c r="N692" s="144"/>
      <c r="O692" s="192">
        <v>0</v>
      </c>
      <c r="P692" s="192"/>
      <c r="Q692" s="192"/>
      <c r="R692" s="192"/>
      <c r="S692" s="371"/>
      <c r="T692" s="371"/>
      <c r="U692" s="371"/>
      <c r="V692" s="371"/>
      <c r="W692" s="217"/>
      <c r="X692" s="29"/>
      <c r="Y692" s="30"/>
      <c r="Z692" s="30"/>
      <c r="AA692" s="29"/>
      <c r="AB692" s="30"/>
      <c r="AC692" s="30"/>
      <c r="AJ692" s="42"/>
      <c r="AK692" s="42"/>
      <c r="AL692" s="42"/>
    </row>
    <row r="693" spans="1:38" s="19" customFormat="1" x14ac:dyDescent="0.2">
      <c r="B693" s="112" t="s">
        <v>811</v>
      </c>
      <c r="C693" s="37" t="s">
        <v>96</v>
      </c>
      <c r="D693" s="37">
        <v>5</v>
      </c>
      <c r="E693" s="37" t="s">
        <v>108</v>
      </c>
      <c r="J693" s="144"/>
      <c r="K693" s="144"/>
      <c r="L693" s="144"/>
      <c r="M693" s="144"/>
      <c r="N693" s="144"/>
      <c r="O693" s="192">
        <v>0</v>
      </c>
      <c r="P693" s="192"/>
      <c r="Q693" s="192"/>
      <c r="R693" s="192"/>
      <c r="S693" s="318"/>
      <c r="T693" s="318"/>
      <c r="U693" s="318"/>
      <c r="V693" s="318"/>
      <c r="W693" s="217"/>
      <c r="X693" s="29"/>
      <c r="Y693" s="30"/>
      <c r="Z693" s="30"/>
      <c r="AA693" s="29"/>
      <c r="AB693" s="30"/>
      <c r="AC693" s="30"/>
      <c r="AJ693" s="42"/>
      <c r="AK693" s="42"/>
      <c r="AL693" s="42"/>
    </row>
    <row r="694" spans="1:38" s="19" customFormat="1" x14ac:dyDescent="0.2">
      <c r="B694" s="112" t="s">
        <v>812</v>
      </c>
      <c r="C694" s="37" t="s">
        <v>96</v>
      </c>
      <c r="D694" s="37">
        <v>5</v>
      </c>
      <c r="E694" s="37" t="s">
        <v>108</v>
      </c>
      <c r="J694" s="144"/>
      <c r="K694" s="144"/>
      <c r="L694" s="144"/>
      <c r="M694" s="144"/>
      <c r="N694" s="144"/>
      <c r="O694" s="192">
        <v>0</v>
      </c>
      <c r="P694" s="192"/>
      <c r="Q694" s="192"/>
      <c r="R694" s="192"/>
      <c r="S694" s="318"/>
      <c r="T694" s="318"/>
      <c r="U694" s="318"/>
      <c r="V694" s="318"/>
      <c r="W694" s="217"/>
      <c r="X694" s="29"/>
      <c r="Y694" s="30"/>
      <c r="Z694" s="30"/>
      <c r="AA694" s="29"/>
      <c r="AB694" s="30"/>
      <c r="AC694" s="30"/>
      <c r="AJ694" s="42"/>
      <c r="AK694" s="42"/>
      <c r="AL694" s="42"/>
    </row>
    <row r="695" spans="1:38" s="19" customFormat="1" x14ac:dyDescent="0.2">
      <c r="B695" s="112" t="s">
        <v>813</v>
      </c>
      <c r="C695" s="37" t="s">
        <v>96</v>
      </c>
      <c r="D695" s="37"/>
      <c r="E695" s="37" t="s">
        <v>97</v>
      </c>
      <c r="J695" s="144"/>
      <c r="K695" s="144"/>
      <c r="L695" s="144"/>
      <c r="M695" s="144"/>
      <c r="N695" s="144"/>
      <c r="O695" s="192">
        <v>0</v>
      </c>
      <c r="P695" s="192"/>
      <c r="Q695" s="192"/>
      <c r="R695" s="192"/>
      <c r="S695" s="318"/>
      <c r="T695" s="318"/>
      <c r="U695" s="318"/>
      <c r="V695" s="318"/>
      <c r="W695" s="217"/>
      <c r="X695" s="29"/>
      <c r="Y695" s="30"/>
      <c r="Z695" s="30"/>
      <c r="AA695" s="29"/>
      <c r="AB695" s="30"/>
      <c r="AC695" s="30"/>
      <c r="AJ695" s="42"/>
      <c r="AK695" s="42"/>
      <c r="AL695" s="42"/>
    </row>
    <row r="696" spans="1:38" s="19" customFormat="1" x14ac:dyDescent="0.2">
      <c r="B696" s="112" t="s">
        <v>814</v>
      </c>
      <c r="C696" s="37" t="s">
        <v>96</v>
      </c>
      <c r="D696" s="37"/>
      <c r="E696" s="37" t="s">
        <v>97</v>
      </c>
      <c r="J696" s="144"/>
      <c r="K696" s="144"/>
      <c r="L696" s="144"/>
      <c r="M696" s="144"/>
      <c r="N696" s="144"/>
      <c r="O696" s="192">
        <v>0</v>
      </c>
      <c r="P696" s="192"/>
      <c r="Q696" s="192"/>
      <c r="R696" s="192"/>
      <c r="S696" s="318"/>
      <c r="T696" s="318"/>
      <c r="U696" s="318"/>
      <c r="V696" s="318"/>
      <c r="W696" s="217"/>
      <c r="X696" s="29"/>
      <c r="Y696" s="30"/>
      <c r="Z696" s="30"/>
      <c r="AA696" s="29"/>
      <c r="AB696" s="30"/>
      <c r="AC696" s="30"/>
      <c r="AJ696" s="42"/>
      <c r="AK696" s="42"/>
      <c r="AL696" s="42"/>
    </row>
    <row r="697" spans="1:38" s="19" customFormat="1" x14ac:dyDescent="0.2">
      <c r="B697" s="112" t="s">
        <v>815</v>
      </c>
      <c r="C697" s="37" t="s">
        <v>96</v>
      </c>
      <c r="D697" s="37"/>
      <c r="E697" s="37" t="s">
        <v>97</v>
      </c>
      <c r="J697" s="144"/>
      <c r="K697" s="144"/>
      <c r="L697" s="144"/>
      <c r="M697" s="144"/>
      <c r="N697" s="144"/>
      <c r="O697" s="192">
        <v>0</v>
      </c>
      <c r="P697" s="192"/>
      <c r="Q697" s="192"/>
      <c r="R697" s="192"/>
      <c r="S697" s="318"/>
      <c r="T697" s="318"/>
      <c r="U697" s="318"/>
      <c r="V697" s="318"/>
      <c r="W697" s="217"/>
      <c r="X697" s="29"/>
      <c r="Y697" s="30"/>
      <c r="Z697" s="30"/>
      <c r="AA697" s="29"/>
      <c r="AB697" s="30"/>
      <c r="AC697" s="30"/>
      <c r="AJ697" s="42"/>
      <c r="AK697" s="42"/>
      <c r="AL697" s="42"/>
    </row>
    <row r="698" spans="1:38" s="19" customFormat="1" x14ac:dyDescent="0.2">
      <c r="B698" s="112" t="s">
        <v>816</v>
      </c>
      <c r="C698" s="37" t="s">
        <v>96</v>
      </c>
      <c r="D698" s="37"/>
      <c r="E698" s="37" t="s">
        <v>97</v>
      </c>
      <c r="J698" s="144"/>
      <c r="K698" s="144"/>
      <c r="L698" s="144"/>
      <c r="M698" s="144"/>
      <c r="N698" s="144"/>
      <c r="O698" s="192">
        <v>0</v>
      </c>
      <c r="P698" s="192"/>
      <c r="Q698" s="192"/>
      <c r="R698" s="192"/>
      <c r="S698" s="318"/>
      <c r="T698" s="318"/>
      <c r="U698" s="318"/>
      <c r="V698" s="318"/>
      <c r="W698" s="217"/>
      <c r="X698" s="29"/>
      <c r="Y698" s="30"/>
      <c r="Z698" s="30"/>
      <c r="AA698" s="29"/>
      <c r="AB698" s="30"/>
      <c r="AC698" s="30"/>
      <c r="AJ698" s="42"/>
      <c r="AK698" s="42"/>
      <c r="AL698" s="42"/>
    </row>
    <row r="699" spans="1:38" s="19" customFormat="1" x14ac:dyDescent="0.2">
      <c r="B699" s="112" t="s">
        <v>817</v>
      </c>
      <c r="C699" s="37" t="s">
        <v>96</v>
      </c>
      <c r="D699" s="37"/>
      <c r="E699" s="37" t="s">
        <v>97</v>
      </c>
      <c r="J699" s="144"/>
      <c r="K699" s="144"/>
      <c r="L699" s="144"/>
      <c r="M699" s="144"/>
      <c r="N699" s="144"/>
      <c r="O699" s="192">
        <v>0</v>
      </c>
      <c r="P699" s="192"/>
      <c r="Q699" s="192"/>
      <c r="R699" s="192"/>
      <c r="S699" s="318"/>
      <c r="T699" s="318"/>
      <c r="U699" s="318"/>
      <c r="V699" s="318"/>
      <c r="W699" s="217"/>
      <c r="X699" s="29"/>
      <c r="Y699" s="30"/>
      <c r="Z699" s="30"/>
      <c r="AA699" s="29"/>
      <c r="AB699" s="30"/>
      <c r="AC699" s="30"/>
      <c r="AJ699" s="42"/>
      <c r="AK699" s="42"/>
      <c r="AL699" s="42"/>
    </row>
    <row r="700" spans="1:38" s="19" customFormat="1" x14ac:dyDescent="0.2">
      <c r="B700" s="112" t="s">
        <v>818</v>
      </c>
      <c r="C700" s="37" t="s">
        <v>96</v>
      </c>
      <c r="D700" s="37"/>
      <c r="E700" s="37" t="s">
        <v>819</v>
      </c>
      <c r="J700" s="144"/>
      <c r="K700" s="144"/>
      <c r="L700" s="144"/>
      <c r="M700" s="144"/>
      <c r="N700" s="144"/>
      <c r="O700" s="192">
        <v>0</v>
      </c>
      <c r="P700" s="192"/>
      <c r="Q700" s="192"/>
      <c r="R700" s="192"/>
      <c r="S700" s="318"/>
      <c r="T700" s="318"/>
      <c r="U700" s="318"/>
      <c r="V700" s="318"/>
      <c r="W700" s="217"/>
      <c r="X700" s="29"/>
      <c r="Y700" s="30"/>
      <c r="Z700" s="30"/>
      <c r="AA700" s="29"/>
      <c r="AB700" s="30"/>
      <c r="AC700" s="30"/>
      <c r="AJ700" s="42"/>
      <c r="AK700" s="42"/>
      <c r="AL700" s="42"/>
    </row>
    <row r="701" spans="1:38" s="19" customFormat="1" x14ac:dyDescent="0.2">
      <c r="B701" s="112" t="s">
        <v>820</v>
      </c>
      <c r="C701" s="37" t="s">
        <v>96</v>
      </c>
      <c r="D701" s="37"/>
      <c r="E701" s="37" t="s">
        <v>819</v>
      </c>
      <c r="J701" s="144"/>
      <c r="K701" s="144"/>
      <c r="L701" s="144"/>
      <c r="M701" s="144"/>
      <c r="N701" s="144"/>
      <c r="O701" s="192">
        <v>0</v>
      </c>
      <c r="P701" s="192"/>
      <c r="Q701" s="192"/>
      <c r="R701" s="192"/>
      <c r="S701" s="318"/>
      <c r="T701" s="318"/>
      <c r="U701" s="318"/>
      <c r="V701" s="318"/>
      <c r="W701" s="217"/>
      <c r="X701" s="29"/>
      <c r="Y701" s="30"/>
      <c r="Z701" s="30"/>
      <c r="AA701" s="29"/>
      <c r="AB701" s="30"/>
      <c r="AC701" s="30"/>
      <c r="AJ701" s="42"/>
      <c r="AK701" s="42"/>
      <c r="AL701" s="42"/>
    </row>
    <row r="702" spans="1:38" s="19" customFormat="1" x14ac:dyDescent="0.2">
      <c r="B702" s="112" t="s">
        <v>821</v>
      </c>
      <c r="C702" s="37" t="s">
        <v>96</v>
      </c>
      <c r="D702" s="37"/>
      <c r="E702" s="37" t="s">
        <v>819</v>
      </c>
      <c r="J702" s="144"/>
      <c r="K702" s="144"/>
      <c r="L702" s="144"/>
      <c r="M702" s="144"/>
      <c r="N702" s="144"/>
      <c r="O702" s="192">
        <v>0</v>
      </c>
      <c r="P702" s="192"/>
      <c r="Q702" s="192"/>
      <c r="R702" s="192"/>
      <c r="S702" s="318"/>
      <c r="T702" s="318"/>
      <c r="U702" s="318"/>
      <c r="V702" s="318"/>
      <c r="W702" s="217"/>
      <c r="X702" s="29"/>
      <c r="Y702" s="30"/>
      <c r="Z702" s="30"/>
      <c r="AA702" s="29"/>
      <c r="AB702" s="30"/>
      <c r="AC702" s="30"/>
      <c r="AJ702" s="42"/>
      <c r="AK702" s="42"/>
      <c r="AL702" s="42"/>
    </row>
    <row r="703" spans="1:38" s="19" customFormat="1" x14ac:dyDescent="0.2">
      <c r="A703" s="19" t="s">
        <v>27</v>
      </c>
      <c r="B703" s="112" t="s">
        <v>822</v>
      </c>
      <c r="C703" s="37" t="s">
        <v>96</v>
      </c>
      <c r="D703" s="37"/>
      <c r="E703" s="37" t="s">
        <v>819</v>
      </c>
      <c r="F703" s="37" t="s">
        <v>347</v>
      </c>
      <c r="H703" s="37"/>
      <c r="J703" s="144"/>
      <c r="K703" s="144"/>
      <c r="L703" s="144"/>
      <c r="M703" s="144"/>
      <c r="N703" s="144"/>
      <c r="O703" s="192">
        <v>0</v>
      </c>
      <c r="P703" s="192"/>
      <c r="Q703" s="192"/>
      <c r="R703" s="192"/>
      <c r="S703" s="318"/>
      <c r="T703" s="318"/>
      <c r="U703" s="318"/>
      <c r="V703" s="318"/>
      <c r="W703" s="217"/>
      <c r="X703" s="29"/>
      <c r="Y703" s="30"/>
      <c r="Z703" s="30"/>
      <c r="AA703" s="29"/>
      <c r="AB703" s="30"/>
      <c r="AC703" s="30"/>
      <c r="AJ703" s="42"/>
      <c r="AK703" s="42"/>
      <c r="AL703" s="42"/>
    </row>
    <row r="704" spans="1:38" s="206" customFormat="1" x14ac:dyDescent="0.2">
      <c r="A704" s="577"/>
      <c r="B704" s="206" t="s">
        <v>823</v>
      </c>
      <c r="C704" s="206" t="s">
        <v>96</v>
      </c>
      <c r="D704" s="206">
        <v>5</v>
      </c>
      <c r="E704" s="206" t="s">
        <v>108</v>
      </c>
      <c r="J704" s="565"/>
      <c r="K704" s="565"/>
      <c r="L704" s="565"/>
      <c r="M704" s="565"/>
      <c r="N704" s="565"/>
      <c r="O704" s="565"/>
      <c r="P704" s="565"/>
      <c r="Q704" s="565"/>
      <c r="R704" s="565"/>
      <c r="S704" s="571"/>
      <c r="T704" s="571"/>
      <c r="U704" s="571"/>
      <c r="V704" s="571"/>
      <c r="W704" s="564"/>
      <c r="X704" s="209"/>
      <c r="Y704" s="210"/>
      <c r="Z704" s="210"/>
      <c r="AA704" s="209"/>
      <c r="AB704" s="210"/>
      <c r="AC704" s="210"/>
      <c r="AJ704" s="42">
        <v>0</v>
      </c>
      <c r="AK704" s="42">
        <v>1</v>
      </c>
      <c r="AL704" s="42"/>
    </row>
    <row r="705" spans="1:39" s="206" customFormat="1" x14ac:dyDescent="0.2">
      <c r="B705" s="206" t="s">
        <v>824</v>
      </c>
      <c r="C705" s="206" t="s">
        <v>96</v>
      </c>
      <c r="D705" s="206">
        <v>5</v>
      </c>
      <c r="E705" s="206" t="s">
        <v>97</v>
      </c>
      <c r="J705" s="565"/>
      <c r="K705" s="565"/>
      <c r="L705" s="565"/>
      <c r="M705" s="565"/>
      <c r="N705" s="565"/>
      <c r="O705" s="565"/>
      <c r="P705" s="565"/>
      <c r="Q705" s="565"/>
      <c r="R705" s="565"/>
      <c r="S705" s="571"/>
      <c r="T705" s="571"/>
      <c r="U705" s="571"/>
      <c r="V705" s="571"/>
      <c r="W705" s="564"/>
      <c r="X705" s="209"/>
      <c r="Y705" s="210"/>
      <c r="Z705" s="210"/>
      <c r="AA705" s="209"/>
      <c r="AB705" s="210"/>
      <c r="AC705" s="210"/>
      <c r="AJ705" s="42"/>
      <c r="AK705" s="42"/>
      <c r="AL705" s="42"/>
    </row>
    <row r="706" spans="1:39" s="206" customFormat="1" x14ac:dyDescent="0.2">
      <c r="B706" s="206" t="s">
        <v>825</v>
      </c>
      <c r="C706" s="206" t="s">
        <v>96</v>
      </c>
      <c r="D706" s="206">
        <v>5</v>
      </c>
      <c r="E706" s="206" t="s">
        <v>292</v>
      </c>
      <c r="G706" s="206" t="s">
        <v>126</v>
      </c>
      <c r="J706" s="565"/>
      <c r="K706" s="565"/>
      <c r="L706" s="565"/>
      <c r="M706" s="565"/>
      <c r="N706" s="565"/>
      <c r="O706" s="565"/>
      <c r="P706" s="565"/>
      <c r="Q706" s="565"/>
      <c r="R706" s="565"/>
      <c r="S706" s="571"/>
      <c r="T706" s="571"/>
      <c r="U706" s="571"/>
      <c r="V706" s="571"/>
      <c r="W706" s="564"/>
      <c r="X706" s="209"/>
      <c r="Y706" s="210"/>
      <c r="Z706" s="210"/>
      <c r="AA706" s="209"/>
      <c r="AB706" s="210"/>
      <c r="AC706" s="210"/>
      <c r="AJ706" s="42">
        <v>0</v>
      </c>
      <c r="AK706" s="42"/>
      <c r="AL706" s="42">
        <v>1</v>
      </c>
    </row>
    <row r="707" spans="1:39" s="206" customFormat="1" x14ac:dyDescent="0.2">
      <c r="B707" s="206" t="s">
        <v>826</v>
      </c>
      <c r="C707" s="206" t="s">
        <v>96</v>
      </c>
      <c r="D707" s="206">
        <v>5</v>
      </c>
      <c r="E707" s="206" t="s">
        <v>292</v>
      </c>
      <c r="G707" s="206" t="s">
        <v>126</v>
      </c>
      <c r="J707" s="565"/>
      <c r="K707" s="565"/>
      <c r="L707" s="565"/>
      <c r="M707" s="565"/>
      <c r="N707" s="565"/>
      <c r="O707" s="565"/>
      <c r="P707" s="565"/>
      <c r="Q707" s="565"/>
      <c r="R707" s="565"/>
      <c r="S707" s="588"/>
      <c r="T707" s="563"/>
      <c r="U707" s="563"/>
      <c r="V707" s="563"/>
      <c r="W707" s="564"/>
      <c r="X707" s="209"/>
      <c r="Y707" s="210"/>
      <c r="Z707" s="210"/>
      <c r="AA707" s="209"/>
      <c r="AB707" s="210"/>
      <c r="AC707" s="210"/>
      <c r="AJ707" s="42">
        <v>0</v>
      </c>
      <c r="AK707" s="42"/>
      <c r="AL707" s="42">
        <v>1</v>
      </c>
    </row>
    <row r="708" spans="1:39" s="206" customFormat="1" x14ac:dyDescent="0.2">
      <c r="B708" s="206" t="s">
        <v>827</v>
      </c>
      <c r="C708" s="206" t="s">
        <v>96</v>
      </c>
      <c r="D708" s="206">
        <v>5</v>
      </c>
      <c r="E708" s="206" t="s">
        <v>292</v>
      </c>
      <c r="G708" s="206" t="s">
        <v>126</v>
      </c>
      <c r="J708" s="565"/>
      <c r="K708" s="565"/>
      <c r="L708" s="565"/>
      <c r="M708" s="565"/>
      <c r="N708" s="565"/>
      <c r="O708" s="565"/>
      <c r="P708" s="565"/>
      <c r="Q708" s="565"/>
      <c r="R708" s="565"/>
      <c r="S708" s="571"/>
      <c r="T708" s="571"/>
      <c r="U708" s="571"/>
      <c r="V708" s="571"/>
      <c r="W708" s="564"/>
      <c r="X708" s="209"/>
      <c r="Y708" s="210"/>
      <c r="Z708" s="210"/>
      <c r="AA708" s="209"/>
      <c r="AB708" s="210"/>
      <c r="AC708" s="210"/>
      <c r="AJ708" s="42">
        <v>0</v>
      </c>
      <c r="AK708" s="42"/>
      <c r="AL708" s="42">
        <v>0</v>
      </c>
    </row>
    <row r="709" spans="1:39" s="206" customFormat="1" x14ac:dyDescent="0.2">
      <c r="B709" s="206" t="s">
        <v>828</v>
      </c>
      <c r="C709" s="206" t="s">
        <v>96</v>
      </c>
      <c r="E709" s="206" t="s">
        <v>108</v>
      </c>
      <c r="J709" s="565"/>
      <c r="K709" s="565"/>
      <c r="L709" s="565"/>
      <c r="M709" s="565"/>
      <c r="N709" s="565"/>
      <c r="O709" s="565"/>
      <c r="P709" s="565"/>
      <c r="Q709" s="565"/>
      <c r="R709" s="565"/>
      <c r="S709" s="571"/>
      <c r="T709" s="571"/>
      <c r="U709" s="571"/>
      <c r="V709" s="571"/>
      <c r="W709" s="564"/>
      <c r="X709" s="209"/>
      <c r="Y709" s="210"/>
      <c r="Z709" s="210"/>
      <c r="AA709" s="209"/>
      <c r="AB709" s="210"/>
      <c r="AC709" s="210"/>
      <c r="AJ709" s="42">
        <v>0</v>
      </c>
      <c r="AK709" s="42"/>
      <c r="AL709" s="42"/>
    </row>
    <row r="710" spans="1:39" s="206" customFormat="1" x14ac:dyDescent="0.2">
      <c r="B710" s="206" t="s">
        <v>829</v>
      </c>
      <c r="C710" s="206" t="s">
        <v>96</v>
      </c>
      <c r="E710" s="206" t="s">
        <v>108</v>
      </c>
      <c r="J710" s="565"/>
      <c r="K710" s="565"/>
      <c r="L710" s="565"/>
      <c r="M710" s="565"/>
      <c r="N710" s="565"/>
      <c r="O710" s="565"/>
      <c r="P710" s="565"/>
      <c r="Q710" s="565"/>
      <c r="R710" s="565"/>
      <c r="S710" s="571"/>
      <c r="T710" s="571"/>
      <c r="U710" s="571"/>
      <c r="V710" s="571"/>
      <c r="W710" s="564"/>
      <c r="X710" s="209"/>
      <c r="Y710" s="210"/>
      <c r="Z710" s="210"/>
      <c r="AA710" s="209"/>
      <c r="AB710" s="210"/>
      <c r="AC710" s="210"/>
      <c r="AJ710" s="42">
        <v>0</v>
      </c>
      <c r="AK710" s="42"/>
      <c r="AL710" s="42"/>
    </row>
    <row r="711" spans="1:39" s="206" customFormat="1" x14ac:dyDescent="0.2">
      <c r="B711" s="206" t="s">
        <v>830</v>
      </c>
      <c r="C711" s="206" t="s">
        <v>96</v>
      </c>
      <c r="D711" s="206">
        <v>5</v>
      </c>
      <c r="E711" s="206" t="s">
        <v>97</v>
      </c>
      <c r="G711" s="206" t="s">
        <v>126</v>
      </c>
      <c r="J711" s="565"/>
      <c r="K711" s="565"/>
      <c r="L711" s="565"/>
      <c r="M711" s="565"/>
      <c r="N711" s="565"/>
      <c r="O711" s="565"/>
      <c r="P711" s="565"/>
      <c r="Q711" s="565"/>
      <c r="R711" s="565"/>
      <c r="S711" s="571"/>
      <c r="T711" s="571"/>
      <c r="U711" s="571"/>
      <c r="V711" s="571"/>
      <c r="W711" s="564"/>
      <c r="X711" s="209"/>
      <c r="Y711" s="210"/>
      <c r="Z711" s="210"/>
      <c r="AA711" s="209"/>
      <c r="AB711" s="210"/>
      <c r="AC711" s="210"/>
      <c r="AJ711" s="42">
        <v>0</v>
      </c>
      <c r="AK711" s="42"/>
      <c r="AL711" s="42">
        <v>1</v>
      </c>
    </row>
    <row r="712" spans="1:39" s="206" customFormat="1" x14ac:dyDescent="0.2">
      <c r="B712" s="206" t="s">
        <v>831</v>
      </c>
      <c r="C712" s="206" t="s">
        <v>96</v>
      </c>
      <c r="D712" s="206">
        <v>5</v>
      </c>
      <c r="E712" s="206" t="s">
        <v>97</v>
      </c>
      <c r="G712" s="206" t="s">
        <v>126</v>
      </c>
      <c r="J712" s="565"/>
      <c r="K712" s="565"/>
      <c r="L712" s="565"/>
      <c r="M712" s="565"/>
      <c r="N712" s="565"/>
      <c r="O712" s="565"/>
      <c r="P712" s="565"/>
      <c r="Q712" s="565"/>
      <c r="R712" s="565"/>
      <c r="S712" s="571"/>
      <c r="T712" s="571"/>
      <c r="U712" s="571"/>
      <c r="V712" s="571"/>
      <c r="W712" s="564"/>
      <c r="X712" s="209"/>
      <c r="Y712" s="210"/>
      <c r="Z712" s="210"/>
      <c r="AA712" s="209"/>
      <c r="AB712" s="210"/>
      <c r="AC712" s="210"/>
      <c r="AJ712" s="42">
        <v>0</v>
      </c>
      <c r="AK712" s="42"/>
      <c r="AL712" s="42">
        <v>0</v>
      </c>
    </row>
    <row r="713" spans="1:39" s="206" customFormat="1" x14ac:dyDescent="0.2">
      <c r="B713" s="206" t="s">
        <v>832</v>
      </c>
      <c r="H713" s="206" t="s">
        <v>833</v>
      </c>
      <c r="J713" s="565"/>
      <c r="K713" s="565"/>
      <c r="L713" s="565"/>
      <c r="M713" s="565"/>
      <c r="N713" s="565"/>
      <c r="O713" s="565"/>
      <c r="P713" s="565"/>
      <c r="Q713" s="565"/>
      <c r="R713" s="565"/>
      <c r="S713" s="571"/>
      <c r="T713" s="571"/>
      <c r="U713" s="571"/>
      <c r="V713" s="571"/>
      <c r="W713" s="564"/>
      <c r="X713" s="209"/>
      <c r="Y713" s="210"/>
      <c r="Z713" s="210"/>
      <c r="AA713" s="209"/>
      <c r="AB713" s="210"/>
      <c r="AC713" s="210"/>
      <c r="AJ713" s="42">
        <v>0</v>
      </c>
      <c r="AK713" s="42"/>
      <c r="AL713" s="42">
        <v>1</v>
      </c>
    </row>
    <row r="714" spans="1:39" s="206" customFormat="1" x14ac:dyDescent="0.2">
      <c r="B714" s="206" t="s">
        <v>834</v>
      </c>
      <c r="H714" s="206" t="s">
        <v>833</v>
      </c>
      <c r="J714" s="565"/>
      <c r="K714" s="565"/>
      <c r="L714" s="565"/>
      <c r="M714" s="565"/>
      <c r="N714" s="565"/>
      <c r="O714" s="565"/>
      <c r="P714" s="565"/>
      <c r="Q714" s="565"/>
      <c r="R714" s="565"/>
      <c r="S714" s="571"/>
      <c r="T714" s="571"/>
      <c r="U714" s="571"/>
      <c r="V714" s="571"/>
      <c r="W714" s="564"/>
      <c r="X714" s="209"/>
      <c r="Y714" s="210"/>
      <c r="Z714" s="210"/>
      <c r="AA714" s="209"/>
      <c r="AB714" s="210"/>
      <c r="AC714" s="210"/>
      <c r="AJ714" s="42">
        <v>0</v>
      </c>
      <c r="AK714" s="42"/>
      <c r="AL714" s="42"/>
    </row>
    <row r="715" spans="1:39" s="206" customFormat="1" x14ac:dyDescent="0.2">
      <c r="B715" s="206" t="s">
        <v>835</v>
      </c>
      <c r="C715" s="206" t="s">
        <v>96</v>
      </c>
      <c r="D715" s="206">
        <v>5</v>
      </c>
      <c r="E715" s="206" t="s">
        <v>97</v>
      </c>
      <c r="G715" s="206" t="s">
        <v>126</v>
      </c>
      <c r="J715" s="565"/>
      <c r="K715" s="565"/>
      <c r="L715" s="565"/>
      <c r="M715" s="565"/>
      <c r="N715" s="565"/>
      <c r="O715" s="565"/>
      <c r="P715" s="565"/>
      <c r="Q715" s="565"/>
      <c r="R715" s="565"/>
      <c r="S715" s="571"/>
      <c r="T715" s="571"/>
      <c r="U715" s="571"/>
      <c r="V715" s="571"/>
      <c r="W715" s="564"/>
      <c r="X715" s="209"/>
      <c r="Y715" s="210"/>
      <c r="Z715" s="210"/>
      <c r="AA715" s="209"/>
      <c r="AB715" s="210"/>
      <c r="AC715" s="210"/>
      <c r="AJ715" s="42">
        <v>0</v>
      </c>
      <c r="AK715" s="42"/>
      <c r="AL715" s="42">
        <v>1</v>
      </c>
    </row>
    <row r="716" spans="1:39" s="280" customFormat="1" x14ac:dyDescent="0.2">
      <c r="A716" s="280" t="s">
        <v>53</v>
      </c>
      <c r="B716" s="280" t="s">
        <v>54</v>
      </c>
      <c r="I716" s="273"/>
      <c r="J716" s="320">
        <f>COUNT(A717:A718)</f>
        <v>1</v>
      </c>
      <c r="K716" s="321">
        <f>COUNTIF(K717:K718,1)/J716</f>
        <v>0</v>
      </c>
      <c r="L716" s="320">
        <f>SUM(L717:L718)</f>
        <v>1</v>
      </c>
      <c r="M716" s="321">
        <f>COUNTIF(M717:M718,1)/L716</f>
        <v>0</v>
      </c>
      <c r="N716" s="320">
        <f>SUM(N717:N718)</f>
        <v>2</v>
      </c>
      <c r="O716" s="321">
        <f>COUNTIF(O717:O718,1)/N716</f>
        <v>0</v>
      </c>
      <c r="P716" s="526"/>
      <c r="Q716" s="526">
        <v>0</v>
      </c>
      <c r="R716" s="526">
        <v>0</v>
      </c>
      <c r="S716" s="374">
        <v>0</v>
      </c>
      <c r="T716" s="374"/>
      <c r="U716" s="374">
        <v>0</v>
      </c>
      <c r="V716" s="374">
        <v>0</v>
      </c>
      <c r="W716" s="327"/>
      <c r="X716" s="277"/>
      <c r="Y716" s="278"/>
      <c r="Z716" s="278"/>
      <c r="AA716" s="277"/>
      <c r="AB716" s="278"/>
      <c r="AC716" s="278"/>
      <c r="AJ716" s="328"/>
      <c r="AK716" s="328"/>
      <c r="AL716" s="328"/>
    </row>
    <row r="717" spans="1:39" s="55" customFormat="1" x14ac:dyDescent="0.2">
      <c r="A717" s="37">
        <v>1</v>
      </c>
      <c r="B717" s="112" t="s">
        <v>836</v>
      </c>
      <c r="G717" s="37"/>
      <c r="H717" s="37"/>
      <c r="I717" s="19">
        <v>0</v>
      </c>
      <c r="J717" s="145"/>
      <c r="K717" s="145">
        <v>0</v>
      </c>
      <c r="L717" s="145">
        <v>1</v>
      </c>
      <c r="M717" s="145">
        <v>0</v>
      </c>
      <c r="N717" s="145">
        <v>1</v>
      </c>
      <c r="O717" s="192">
        <v>0</v>
      </c>
      <c r="P717" s="192"/>
      <c r="Q717" s="192"/>
      <c r="R717" s="192"/>
      <c r="S717" s="318"/>
      <c r="T717" s="318">
        <v>0</v>
      </c>
      <c r="U717" s="318"/>
      <c r="V717" s="318"/>
      <c r="W717" s="219"/>
      <c r="X717" s="29"/>
      <c r="Y717" s="30"/>
      <c r="Z717" s="30"/>
      <c r="AA717" s="29"/>
      <c r="AB717" s="30"/>
      <c r="AC717" s="30"/>
      <c r="AJ717" s="114" t="s">
        <v>27</v>
      </c>
      <c r="AK717" s="114"/>
      <c r="AL717" s="114"/>
      <c r="AM717" s="37"/>
    </row>
    <row r="718" spans="1:39" s="55" customFormat="1" x14ac:dyDescent="0.2">
      <c r="A718" s="37"/>
      <c r="B718" s="112" t="s">
        <v>837</v>
      </c>
      <c r="G718" s="37"/>
      <c r="H718" s="37"/>
      <c r="I718" s="19">
        <v>0</v>
      </c>
      <c r="J718" s="145"/>
      <c r="K718" s="145"/>
      <c r="L718" s="145"/>
      <c r="M718" s="145"/>
      <c r="N718" s="145">
        <v>1</v>
      </c>
      <c r="O718" s="192">
        <v>0</v>
      </c>
      <c r="P718" s="192"/>
      <c r="Q718" s="192"/>
      <c r="R718" s="192"/>
      <c r="S718" s="318"/>
      <c r="T718" s="318">
        <v>0</v>
      </c>
      <c r="U718" s="318"/>
      <c r="V718" s="318"/>
      <c r="W718" s="219"/>
      <c r="X718" s="29"/>
      <c r="Y718" s="30"/>
      <c r="Z718" s="30"/>
      <c r="AA718" s="29"/>
      <c r="AB718" s="30"/>
      <c r="AC718" s="30"/>
      <c r="AJ718" s="114" t="s">
        <v>27</v>
      </c>
      <c r="AK718" s="114"/>
      <c r="AL718" s="114"/>
      <c r="AM718" s="37"/>
    </row>
    <row r="719" spans="1:39" s="578" customFormat="1" x14ac:dyDescent="0.2">
      <c r="B719" s="578" t="s">
        <v>838</v>
      </c>
      <c r="G719" s="578" t="s">
        <v>126</v>
      </c>
      <c r="I719" s="206"/>
      <c r="J719" s="580"/>
      <c r="K719" s="580"/>
      <c r="L719" s="580" t="s">
        <v>27</v>
      </c>
      <c r="M719" s="580"/>
      <c r="N719" s="580"/>
      <c r="O719" s="580"/>
      <c r="P719" s="565"/>
      <c r="Q719" s="565"/>
      <c r="R719" s="565"/>
      <c r="S719" s="571"/>
      <c r="T719" s="571"/>
      <c r="U719" s="571"/>
      <c r="V719" s="571"/>
      <c r="W719" s="564"/>
      <c r="X719" s="209"/>
      <c r="Y719" s="210"/>
      <c r="Z719" s="210"/>
      <c r="AA719" s="209"/>
      <c r="AB719" s="210"/>
      <c r="AC719" s="210"/>
      <c r="AJ719" s="45">
        <v>0</v>
      </c>
      <c r="AK719" s="45"/>
      <c r="AL719" s="45"/>
    </row>
    <row r="720" spans="1:39" s="206" customFormat="1" x14ac:dyDescent="0.2">
      <c r="B720" s="578" t="s">
        <v>839</v>
      </c>
      <c r="J720" s="565"/>
      <c r="K720" s="565"/>
      <c r="L720" s="565"/>
      <c r="M720" s="565"/>
      <c r="N720" s="565"/>
      <c r="O720" s="565"/>
      <c r="P720" s="565"/>
      <c r="Q720" s="565"/>
      <c r="R720" s="565"/>
      <c r="S720" s="571"/>
      <c r="T720" s="571"/>
      <c r="U720" s="571"/>
      <c r="V720" s="571"/>
      <c r="W720" s="564"/>
      <c r="X720" s="209"/>
      <c r="Y720" s="210"/>
      <c r="Z720" s="210"/>
      <c r="AA720" s="209"/>
      <c r="AB720" s="210"/>
      <c r="AC720" s="210"/>
      <c r="AJ720" s="45">
        <v>0</v>
      </c>
      <c r="AK720" s="42"/>
      <c r="AL720" s="42"/>
    </row>
    <row r="721" spans="1:38" s="206" customFormat="1" x14ac:dyDescent="0.2">
      <c r="B721" s="578" t="s">
        <v>840</v>
      </c>
      <c r="J721" s="565"/>
      <c r="K721" s="565"/>
      <c r="L721" s="565"/>
      <c r="M721" s="565"/>
      <c r="N721" s="565"/>
      <c r="O721" s="565"/>
      <c r="P721" s="565"/>
      <c r="Q721" s="565"/>
      <c r="R721" s="565"/>
      <c r="S721" s="571"/>
      <c r="T721" s="571"/>
      <c r="U721" s="571"/>
      <c r="V721" s="571"/>
      <c r="W721" s="564"/>
      <c r="X721" s="209"/>
      <c r="Y721" s="210"/>
      <c r="Z721" s="210"/>
      <c r="AA721" s="209"/>
      <c r="AB721" s="210"/>
      <c r="AC721" s="210"/>
      <c r="AJ721" s="45">
        <v>0</v>
      </c>
      <c r="AK721" s="42"/>
      <c r="AL721" s="42"/>
    </row>
    <row r="722" spans="1:38" s="206" customFormat="1" x14ac:dyDescent="0.2">
      <c r="B722" s="578" t="s">
        <v>841</v>
      </c>
      <c r="G722" s="206" t="s">
        <v>126</v>
      </c>
      <c r="J722" s="565"/>
      <c r="K722" s="565"/>
      <c r="L722" s="565"/>
      <c r="M722" s="565"/>
      <c r="N722" s="565"/>
      <c r="O722" s="565"/>
      <c r="P722" s="565"/>
      <c r="Q722" s="565"/>
      <c r="R722" s="565"/>
      <c r="S722" s="571"/>
      <c r="T722" s="571"/>
      <c r="U722" s="571"/>
      <c r="V722" s="571"/>
      <c r="W722" s="564"/>
      <c r="X722" s="209"/>
      <c r="Y722" s="210"/>
      <c r="Z722" s="210"/>
      <c r="AA722" s="209"/>
      <c r="AB722" s="210"/>
      <c r="AC722" s="210"/>
      <c r="AJ722" s="45">
        <v>0</v>
      </c>
      <c r="AK722" s="42"/>
      <c r="AL722" s="42"/>
    </row>
    <row r="723" spans="1:38" s="206" customFormat="1" x14ac:dyDescent="0.2">
      <c r="B723" s="578" t="s">
        <v>842</v>
      </c>
      <c r="G723" s="206" t="s">
        <v>126</v>
      </c>
      <c r="J723" s="565"/>
      <c r="K723" s="565"/>
      <c r="L723" s="565"/>
      <c r="M723" s="565"/>
      <c r="N723" s="565"/>
      <c r="O723" s="565"/>
      <c r="P723" s="565"/>
      <c r="Q723" s="565"/>
      <c r="R723" s="565"/>
      <c r="S723" s="571"/>
      <c r="T723" s="571"/>
      <c r="U723" s="571"/>
      <c r="V723" s="571"/>
      <c r="W723" s="564"/>
      <c r="X723" s="209"/>
      <c r="Y723" s="210"/>
      <c r="Z723" s="210"/>
      <c r="AA723" s="209"/>
      <c r="AB723" s="210"/>
      <c r="AC723" s="210"/>
      <c r="AJ723" s="45">
        <v>0</v>
      </c>
      <c r="AK723" s="42"/>
      <c r="AL723" s="42"/>
    </row>
    <row r="724" spans="1:38" s="206" customFormat="1" x14ac:dyDescent="0.2">
      <c r="B724" s="578" t="s">
        <v>843</v>
      </c>
      <c r="G724" s="206" t="s">
        <v>126</v>
      </c>
      <c r="J724" s="565"/>
      <c r="K724" s="565"/>
      <c r="L724" s="565"/>
      <c r="M724" s="565"/>
      <c r="N724" s="565"/>
      <c r="O724" s="565"/>
      <c r="P724" s="565"/>
      <c r="Q724" s="565"/>
      <c r="R724" s="565"/>
      <c r="S724" s="571"/>
      <c r="T724" s="571"/>
      <c r="U724" s="571"/>
      <c r="V724" s="571"/>
      <c r="W724" s="564"/>
      <c r="X724" s="209"/>
      <c r="Y724" s="210"/>
      <c r="Z724" s="210"/>
      <c r="AA724" s="209"/>
      <c r="AB724" s="210"/>
      <c r="AC724" s="210"/>
      <c r="AJ724" s="45">
        <v>0</v>
      </c>
      <c r="AK724" s="42"/>
      <c r="AL724" s="42"/>
    </row>
    <row r="725" spans="1:38" s="206" customFormat="1" x14ac:dyDescent="0.2">
      <c r="B725" s="578" t="s">
        <v>844</v>
      </c>
      <c r="G725" s="206" t="s">
        <v>126</v>
      </c>
      <c r="J725" s="565"/>
      <c r="K725" s="565"/>
      <c r="L725" s="565"/>
      <c r="M725" s="565"/>
      <c r="N725" s="565"/>
      <c r="O725" s="565"/>
      <c r="P725" s="565"/>
      <c r="Q725" s="565"/>
      <c r="R725" s="565"/>
      <c r="S725" s="571"/>
      <c r="T725" s="571"/>
      <c r="U725" s="571"/>
      <c r="V725" s="571"/>
      <c r="W725" s="564"/>
      <c r="X725" s="209"/>
      <c r="Y725" s="210"/>
      <c r="Z725" s="210"/>
      <c r="AA725" s="209"/>
      <c r="AB725" s="210"/>
      <c r="AC725" s="210"/>
      <c r="AJ725" s="45">
        <v>0</v>
      </c>
      <c r="AK725" s="42"/>
      <c r="AL725" s="42"/>
    </row>
    <row r="726" spans="1:38" s="206" customFormat="1" x14ac:dyDescent="0.2">
      <c r="B726" s="578" t="s">
        <v>845</v>
      </c>
      <c r="G726" s="206" t="s">
        <v>126</v>
      </c>
      <c r="J726" s="565"/>
      <c r="K726" s="565"/>
      <c r="L726" s="565"/>
      <c r="M726" s="565"/>
      <c r="N726" s="565"/>
      <c r="O726" s="565"/>
      <c r="P726" s="565"/>
      <c r="Q726" s="565"/>
      <c r="R726" s="565"/>
      <c r="S726" s="571"/>
      <c r="T726" s="571"/>
      <c r="U726" s="571"/>
      <c r="V726" s="571"/>
      <c r="W726" s="564"/>
      <c r="X726" s="209"/>
      <c r="Y726" s="210"/>
      <c r="Z726" s="210"/>
      <c r="AA726" s="209"/>
      <c r="AB726" s="210"/>
      <c r="AC726" s="210"/>
      <c r="AJ726" s="42">
        <v>0</v>
      </c>
      <c r="AK726" s="42"/>
      <c r="AL726" s="42"/>
    </row>
    <row r="727" spans="1:38" s="206" customFormat="1" x14ac:dyDescent="0.2">
      <c r="B727" s="578" t="s">
        <v>846</v>
      </c>
      <c r="G727" s="206" t="s">
        <v>126</v>
      </c>
      <c r="J727" s="565"/>
      <c r="K727" s="565"/>
      <c r="L727" s="565" t="s">
        <v>27</v>
      </c>
      <c r="M727" s="565"/>
      <c r="N727" s="565"/>
      <c r="O727" s="565"/>
      <c r="P727" s="565"/>
      <c r="Q727" s="565"/>
      <c r="R727" s="565"/>
      <c r="S727" s="571"/>
      <c r="T727" s="571"/>
      <c r="U727" s="571"/>
      <c r="V727" s="571"/>
      <c r="W727" s="564"/>
      <c r="X727" s="209"/>
      <c r="Y727" s="210"/>
      <c r="Z727" s="210"/>
      <c r="AA727" s="209"/>
      <c r="AB727" s="210"/>
      <c r="AC727" s="210"/>
      <c r="AJ727" s="42">
        <v>0</v>
      </c>
      <c r="AK727" s="42">
        <v>1</v>
      </c>
      <c r="AL727" s="42"/>
    </row>
    <row r="728" spans="1:38" s="206" customFormat="1" x14ac:dyDescent="0.2">
      <c r="B728" s="578" t="s">
        <v>847</v>
      </c>
      <c r="G728" s="206" t="s">
        <v>126</v>
      </c>
      <c r="J728" s="565"/>
      <c r="K728" s="565"/>
      <c r="L728" s="565"/>
      <c r="M728" s="565"/>
      <c r="N728" s="565"/>
      <c r="O728" s="565"/>
      <c r="P728" s="565"/>
      <c r="Q728" s="565"/>
      <c r="R728" s="565"/>
      <c r="S728" s="571"/>
      <c r="T728" s="571"/>
      <c r="U728" s="571"/>
      <c r="V728" s="571"/>
      <c r="W728" s="564"/>
      <c r="X728" s="209"/>
      <c r="Y728" s="210"/>
      <c r="Z728" s="210"/>
      <c r="AA728" s="209"/>
      <c r="AB728" s="210"/>
      <c r="AC728" s="210"/>
      <c r="AJ728" s="42">
        <v>0</v>
      </c>
      <c r="AK728" s="42"/>
      <c r="AL728" s="42"/>
    </row>
    <row r="729" spans="1:38" s="589" customFormat="1" x14ac:dyDescent="0.2">
      <c r="B729" s="578" t="s">
        <v>848</v>
      </c>
      <c r="G729" s="206" t="s">
        <v>126</v>
      </c>
      <c r="I729" s="206"/>
      <c r="J729" s="590"/>
      <c r="K729" s="590"/>
      <c r="L729" s="590"/>
      <c r="M729" s="590"/>
      <c r="N729" s="590"/>
      <c r="O729" s="590"/>
      <c r="P729" s="565"/>
      <c r="Q729" s="565"/>
      <c r="R729" s="565"/>
      <c r="S729" s="571"/>
      <c r="T729" s="571"/>
      <c r="U729" s="571"/>
      <c r="V729" s="571"/>
      <c r="W729" s="564"/>
      <c r="X729" s="209"/>
      <c r="Y729" s="210"/>
      <c r="Z729" s="210"/>
      <c r="AA729" s="209"/>
      <c r="AB729" s="210"/>
      <c r="AC729" s="210"/>
      <c r="AJ729" s="42">
        <v>0</v>
      </c>
      <c r="AK729" s="46"/>
      <c r="AL729" s="46"/>
    </row>
    <row r="730" spans="1:38" s="569" customFormat="1" x14ac:dyDescent="0.2">
      <c r="B730" s="578" t="s">
        <v>849</v>
      </c>
      <c r="G730" s="206" t="s">
        <v>126</v>
      </c>
      <c r="I730" s="206"/>
      <c r="J730" s="570"/>
      <c r="K730" s="570"/>
      <c r="L730" s="570"/>
      <c r="M730" s="570"/>
      <c r="N730" s="570"/>
      <c r="O730" s="570"/>
      <c r="P730" s="570"/>
      <c r="Q730" s="570"/>
      <c r="R730" s="570"/>
      <c r="S730" s="571"/>
      <c r="T730" s="571"/>
      <c r="U730" s="571"/>
      <c r="V730" s="571"/>
      <c r="W730" s="564"/>
      <c r="X730" s="209"/>
      <c r="Y730" s="210"/>
      <c r="Z730" s="210"/>
      <c r="AA730" s="209"/>
      <c r="AB730" s="210"/>
      <c r="AC730" s="210"/>
      <c r="AJ730" s="42">
        <v>0</v>
      </c>
      <c r="AK730" s="44"/>
      <c r="AL730" s="44"/>
    </row>
    <row r="731" spans="1:38" s="128" customFormat="1" x14ac:dyDescent="0.2">
      <c r="B731" s="37"/>
      <c r="I731" s="19"/>
      <c r="J731" s="159"/>
      <c r="K731" s="159"/>
      <c r="L731" s="159"/>
      <c r="M731" s="159"/>
      <c r="N731" s="159"/>
      <c r="O731" s="194"/>
      <c r="P731" s="194"/>
      <c r="Q731" s="194"/>
      <c r="R731" s="194"/>
      <c r="S731" s="318"/>
      <c r="T731" s="318"/>
      <c r="U731" s="318"/>
      <c r="V731" s="318"/>
      <c r="W731" s="215"/>
      <c r="X731" s="29"/>
      <c r="Y731" s="30"/>
      <c r="Z731" s="30"/>
      <c r="AA731" s="29"/>
      <c r="AB731" s="30"/>
      <c r="AC731" s="30"/>
      <c r="AJ731" s="114"/>
      <c r="AK731" s="160"/>
      <c r="AL731" s="160"/>
    </row>
    <row r="732" spans="1:38" s="128" customFormat="1" x14ac:dyDescent="0.2">
      <c r="B732" s="37"/>
      <c r="I732" s="19"/>
      <c r="J732" s="159"/>
      <c r="K732" s="159"/>
      <c r="L732" s="159"/>
      <c r="M732" s="159"/>
      <c r="N732" s="159"/>
      <c r="O732" s="194"/>
      <c r="P732" s="194"/>
      <c r="Q732" s="194"/>
      <c r="R732" s="194"/>
      <c r="S732" s="318"/>
      <c r="T732" s="318"/>
      <c r="U732" s="318"/>
      <c r="V732" s="318"/>
      <c r="W732" s="215"/>
      <c r="X732" s="29"/>
      <c r="Y732" s="30"/>
      <c r="Z732" s="30"/>
      <c r="AA732" s="29"/>
      <c r="AB732" s="30"/>
      <c r="AC732" s="30"/>
      <c r="AJ732" s="114"/>
      <c r="AK732" s="160"/>
      <c r="AL732" s="160"/>
    </row>
    <row r="733" spans="1:38" s="128" customFormat="1" x14ac:dyDescent="0.2">
      <c r="B733" s="37"/>
      <c r="I733" s="19"/>
      <c r="J733" s="159"/>
      <c r="K733" s="159"/>
      <c r="L733" s="159"/>
      <c r="M733" s="159"/>
      <c r="N733" s="159"/>
      <c r="O733" s="194"/>
      <c r="P733" s="194"/>
      <c r="Q733" s="194"/>
      <c r="R733" s="194"/>
      <c r="S733" s="318"/>
      <c r="T733" s="318"/>
      <c r="U733" s="318"/>
      <c r="V733" s="318"/>
      <c r="W733" s="215"/>
      <c r="X733" s="29"/>
      <c r="Y733" s="30"/>
      <c r="Z733" s="30"/>
      <c r="AA733" s="29"/>
      <c r="AB733" s="30"/>
      <c r="AC733" s="30"/>
      <c r="AJ733" s="114"/>
      <c r="AK733" s="160"/>
      <c r="AL733" s="160"/>
    </row>
    <row r="734" spans="1:38" s="128" customFormat="1" x14ac:dyDescent="0.2">
      <c r="B734" s="37"/>
      <c r="I734" s="19"/>
      <c r="J734" s="159"/>
      <c r="K734" s="159"/>
      <c r="L734" s="159"/>
      <c r="M734" s="159"/>
      <c r="N734" s="159"/>
      <c r="O734" s="194"/>
      <c r="P734" s="194"/>
      <c r="Q734" s="194"/>
      <c r="R734" s="194"/>
      <c r="S734" s="318"/>
      <c r="T734" s="318"/>
      <c r="U734" s="318"/>
      <c r="V734" s="318"/>
      <c r="W734" s="215"/>
      <c r="X734" s="29"/>
      <c r="Y734" s="30"/>
      <c r="Z734" s="30"/>
      <c r="AA734" s="29"/>
      <c r="AB734" s="30"/>
      <c r="AC734" s="30"/>
      <c r="AJ734" s="114"/>
      <c r="AK734" s="160"/>
      <c r="AL734" s="160"/>
    </row>
    <row r="735" spans="1:38" s="128" customFormat="1" x14ac:dyDescent="0.2">
      <c r="B735" s="37"/>
      <c r="I735" s="19"/>
      <c r="J735" s="159"/>
      <c r="K735" s="159"/>
      <c r="L735" s="159"/>
      <c r="M735" s="159"/>
      <c r="N735" s="159"/>
      <c r="O735" s="194"/>
      <c r="P735" s="194"/>
      <c r="Q735" s="194"/>
      <c r="R735" s="194"/>
      <c r="S735" s="318"/>
      <c r="T735" s="318"/>
      <c r="U735" s="318"/>
      <c r="V735" s="318"/>
      <c r="W735" s="215"/>
      <c r="X735" s="29"/>
      <c r="Y735" s="30"/>
      <c r="Z735" s="30"/>
      <c r="AA735" s="29"/>
      <c r="AB735" s="30"/>
      <c r="AC735" s="30"/>
      <c r="AJ735" s="114"/>
      <c r="AK735" s="160"/>
      <c r="AL735" s="160"/>
    </row>
    <row r="736" spans="1:38" s="128" customFormat="1" x14ac:dyDescent="0.2">
      <c r="A736" s="161" t="s">
        <v>850</v>
      </c>
      <c r="B736" s="37"/>
      <c r="I736" s="19"/>
      <c r="J736" s="159"/>
      <c r="K736" s="159"/>
      <c r="L736" s="159"/>
      <c r="M736" s="159"/>
      <c r="N736" s="159"/>
      <c r="O736" s="194"/>
      <c r="P736" s="194"/>
      <c r="Q736" s="194"/>
      <c r="R736" s="194"/>
      <c r="S736" s="318"/>
      <c r="T736" s="318"/>
      <c r="U736" s="318"/>
      <c r="V736" s="318"/>
      <c r="W736" s="215"/>
      <c r="X736" s="29"/>
      <c r="Y736" s="30"/>
      <c r="Z736" s="30"/>
      <c r="AA736" s="29"/>
      <c r="AB736" s="30"/>
      <c r="AC736" s="30"/>
      <c r="AJ736" s="114"/>
      <c r="AK736" s="160"/>
      <c r="AL736" s="160"/>
    </row>
    <row r="737" spans="1:38" s="156" customFormat="1" x14ac:dyDescent="0.2">
      <c r="A737" s="156">
        <v>1</v>
      </c>
      <c r="B737" s="156" t="s">
        <v>851</v>
      </c>
      <c r="I737" s="19"/>
      <c r="J737" s="157"/>
      <c r="K737" s="157"/>
      <c r="L737" s="157"/>
      <c r="M737" s="157"/>
      <c r="N737" s="157"/>
      <c r="O737" s="197"/>
      <c r="P737" s="197"/>
      <c r="Q737" s="197"/>
      <c r="R737" s="197"/>
      <c r="S737" s="318"/>
      <c r="T737" s="318"/>
      <c r="U737" s="318"/>
      <c r="V737" s="318"/>
      <c r="W737" s="220"/>
      <c r="X737" s="29"/>
      <c r="Y737" s="30"/>
      <c r="Z737" s="30"/>
      <c r="AA737" s="29"/>
      <c r="AB737" s="30"/>
      <c r="AC737" s="30"/>
      <c r="AJ737" s="158"/>
      <c r="AK737" s="158"/>
      <c r="AL737" s="158"/>
    </row>
    <row r="738" spans="1:38" ht="19" x14ac:dyDescent="0.25">
      <c r="B738" s="3"/>
      <c r="C738" s="3"/>
      <c r="D738" s="3"/>
      <c r="I738" s="19"/>
      <c r="M738" s="142"/>
      <c r="N738" s="142"/>
      <c r="O738" s="191"/>
      <c r="P738" s="191"/>
      <c r="Q738" s="191"/>
      <c r="R738" s="191"/>
      <c r="W738" s="221"/>
      <c r="X738" s="29"/>
      <c r="Y738" s="30"/>
      <c r="Z738" s="30"/>
      <c r="AA738" s="29"/>
      <c r="AB738" s="30"/>
      <c r="AC738" s="30"/>
      <c r="AJ738" s="39"/>
      <c r="AK738" s="39"/>
      <c r="AL738" s="39"/>
    </row>
    <row r="739" spans="1:38" ht="19" x14ac:dyDescent="0.25">
      <c r="A739" s="6"/>
      <c r="B739" s="3"/>
      <c r="C739" s="3"/>
      <c r="D739" s="3"/>
      <c r="I739" s="19"/>
      <c r="M739" s="142"/>
      <c r="N739" s="142"/>
      <c r="O739" s="191"/>
      <c r="P739" s="191"/>
      <c r="Q739" s="191"/>
      <c r="R739" s="191"/>
      <c r="W739" s="221"/>
      <c r="X739" s="29"/>
      <c r="Y739" s="30"/>
      <c r="Z739" s="30"/>
      <c r="AA739" s="29"/>
      <c r="AB739" s="30"/>
      <c r="AC739" s="30"/>
      <c r="AJ739" s="39"/>
      <c r="AK739" s="39"/>
      <c r="AL739" s="39"/>
    </row>
    <row r="740" spans="1:38" ht="19" x14ac:dyDescent="0.25">
      <c r="A740" s="3"/>
      <c r="B740" s="3"/>
      <c r="C740" s="3"/>
      <c r="D740" s="3"/>
      <c r="I740" s="19"/>
      <c r="M740" s="142"/>
      <c r="N740" s="142"/>
      <c r="O740" s="191"/>
      <c r="P740" s="191"/>
      <c r="Q740" s="191"/>
      <c r="R740" s="191"/>
      <c r="W740" s="221"/>
      <c r="X740" s="29"/>
      <c r="Y740" s="30"/>
      <c r="Z740" s="30"/>
      <c r="AA740" s="29"/>
      <c r="AB740" s="30"/>
      <c r="AC740" s="30"/>
      <c r="AJ740" s="39"/>
      <c r="AK740" s="39"/>
      <c r="AL740" s="39"/>
    </row>
    <row r="741" spans="1:38" ht="19" x14ac:dyDescent="0.25">
      <c r="A741" s="3"/>
      <c r="B741" s="3"/>
      <c r="C741" s="3"/>
      <c r="D741" s="3"/>
      <c r="I741" s="19"/>
      <c r="M741" s="142"/>
      <c r="N741" s="142"/>
      <c r="O741" s="191"/>
      <c r="P741" s="191"/>
      <c r="Q741" s="191"/>
      <c r="R741" s="191"/>
      <c r="W741" s="221"/>
      <c r="X741" s="29"/>
      <c r="Y741" s="30"/>
      <c r="Z741" s="30"/>
      <c r="AA741" s="29"/>
      <c r="AB741" s="30"/>
      <c r="AC741" s="30"/>
      <c r="AJ741" s="39"/>
      <c r="AK741" s="39"/>
      <c r="AL741" s="39"/>
    </row>
    <row r="742" spans="1:38" ht="19" x14ac:dyDescent="0.25">
      <c r="A742" s="3"/>
      <c r="B742" s="3"/>
      <c r="C742" s="3"/>
      <c r="D742" s="3"/>
      <c r="I742" s="19"/>
      <c r="M742" s="142"/>
      <c r="N742" s="142"/>
      <c r="O742" s="191"/>
      <c r="P742" s="191"/>
      <c r="Q742" s="191"/>
      <c r="R742" s="191"/>
      <c r="W742" s="221"/>
      <c r="X742" s="29"/>
      <c r="Y742" s="30"/>
      <c r="Z742" s="30"/>
      <c r="AA742" s="29"/>
      <c r="AB742" s="30"/>
      <c r="AC742" s="30"/>
      <c r="AJ742" s="39"/>
      <c r="AK742" s="39"/>
      <c r="AL742" s="39"/>
    </row>
    <row r="743" spans="1:38" ht="19" x14ac:dyDescent="0.25">
      <c r="A743" s="3"/>
      <c r="B743" s="3"/>
      <c r="C743" s="3"/>
      <c r="D743" s="3"/>
      <c r="I743" s="19"/>
      <c r="M743" s="142"/>
      <c r="N743" s="142"/>
      <c r="O743" s="191"/>
      <c r="P743" s="191"/>
      <c r="Q743" s="191"/>
      <c r="R743" s="191"/>
      <c r="W743" s="221"/>
      <c r="X743" s="29"/>
      <c r="Y743" s="30"/>
      <c r="Z743" s="30"/>
      <c r="AA743" s="29"/>
      <c r="AB743" s="30"/>
      <c r="AC743" s="30"/>
      <c r="AJ743" s="39"/>
      <c r="AK743" s="39"/>
      <c r="AL743" s="39"/>
    </row>
    <row r="744" spans="1:38" ht="19" x14ac:dyDescent="0.25">
      <c r="A744" s="3"/>
      <c r="B744" s="3"/>
      <c r="C744" s="3"/>
      <c r="D744" s="3"/>
      <c r="I744" s="19"/>
      <c r="M744" s="142"/>
      <c r="N744" s="142"/>
      <c r="O744" s="191"/>
      <c r="P744" s="191"/>
      <c r="Q744" s="191"/>
      <c r="R744" s="191"/>
      <c r="W744" s="221"/>
      <c r="X744" s="29"/>
      <c r="Y744" s="30"/>
      <c r="Z744" s="30"/>
      <c r="AA744" s="29"/>
      <c r="AB744" s="30"/>
      <c r="AC744" s="30"/>
      <c r="AJ744" s="39"/>
      <c r="AK744" s="39"/>
      <c r="AL744" s="39"/>
    </row>
    <row r="745" spans="1:38" x14ac:dyDescent="0.2">
      <c r="I745" s="19"/>
      <c r="X745" s="29"/>
      <c r="Y745" s="30"/>
      <c r="Z745" s="30"/>
      <c r="AA745" s="29"/>
      <c r="AB745" s="30"/>
      <c r="AC745" s="30"/>
    </row>
    <row r="746" spans="1:38" x14ac:dyDescent="0.2">
      <c r="I746" s="19"/>
      <c r="X746" s="29"/>
      <c r="Y746" s="30"/>
      <c r="Z746" s="30"/>
      <c r="AA746" s="29"/>
      <c r="AB746" s="30"/>
      <c r="AC746" s="30"/>
    </row>
    <row r="747" spans="1:38" x14ac:dyDescent="0.2">
      <c r="I747" s="19"/>
      <c r="X747" s="29"/>
      <c r="Y747" s="30"/>
      <c r="Z747" s="30"/>
      <c r="AA747" s="29"/>
      <c r="AB747" s="30"/>
      <c r="AC747" s="30"/>
    </row>
    <row r="748" spans="1:38" x14ac:dyDescent="0.2">
      <c r="E748"/>
      <c r="F748"/>
      <c r="G748"/>
      <c r="H748"/>
      <c r="I748" s="19"/>
      <c r="J748" s="139"/>
      <c r="K748" s="139"/>
      <c r="L748" s="139"/>
      <c r="W748" s="222"/>
      <c r="X748" s="29"/>
      <c r="Y748" s="30"/>
      <c r="Z748" s="30"/>
      <c r="AA748" s="29"/>
      <c r="AB748" s="30"/>
      <c r="AC748" s="30"/>
      <c r="AJ748"/>
      <c r="AK748"/>
      <c r="AL748"/>
    </row>
    <row r="749" spans="1:38" x14ac:dyDescent="0.2">
      <c r="E749"/>
      <c r="F749"/>
      <c r="G749"/>
      <c r="H749"/>
      <c r="I749" s="19"/>
      <c r="J749" s="139"/>
      <c r="K749" s="139"/>
      <c r="L749" s="139"/>
      <c r="W749" s="222"/>
      <c r="X749" s="29"/>
      <c r="Y749" s="30"/>
      <c r="Z749" s="30"/>
      <c r="AA749" s="29"/>
      <c r="AB749" s="30"/>
      <c r="AC749" s="30"/>
      <c r="AJ749"/>
      <c r="AK749"/>
      <c r="AL749"/>
    </row>
    <row r="750" spans="1:38" x14ac:dyDescent="0.2">
      <c r="E750"/>
      <c r="F750"/>
      <c r="G750"/>
      <c r="H750"/>
      <c r="I750" s="19"/>
      <c r="J750" s="139"/>
      <c r="K750" s="139"/>
      <c r="L750" s="139"/>
      <c r="W750" s="222"/>
      <c r="X750" s="29"/>
      <c r="Y750" s="30"/>
      <c r="Z750" s="30"/>
      <c r="AA750" s="29"/>
      <c r="AB750" s="30"/>
      <c r="AC750" s="30"/>
      <c r="AJ750"/>
      <c r="AK750"/>
      <c r="AL750"/>
    </row>
    <row r="751" spans="1:38" x14ac:dyDescent="0.2">
      <c r="E751"/>
      <c r="F751"/>
      <c r="G751"/>
      <c r="H751"/>
      <c r="I751" s="19"/>
      <c r="J751" s="139"/>
      <c r="K751" s="139"/>
      <c r="L751" s="139"/>
      <c r="W751" s="222"/>
      <c r="X751" s="29"/>
      <c r="Y751" s="30"/>
      <c r="Z751" s="30"/>
      <c r="AA751" s="29"/>
      <c r="AB751" s="30"/>
      <c r="AC751" s="30"/>
      <c r="AJ751"/>
      <c r="AK751"/>
      <c r="AL751"/>
    </row>
    <row r="752" spans="1:38" x14ac:dyDescent="0.2">
      <c r="E752"/>
      <c r="F752"/>
      <c r="G752"/>
      <c r="H752"/>
      <c r="I752" s="19"/>
      <c r="J752" s="139"/>
      <c r="K752" s="139"/>
      <c r="L752" s="139"/>
      <c r="W752" s="222"/>
      <c r="X752" s="29"/>
      <c r="Y752" s="30"/>
      <c r="Z752" s="30"/>
      <c r="AA752" s="29"/>
      <c r="AB752" s="30"/>
      <c r="AC752" s="30"/>
      <c r="AJ752"/>
      <c r="AK752"/>
      <c r="AL752"/>
    </row>
    <row r="753" spans="9:29" x14ac:dyDescent="0.2">
      <c r="I753" s="19"/>
      <c r="S753" s="375"/>
      <c r="T753" s="371"/>
      <c r="U753" s="371"/>
      <c r="V753" s="371"/>
      <c r="X753" s="29"/>
      <c r="Y753" s="30"/>
      <c r="Z753" s="30"/>
      <c r="AA753" s="29"/>
      <c r="AB753" s="30"/>
      <c r="AC753" s="30"/>
    </row>
    <row r="754" spans="9:29" x14ac:dyDescent="0.2">
      <c r="I754" s="19"/>
      <c r="S754" s="371"/>
      <c r="T754" s="371"/>
      <c r="U754" s="371"/>
      <c r="V754" s="371"/>
      <c r="X754" s="29"/>
      <c r="Y754" s="30"/>
      <c r="Z754" s="30"/>
      <c r="AA754" s="29"/>
      <c r="AB754" s="30"/>
      <c r="AC754" s="30"/>
    </row>
    <row r="755" spans="9:29" x14ac:dyDescent="0.2">
      <c r="I755" s="19"/>
      <c r="S755" s="371"/>
      <c r="T755" s="371"/>
      <c r="U755" s="371"/>
      <c r="V755" s="371"/>
      <c r="X755" s="29"/>
      <c r="Y755" s="30"/>
      <c r="Z755" s="30"/>
      <c r="AA755" s="29"/>
      <c r="AB755" s="30"/>
      <c r="AC755" s="30"/>
    </row>
    <row r="756" spans="9:29" x14ac:dyDescent="0.2">
      <c r="I756" s="19"/>
      <c r="S756" s="371"/>
      <c r="T756" s="371"/>
      <c r="U756" s="371"/>
      <c r="V756" s="371"/>
      <c r="X756" s="29"/>
      <c r="Y756" s="30"/>
      <c r="Z756" s="30"/>
      <c r="AA756" s="29"/>
      <c r="AB756" s="30"/>
      <c r="AC756" s="30"/>
    </row>
    <row r="757" spans="9:29" x14ac:dyDescent="0.2">
      <c r="I757" s="19"/>
      <c r="X757" s="29"/>
      <c r="Y757" s="30"/>
      <c r="Z757" s="30"/>
      <c r="AA757" s="29"/>
      <c r="AB757" s="30"/>
      <c r="AC757" s="30"/>
    </row>
    <row r="758" spans="9:29" x14ac:dyDescent="0.2">
      <c r="I758" s="19"/>
      <c r="X758" s="29"/>
      <c r="Y758" s="30"/>
      <c r="Z758" s="30"/>
      <c r="AA758" s="29"/>
      <c r="AB758" s="30"/>
      <c r="AC758" s="30"/>
    </row>
    <row r="759" spans="9:29" x14ac:dyDescent="0.2">
      <c r="I759" s="19"/>
      <c r="X759" s="29"/>
      <c r="Y759" s="30"/>
      <c r="Z759" s="30"/>
      <c r="AA759" s="29"/>
      <c r="AB759" s="30"/>
      <c r="AC759" s="30"/>
    </row>
    <row r="760" spans="9:29" x14ac:dyDescent="0.2">
      <c r="I760" s="19"/>
      <c r="X760" s="29"/>
      <c r="Y760" s="30"/>
      <c r="Z760" s="30"/>
      <c r="AA760" s="29"/>
      <c r="AB760" s="30"/>
      <c r="AC760" s="30"/>
    </row>
    <row r="761" spans="9:29" x14ac:dyDescent="0.2">
      <c r="I761" s="19"/>
      <c r="X761" s="29"/>
      <c r="Y761" s="30"/>
      <c r="Z761" s="30"/>
      <c r="AA761" s="29"/>
      <c r="AB761" s="30"/>
      <c r="AC761" s="30"/>
    </row>
    <row r="762" spans="9:29" x14ac:dyDescent="0.2">
      <c r="I762" s="19"/>
      <c r="X762" s="29"/>
      <c r="Y762" s="30"/>
      <c r="Z762" s="30"/>
      <c r="AA762" s="29"/>
      <c r="AB762" s="30"/>
      <c r="AC762" s="30"/>
    </row>
    <row r="763" spans="9:29" x14ac:dyDescent="0.2">
      <c r="I763" s="19"/>
      <c r="X763" s="29"/>
      <c r="Y763" s="30"/>
      <c r="Z763" s="30"/>
      <c r="AA763" s="29"/>
      <c r="AB763" s="30"/>
      <c r="AC763" s="30"/>
    </row>
    <row r="764" spans="9:29" x14ac:dyDescent="0.2">
      <c r="I764" s="19"/>
      <c r="X764" s="29"/>
      <c r="Y764" s="30"/>
      <c r="Z764" s="30"/>
      <c r="AA764" s="29"/>
      <c r="AB764" s="30"/>
      <c r="AC764" s="30"/>
    </row>
    <row r="765" spans="9:29" x14ac:dyDescent="0.2">
      <c r="I765" s="19"/>
      <c r="X765" s="29"/>
      <c r="Y765" s="30"/>
      <c r="Z765" s="30"/>
      <c r="AA765" s="29"/>
      <c r="AB765" s="30"/>
      <c r="AC765" s="30"/>
    </row>
    <row r="766" spans="9:29" x14ac:dyDescent="0.2">
      <c r="I766" s="19"/>
      <c r="X766" s="29"/>
      <c r="Y766" s="30"/>
      <c r="Z766" s="30"/>
      <c r="AA766" s="29"/>
      <c r="AB766" s="30"/>
      <c r="AC766" s="30"/>
    </row>
    <row r="767" spans="9:29" x14ac:dyDescent="0.2">
      <c r="I767" s="19"/>
      <c r="X767" s="29"/>
      <c r="Y767" s="30"/>
      <c r="Z767" s="30"/>
      <c r="AA767" s="29"/>
      <c r="AB767" s="30"/>
      <c r="AC767" s="30"/>
    </row>
    <row r="768" spans="9:29" x14ac:dyDescent="0.2">
      <c r="I768" s="19"/>
      <c r="X768" s="29"/>
      <c r="Y768" s="30"/>
      <c r="Z768" s="30"/>
      <c r="AA768" s="29"/>
      <c r="AB768" s="30"/>
      <c r="AC768" s="30"/>
    </row>
    <row r="769" spans="9:29" x14ac:dyDescent="0.2">
      <c r="I769" s="19"/>
      <c r="X769" s="29"/>
      <c r="Y769" s="30"/>
      <c r="Z769" s="30"/>
      <c r="AA769" s="29"/>
      <c r="AB769" s="30"/>
      <c r="AC769" s="30"/>
    </row>
    <row r="770" spans="9:29" x14ac:dyDescent="0.2">
      <c r="I770" s="19"/>
      <c r="X770" s="29"/>
      <c r="Y770" s="30"/>
      <c r="Z770" s="30"/>
      <c r="AA770" s="29"/>
      <c r="AB770" s="30"/>
      <c r="AC770" s="30"/>
    </row>
    <row r="771" spans="9:29" x14ac:dyDescent="0.2">
      <c r="I771" s="19"/>
      <c r="X771" s="29"/>
      <c r="Y771" s="30"/>
      <c r="Z771" s="30"/>
      <c r="AA771" s="29"/>
      <c r="AB771" s="30"/>
      <c r="AC771" s="30"/>
    </row>
    <row r="772" spans="9:29" x14ac:dyDescent="0.2">
      <c r="I772" s="19"/>
      <c r="X772" s="29"/>
      <c r="Y772" s="30"/>
      <c r="Z772" s="30"/>
      <c r="AA772" s="29"/>
      <c r="AB772" s="30"/>
      <c r="AC772" s="30"/>
    </row>
    <row r="773" spans="9:29" x14ac:dyDescent="0.2">
      <c r="I773" s="19"/>
      <c r="X773" s="29"/>
      <c r="Y773" s="30"/>
      <c r="Z773" s="30"/>
      <c r="AA773" s="29"/>
      <c r="AB773" s="30"/>
      <c r="AC773" s="30"/>
    </row>
    <row r="774" spans="9:29" x14ac:dyDescent="0.2">
      <c r="I774" s="19"/>
      <c r="X774" s="29"/>
      <c r="Y774" s="30"/>
      <c r="Z774" s="30"/>
      <c r="AA774" s="29"/>
      <c r="AB774" s="30"/>
      <c r="AC774" s="30"/>
    </row>
    <row r="775" spans="9:29" x14ac:dyDescent="0.2">
      <c r="I775" s="19"/>
      <c r="X775" s="29"/>
      <c r="Y775" s="30"/>
      <c r="Z775" s="30"/>
      <c r="AA775" s="29"/>
      <c r="AB775" s="30"/>
      <c r="AC775" s="30"/>
    </row>
    <row r="776" spans="9:29" x14ac:dyDescent="0.2">
      <c r="I776" s="19"/>
      <c r="X776" s="29"/>
      <c r="Y776" s="30"/>
      <c r="Z776" s="30"/>
      <c r="AA776" s="29"/>
      <c r="AB776" s="30"/>
      <c r="AC776" s="30"/>
    </row>
    <row r="777" spans="9:29" x14ac:dyDescent="0.2">
      <c r="I777" s="19"/>
      <c r="X777" s="29"/>
      <c r="Y777" s="30"/>
      <c r="Z777" s="30"/>
      <c r="AA777" s="29"/>
      <c r="AB777" s="30"/>
      <c r="AC777" s="30"/>
    </row>
    <row r="778" spans="9:29" x14ac:dyDescent="0.2">
      <c r="I778" s="19"/>
      <c r="X778" s="29"/>
      <c r="Y778" s="30"/>
      <c r="Z778" s="30"/>
      <c r="AA778" s="29"/>
      <c r="AB778" s="30"/>
      <c r="AC778" s="30"/>
    </row>
    <row r="779" spans="9:29" x14ac:dyDescent="0.2">
      <c r="I779" s="19"/>
      <c r="X779" s="29"/>
      <c r="Y779" s="30"/>
      <c r="Z779" s="30"/>
      <c r="AA779" s="29"/>
      <c r="AB779" s="30"/>
      <c r="AC779" s="30"/>
    </row>
    <row r="780" spans="9:29" x14ac:dyDescent="0.2">
      <c r="I780" s="19"/>
      <c r="X780" s="29"/>
      <c r="Y780" s="30"/>
      <c r="Z780" s="30"/>
      <c r="AA780" s="29"/>
      <c r="AB780" s="30"/>
      <c r="AC780" s="30"/>
    </row>
    <row r="781" spans="9:29" x14ac:dyDescent="0.2">
      <c r="I781" s="19"/>
      <c r="X781" s="29"/>
      <c r="Y781" s="30"/>
      <c r="Z781" s="30"/>
      <c r="AA781" s="29"/>
      <c r="AB781" s="30"/>
      <c r="AC781" s="30"/>
    </row>
    <row r="782" spans="9:29" x14ac:dyDescent="0.2">
      <c r="I782" s="19"/>
      <c r="X782" s="29"/>
      <c r="Y782" s="30"/>
      <c r="Z782" s="30"/>
      <c r="AA782" s="29"/>
      <c r="AB782" s="30"/>
      <c r="AC782" s="30"/>
    </row>
    <row r="783" spans="9:29" x14ac:dyDescent="0.2">
      <c r="I783" s="19"/>
      <c r="X783" s="29"/>
      <c r="Y783" s="30"/>
      <c r="Z783" s="30"/>
      <c r="AA783" s="29"/>
      <c r="AB783" s="30"/>
      <c r="AC783" s="30"/>
    </row>
    <row r="784" spans="9:29" x14ac:dyDescent="0.2">
      <c r="I784" s="19"/>
      <c r="X784" s="29"/>
      <c r="Y784" s="30"/>
      <c r="Z784" s="30"/>
      <c r="AA784" s="29"/>
      <c r="AB784" s="30"/>
      <c r="AC784" s="30"/>
    </row>
    <row r="785" spans="9:29" x14ac:dyDescent="0.2">
      <c r="I785" s="19"/>
      <c r="X785" s="29"/>
      <c r="Y785" s="30"/>
      <c r="Z785" s="30"/>
      <c r="AA785" s="29"/>
      <c r="AB785" s="30"/>
      <c r="AC785" s="30"/>
    </row>
    <row r="786" spans="9:29" x14ac:dyDescent="0.2">
      <c r="I786" s="19"/>
      <c r="X786" s="29"/>
      <c r="Y786" s="30"/>
      <c r="Z786" s="30"/>
      <c r="AA786" s="29"/>
      <c r="AB786" s="30"/>
      <c r="AC786" s="30"/>
    </row>
    <row r="787" spans="9:29" x14ac:dyDescent="0.2">
      <c r="I787" s="19"/>
      <c r="X787" s="29"/>
      <c r="Y787" s="30"/>
      <c r="Z787" s="30"/>
      <c r="AA787" s="29"/>
      <c r="AB787" s="30"/>
      <c r="AC787" s="30"/>
    </row>
    <row r="788" spans="9:29" x14ac:dyDescent="0.2">
      <c r="I788" s="19"/>
      <c r="S788" s="372"/>
      <c r="T788" s="371"/>
      <c r="U788" s="371"/>
      <c r="V788" s="371"/>
      <c r="X788" s="29"/>
      <c r="Y788" s="30"/>
      <c r="Z788" s="30"/>
      <c r="AA788" s="29"/>
      <c r="AB788" s="30"/>
      <c r="AC788" s="30"/>
    </row>
    <row r="789" spans="9:29" x14ac:dyDescent="0.2">
      <c r="I789" s="19"/>
      <c r="X789" s="29"/>
      <c r="Y789" s="30"/>
      <c r="Z789" s="30"/>
      <c r="AA789" s="29"/>
      <c r="AB789" s="30"/>
      <c r="AC789" s="30"/>
    </row>
    <row r="790" spans="9:29" x14ac:dyDescent="0.2">
      <c r="I790" s="19"/>
      <c r="X790" s="29"/>
      <c r="Y790" s="30"/>
      <c r="Z790" s="30"/>
      <c r="AA790" s="29"/>
      <c r="AB790" s="30"/>
      <c r="AC790" s="30"/>
    </row>
    <row r="791" spans="9:29" x14ac:dyDescent="0.2">
      <c r="I791" s="19"/>
      <c r="X791" s="29"/>
      <c r="Y791" s="30"/>
      <c r="Z791" s="30"/>
      <c r="AA791" s="29"/>
      <c r="AB791" s="30"/>
      <c r="AC791" s="30"/>
    </row>
    <row r="792" spans="9:29" x14ac:dyDescent="0.2">
      <c r="I792" s="19"/>
      <c r="X792" s="29"/>
      <c r="Y792" s="30"/>
      <c r="Z792" s="30"/>
      <c r="AA792" s="29"/>
      <c r="AB792" s="30"/>
      <c r="AC792" s="30"/>
    </row>
    <row r="793" spans="9:29" x14ac:dyDescent="0.2">
      <c r="I793" s="19"/>
      <c r="X793" s="29"/>
      <c r="Y793" s="30"/>
      <c r="Z793" s="30"/>
      <c r="AA793" s="29"/>
      <c r="AB793" s="30"/>
      <c r="AC793" s="30"/>
    </row>
    <row r="794" spans="9:29" x14ac:dyDescent="0.2">
      <c r="I794" s="19"/>
      <c r="X794" s="29"/>
      <c r="Y794" s="30"/>
      <c r="Z794" s="30"/>
      <c r="AA794" s="29"/>
      <c r="AB794" s="30"/>
      <c r="AC794" s="30"/>
    </row>
    <row r="795" spans="9:29" x14ac:dyDescent="0.2">
      <c r="I795" s="19"/>
      <c r="X795" s="29"/>
      <c r="Y795" s="30"/>
      <c r="Z795" s="30"/>
      <c r="AA795" s="29"/>
      <c r="AB795" s="30"/>
      <c r="AC795" s="30"/>
    </row>
    <row r="796" spans="9:29" x14ac:dyDescent="0.2">
      <c r="I796" s="19"/>
      <c r="X796" s="29"/>
      <c r="Y796" s="30"/>
      <c r="Z796" s="30"/>
      <c r="AA796" s="29"/>
      <c r="AB796" s="30"/>
      <c r="AC796" s="30"/>
    </row>
    <row r="797" spans="9:29" x14ac:dyDescent="0.2">
      <c r="I797" s="19"/>
      <c r="X797" s="29"/>
      <c r="Y797" s="30"/>
      <c r="Z797" s="30"/>
      <c r="AA797" s="29"/>
      <c r="AB797" s="30"/>
      <c r="AC797" s="30"/>
    </row>
    <row r="798" spans="9:29" x14ac:dyDescent="0.2">
      <c r="I798" s="19"/>
      <c r="X798" s="29"/>
      <c r="Y798" s="30"/>
      <c r="Z798" s="30"/>
      <c r="AA798" s="29"/>
      <c r="AB798" s="30"/>
      <c r="AC798" s="30"/>
    </row>
    <row r="799" spans="9:29" x14ac:dyDescent="0.2">
      <c r="I799" s="19"/>
      <c r="X799" s="29"/>
      <c r="Y799" s="30"/>
      <c r="Z799" s="30"/>
      <c r="AA799" s="29"/>
      <c r="AB799" s="30"/>
      <c r="AC799" s="30"/>
    </row>
    <row r="800" spans="9:29" x14ac:dyDescent="0.2">
      <c r="I800" s="55"/>
      <c r="X800" s="56"/>
      <c r="Y800" s="57"/>
      <c r="Z800" s="57"/>
      <c r="AA800" s="56"/>
      <c r="AB800" s="57"/>
      <c r="AC800" s="57"/>
    </row>
    <row r="801" spans="9:29" x14ac:dyDescent="0.2">
      <c r="I801" s="55"/>
      <c r="X801" s="115"/>
      <c r="Y801" s="116"/>
      <c r="Z801" s="116"/>
      <c r="AA801" s="115"/>
      <c r="AB801" s="116"/>
      <c r="AC801" s="116"/>
    </row>
    <row r="802" spans="9:29" x14ac:dyDescent="0.2">
      <c r="I802" s="55"/>
      <c r="X802" s="115"/>
      <c r="Y802" s="116"/>
      <c r="Z802" s="116"/>
      <c r="AA802" s="115"/>
      <c r="AB802" s="116"/>
      <c r="AC802" s="116"/>
    </row>
    <row r="803" spans="9:29" x14ac:dyDescent="0.2">
      <c r="I803" s="19"/>
      <c r="X803" s="33"/>
      <c r="Y803" s="34"/>
      <c r="Z803" s="34"/>
      <c r="AA803" s="33"/>
      <c r="AB803" s="34"/>
      <c r="AC803" s="34"/>
    </row>
    <row r="804" spans="9:29" x14ac:dyDescent="0.2">
      <c r="I804" s="19"/>
      <c r="X804" s="29"/>
      <c r="Y804" s="30"/>
      <c r="Z804" s="30"/>
      <c r="AA804" s="29"/>
      <c r="AB804" s="30"/>
      <c r="AC804" s="30"/>
    </row>
    <row r="805" spans="9:29" x14ac:dyDescent="0.2">
      <c r="I805" s="19"/>
      <c r="X805" s="29"/>
      <c r="Y805" s="30"/>
      <c r="Z805" s="30"/>
      <c r="AA805" s="29"/>
      <c r="AB805" s="30"/>
      <c r="AC805" s="30"/>
    </row>
    <row r="806" spans="9:29" x14ac:dyDescent="0.2">
      <c r="I806" s="19"/>
      <c r="X806" s="29"/>
      <c r="Y806" s="30"/>
      <c r="Z806" s="30"/>
      <c r="AA806" s="29"/>
      <c r="AB806" s="30"/>
      <c r="AC806" s="30"/>
    </row>
    <row r="807" spans="9:29" x14ac:dyDescent="0.2">
      <c r="I807" s="19"/>
      <c r="X807" s="29"/>
      <c r="Y807" s="30"/>
      <c r="Z807" s="30"/>
      <c r="AA807" s="29"/>
      <c r="AB807" s="30"/>
      <c r="AC807" s="30"/>
    </row>
    <row r="808" spans="9:29" x14ac:dyDescent="0.2">
      <c r="I808" s="19"/>
      <c r="X808" s="29"/>
      <c r="Y808" s="30"/>
      <c r="Z808" s="30"/>
      <c r="AA808" s="29"/>
      <c r="AB808" s="30"/>
      <c r="AC808" s="30"/>
    </row>
    <row r="809" spans="9:29" x14ac:dyDescent="0.2">
      <c r="I809" s="19"/>
      <c r="X809" s="29"/>
      <c r="Y809" s="30"/>
      <c r="Z809" s="30"/>
      <c r="AA809" s="29"/>
      <c r="AB809" s="30"/>
      <c r="AC809" s="30"/>
    </row>
    <row r="810" spans="9:29" x14ac:dyDescent="0.2">
      <c r="I810" s="19"/>
      <c r="X810" s="29"/>
      <c r="Y810" s="30"/>
      <c r="Z810" s="30"/>
      <c r="AA810" s="29"/>
      <c r="AB810" s="30"/>
      <c r="AC810" s="30"/>
    </row>
    <row r="811" spans="9:29" x14ac:dyDescent="0.2">
      <c r="I811" s="19"/>
      <c r="X811" s="29"/>
      <c r="Y811" s="30"/>
      <c r="Z811" s="30"/>
      <c r="AA811" s="29"/>
      <c r="AB811" s="30"/>
      <c r="AC811" s="30"/>
    </row>
    <row r="812" spans="9:29" x14ac:dyDescent="0.2">
      <c r="I812" s="19"/>
      <c r="X812" s="35"/>
      <c r="Y812" s="36"/>
      <c r="Z812" s="36"/>
      <c r="AA812" s="35"/>
      <c r="AB812" s="36"/>
      <c r="AC812" s="36"/>
    </row>
    <row r="813" spans="9:29" x14ac:dyDescent="0.2">
      <c r="I813" s="19"/>
      <c r="X813" s="29"/>
      <c r="Y813" s="30"/>
      <c r="Z813" s="30"/>
      <c r="AA813" s="29"/>
      <c r="AB813" s="30"/>
      <c r="AC813" s="30"/>
    </row>
    <row r="814" spans="9:29" ht="19" x14ac:dyDescent="0.25">
      <c r="I814" s="4"/>
      <c r="X814" s="17"/>
      <c r="Y814" s="5"/>
      <c r="Z814" s="5"/>
      <c r="AA814" s="17"/>
      <c r="AB814" s="5"/>
      <c r="AC814" s="5"/>
    </row>
    <row r="815" spans="9:29" ht="19" x14ac:dyDescent="0.25">
      <c r="I815" s="4"/>
      <c r="X815" s="17"/>
      <c r="Y815" s="5"/>
      <c r="Z815" s="5"/>
      <c r="AA815" s="17"/>
      <c r="AB815" s="5"/>
      <c r="AC815" s="5"/>
    </row>
    <row r="816" spans="9:29" ht="19" x14ac:dyDescent="0.25">
      <c r="I816" s="4"/>
      <c r="X816" s="17"/>
      <c r="Y816" s="5"/>
      <c r="Z816" s="5"/>
      <c r="AA816" s="17"/>
      <c r="AB816" s="5"/>
      <c r="AC816" s="5"/>
    </row>
    <row r="817" spans="9:29" ht="19" x14ac:dyDescent="0.25">
      <c r="I817" s="4"/>
      <c r="X817" s="17"/>
      <c r="Y817" s="5"/>
      <c r="Z817" s="5"/>
      <c r="AA817" s="17"/>
      <c r="AB817" s="5"/>
      <c r="AC817" s="5"/>
    </row>
    <row r="818" spans="9:29" ht="19" x14ac:dyDescent="0.25">
      <c r="I818" s="4"/>
      <c r="S818" s="375"/>
      <c r="T818" s="371"/>
      <c r="U818" s="371"/>
      <c r="V818" s="371"/>
      <c r="X818" s="17"/>
      <c r="Y818" s="5"/>
      <c r="Z818" s="5"/>
      <c r="AA818" s="17"/>
      <c r="AB818" s="5"/>
      <c r="AC818" s="5"/>
    </row>
    <row r="819" spans="9:29" ht="19" x14ac:dyDescent="0.25">
      <c r="I819" s="4"/>
      <c r="X819" s="17"/>
      <c r="Y819" s="5"/>
      <c r="Z819" s="5"/>
      <c r="AA819" s="17"/>
      <c r="AB819" s="5"/>
      <c r="AC819" s="5"/>
    </row>
    <row r="820" spans="9:29" ht="19" x14ac:dyDescent="0.25">
      <c r="I820" s="4"/>
      <c r="X820" s="17"/>
      <c r="Y820" s="5"/>
      <c r="Z820" s="5"/>
      <c r="AA820" s="17"/>
      <c r="AB820" s="5"/>
      <c r="AC820" s="5"/>
    </row>
    <row r="821" spans="9:29" ht="19" x14ac:dyDescent="0.25">
      <c r="I821" s="4"/>
      <c r="X821" s="17"/>
      <c r="Y821" s="5"/>
      <c r="Z821" s="5"/>
      <c r="AA821" s="17"/>
      <c r="AB821" s="5"/>
      <c r="AC821" s="5"/>
    </row>
    <row r="829" spans="9:29" x14ac:dyDescent="0.2">
      <c r="Y829" t="s">
        <v>852</v>
      </c>
      <c r="Z829" t="s">
        <v>852</v>
      </c>
      <c r="AB829" t="s">
        <v>852</v>
      </c>
      <c r="AC829" t="s">
        <v>852</v>
      </c>
    </row>
    <row r="873" spans="19:22" x14ac:dyDescent="0.2">
      <c r="S873" s="372"/>
      <c r="T873" s="371"/>
      <c r="U873" s="371"/>
      <c r="V873" s="371"/>
    </row>
    <row r="874" spans="19:22" x14ac:dyDescent="0.2">
      <c r="S874" s="371"/>
      <c r="T874" s="371"/>
      <c r="U874" s="371"/>
      <c r="V874" s="371"/>
    </row>
    <row r="875" spans="19:22" x14ac:dyDescent="0.2">
      <c r="S875" s="371"/>
      <c r="T875" s="371"/>
      <c r="U875" s="371"/>
      <c r="V875" s="371"/>
    </row>
    <row r="876" spans="19:22" x14ac:dyDescent="0.2">
      <c r="S876" s="371"/>
      <c r="T876" s="371"/>
      <c r="U876" s="371"/>
      <c r="V876" s="371"/>
    </row>
    <row r="877" spans="19:22" x14ac:dyDescent="0.2">
      <c r="S877" s="371"/>
      <c r="T877" s="371"/>
      <c r="U877" s="371"/>
      <c r="V877" s="371"/>
    </row>
    <row r="878" spans="19:22" x14ac:dyDescent="0.2">
      <c r="S878" s="371"/>
      <c r="T878" s="371"/>
      <c r="U878" s="371"/>
      <c r="V878" s="371"/>
    </row>
    <row r="879" spans="19:22" x14ac:dyDescent="0.2">
      <c r="S879" s="371"/>
      <c r="T879" s="371"/>
      <c r="U879" s="371"/>
      <c r="V879" s="371"/>
    </row>
    <row r="880" spans="19:22" x14ac:dyDescent="0.2">
      <c r="S880" s="371"/>
      <c r="T880" s="371"/>
      <c r="U880" s="371"/>
      <c r="V880" s="371"/>
    </row>
    <row r="881" spans="19:22" x14ac:dyDescent="0.2">
      <c r="S881" s="371"/>
      <c r="T881" s="371"/>
      <c r="U881" s="371"/>
      <c r="V881" s="371"/>
    </row>
    <row r="882" spans="19:22" x14ac:dyDescent="0.2">
      <c r="S882" s="371"/>
      <c r="T882" s="371"/>
      <c r="U882" s="371"/>
      <c r="V882" s="371"/>
    </row>
    <row r="883" spans="19:22" x14ac:dyDescent="0.2">
      <c r="S883" s="371"/>
      <c r="T883" s="371"/>
      <c r="U883" s="371"/>
      <c r="V883" s="371"/>
    </row>
    <row r="884" spans="19:22" x14ac:dyDescent="0.2">
      <c r="S884" s="371"/>
      <c r="T884" s="371"/>
      <c r="U884" s="371"/>
      <c r="V884" s="371"/>
    </row>
    <row r="885" spans="19:22" x14ac:dyDescent="0.2">
      <c r="S885" s="375"/>
      <c r="T885" s="371"/>
      <c r="U885" s="371"/>
      <c r="V885" s="371"/>
    </row>
    <row r="886" spans="19:22" x14ac:dyDescent="0.2">
      <c r="S886" s="371"/>
      <c r="T886" s="371"/>
      <c r="U886" s="371"/>
      <c r="V886" s="371"/>
    </row>
    <row r="887" spans="19:22" x14ac:dyDescent="0.2">
      <c r="S887" s="371"/>
      <c r="T887" s="371"/>
      <c r="U887" s="371"/>
      <c r="V887" s="371"/>
    </row>
    <row r="888" spans="19:22" x14ac:dyDescent="0.2">
      <c r="S888" s="371"/>
      <c r="T888" s="371"/>
      <c r="U888" s="371"/>
      <c r="V888" s="371"/>
    </row>
    <row r="889" spans="19:22" x14ac:dyDescent="0.2">
      <c r="S889" s="371"/>
      <c r="T889" s="371"/>
      <c r="U889" s="371"/>
      <c r="V889" s="371"/>
    </row>
    <row r="890" spans="19:22" x14ac:dyDescent="0.2">
      <c r="S890" s="371"/>
      <c r="T890" s="371"/>
      <c r="U890" s="371"/>
      <c r="V890" s="371"/>
    </row>
    <row r="891" spans="19:22" x14ac:dyDescent="0.2">
      <c r="S891" s="371"/>
      <c r="T891" s="371"/>
      <c r="U891" s="371"/>
      <c r="V891" s="371"/>
    </row>
    <row r="892" spans="19:22" x14ac:dyDescent="0.2">
      <c r="S892" s="371"/>
      <c r="T892" s="371"/>
      <c r="U892" s="371"/>
      <c r="V892" s="371"/>
    </row>
    <row r="893" spans="19:22" x14ac:dyDescent="0.2">
      <c r="S893" s="371"/>
      <c r="T893" s="371"/>
      <c r="U893" s="371"/>
      <c r="V893" s="371"/>
    </row>
    <row r="894" spans="19:22" x14ac:dyDescent="0.2">
      <c r="S894" s="371"/>
      <c r="T894" s="371"/>
      <c r="U894" s="371"/>
      <c r="V894" s="371"/>
    </row>
    <row r="895" spans="19:22" x14ac:dyDescent="0.2">
      <c r="S895" s="371"/>
      <c r="T895" s="371"/>
      <c r="U895" s="371"/>
      <c r="V895" s="371"/>
    </row>
    <row r="896" spans="19:22" x14ac:dyDescent="0.2">
      <c r="S896" s="371"/>
      <c r="T896" s="371"/>
      <c r="U896" s="371"/>
      <c r="V896" s="371"/>
    </row>
    <row r="897" spans="19:22" x14ac:dyDescent="0.2">
      <c r="S897" s="371"/>
      <c r="T897" s="371"/>
      <c r="U897" s="371"/>
      <c r="V897" s="371"/>
    </row>
    <row r="898" spans="19:22" x14ac:dyDescent="0.2">
      <c r="S898" s="371"/>
      <c r="T898" s="371"/>
      <c r="U898" s="371"/>
      <c r="V898" s="371"/>
    </row>
    <row r="899" spans="19:22" x14ac:dyDescent="0.2">
      <c r="S899" s="371"/>
      <c r="T899" s="371"/>
      <c r="U899" s="371"/>
      <c r="V899" s="371"/>
    </row>
    <row r="900" spans="19:22" x14ac:dyDescent="0.2">
      <c r="S900" s="371"/>
      <c r="T900" s="371"/>
      <c r="U900" s="371"/>
      <c r="V900" s="371"/>
    </row>
    <row r="901" spans="19:22" x14ac:dyDescent="0.2">
      <c r="S901" s="371"/>
      <c r="T901" s="371"/>
      <c r="U901" s="371"/>
      <c r="V901" s="371"/>
    </row>
    <row r="902" spans="19:22" x14ac:dyDescent="0.2">
      <c r="S902" s="371"/>
      <c r="T902" s="371"/>
      <c r="U902" s="371"/>
      <c r="V902" s="371"/>
    </row>
    <row r="903" spans="19:22" x14ac:dyDescent="0.2">
      <c r="S903" s="371"/>
      <c r="T903" s="371"/>
      <c r="U903" s="371"/>
      <c r="V903" s="371"/>
    </row>
    <row r="904" spans="19:22" x14ac:dyDescent="0.2">
      <c r="S904" s="371"/>
      <c r="T904" s="371"/>
      <c r="U904" s="371"/>
      <c r="V904" s="371"/>
    </row>
    <row r="905" spans="19:22" x14ac:dyDescent="0.2">
      <c r="S905" s="371"/>
      <c r="T905" s="371"/>
      <c r="U905" s="371"/>
      <c r="V905" s="371"/>
    </row>
    <row r="906" spans="19:22" x14ac:dyDescent="0.2">
      <c r="S906" s="371"/>
      <c r="T906" s="371"/>
      <c r="U906" s="371"/>
      <c r="V906" s="371"/>
    </row>
    <row r="907" spans="19:22" x14ac:dyDescent="0.2">
      <c r="S907" s="371"/>
      <c r="T907" s="371"/>
      <c r="U907" s="371"/>
      <c r="V907" s="371"/>
    </row>
    <row r="908" spans="19:22" x14ac:dyDescent="0.2">
      <c r="S908" s="371"/>
      <c r="T908" s="371"/>
      <c r="U908" s="371"/>
      <c r="V908" s="371"/>
    </row>
    <row r="909" spans="19:22" x14ac:dyDescent="0.2">
      <c r="S909" s="371"/>
      <c r="T909" s="371"/>
      <c r="U909" s="371"/>
      <c r="V909" s="371"/>
    </row>
    <row r="931" spans="19:22" x14ac:dyDescent="0.2">
      <c r="S931" s="372"/>
      <c r="T931" s="371"/>
      <c r="U931" s="371"/>
      <c r="V931" s="371"/>
    </row>
    <row r="932" spans="19:22" x14ac:dyDescent="0.2">
      <c r="S932" s="371"/>
      <c r="T932" s="371"/>
      <c r="U932" s="371"/>
      <c r="V932" s="371"/>
    </row>
    <row r="933" spans="19:22" x14ac:dyDescent="0.2">
      <c r="S933" s="371"/>
      <c r="T933" s="371"/>
      <c r="U933" s="371"/>
      <c r="V933" s="371"/>
    </row>
    <row r="934" spans="19:22" x14ac:dyDescent="0.2">
      <c r="S934" s="371"/>
      <c r="T934" s="371"/>
      <c r="U934" s="371"/>
      <c r="V934" s="371"/>
    </row>
    <row r="935" spans="19:22" x14ac:dyDescent="0.2">
      <c r="S935" s="371"/>
      <c r="T935" s="371"/>
      <c r="U935" s="371"/>
      <c r="V935" s="371"/>
    </row>
    <row r="936" spans="19:22" x14ac:dyDescent="0.2">
      <c r="S936" s="371"/>
      <c r="T936" s="371"/>
      <c r="U936" s="371"/>
      <c r="V936" s="371"/>
    </row>
    <row r="937" spans="19:22" x14ac:dyDescent="0.2">
      <c r="S937" s="371"/>
      <c r="T937" s="371"/>
      <c r="U937" s="371"/>
      <c r="V937" s="371"/>
    </row>
    <row r="938" spans="19:22" x14ac:dyDescent="0.2">
      <c r="S938" s="371"/>
      <c r="T938" s="371"/>
      <c r="U938" s="371"/>
      <c r="V938" s="371"/>
    </row>
    <row r="947" spans="19:22" x14ac:dyDescent="0.2">
      <c r="S947" s="371"/>
      <c r="T947" s="371"/>
      <c r="U947" s="371"/>
      <c r="V947" s="371"/>
    </row>
    <row r="955" spans="19:22" x14ac:dyDescent="0.2">
      <c r="S955" s="371"/>
      <c r="T955" s="371"/>
      <c r="U955" s="371"/>
      <c r="V955" s="371"/>
    </row>
    <row r="956" spans="19:22" x14ac:dyDescent="0.2">
      <c r="S956" s="371"/>
      <c r="T956" s="371"/>
      <c r="U956" s="371"/>
      <c r="V956" s="371"/>
    </row>
    <row r="957" spans="19:22" x14ac:dyDescent="0.2">
      <c r="S957" s="371"/>
      <c r="T957" s="371"/>
      <c r="U957" s="371"/>
      <c r="V957" s="371"/>
    </row>
    <row r="958" spans="19:22" x14ac:dyDescent="0.2">
      <c r="S958" s="371"/>
      <c r="T958" s="371"/>
      <c r="U958" s="371"/>
      <c r="V958" s="371"/>
    </row>
    <row r="959" spans="19:22" x14ac:dyDescent="0.2">
      <c r="S959" s="371"/>
      <c r="T959" s="371"/>
      <c r="U959" s="371"/>
      <c r="V959" s="371"/>
    </row>
    <row r="960" spans="19:22" x14ac:dyDescent="0.2">
      <c r="S960" s="371"/>
      <c r="T960" s="371"/>
      <c r="U960" s="371"/>
      <c r="V960" s="371"/>
    </row>
    <row r="961" spans="19:22" x14ac:dyDescent="0.2">
      <c r="S961" s="371"/>
      <c r="T961" s="371"/>
      <c r="U961" s="371"/>
      <c r="V961" s="371"/>
    </row>
    <row r="962" spans="19:22" x14ac:dyDescent="0.2">
      <c r="S962" s="371"/>
      <c r="T962" s="371"/>
      <c r="U962" s="371"/>
      <c r="V962" s="371"/>
    </row>
    <row r="963" spans="19:22" x14ac:dyDescent="0.2">
      <c r="S963" s="371"/>
      <c r="T963" s="371"/>
      <c r="U963" s="371"/>
      <c r="V963" s="371"/>
    </row>
    <row r="964" spans="19:22" x14ac:dyDescent="0.2">
      <c r="S964" s="371"/>
      <c r="T964" s="371"/>
      <c r="U964" s="371"/>
      <c r="V964" s="371"/>
    </row>
    <row r="965" spans="19:22" x14ac:dyDescent="0.2">
      <c r="S965" s="371"/>
      <c r="T965" s="371"/>
      <c r="U965" s="371"/>
      <c r="V965" s="371"/>
    </row>
    <row r="966" spans="19:22" x14ac:dyDescent="0.2">
      <c r="S966" s="371"/>
      <c r="T966" s="371"/>
      <c r="U966" s="371"/>
      <c r="V966" s="371"/>
    </row>
    <row r="967" spans="19:22" x14ac:dyDescent="0.2">
      <c r="S967" s="371"/>
      <c r="T967" s="371"/>
      <c r="U967" s="371"/>
      <c r="V967" s="371"/>
    </row>
    <row r="968" spans="19:22" x14ac:dyDescent="0.2">
      <c r="S968" s="371"/>
      <c r="T968" s="371"/>
      <c r="U968" s="371"/>
      <c r="V968" s="371"/>
    </row>
    <row r="969" spans="19:22" x14ac:dyDescent="0.2">
      <c r="S969" s="371"/>
      <c r="T969" s="371"/>
      <c r="U969" s="371"/>
      <c r="V969" s="371"/>
    </row>
    <row r="977" spans="19:22" x14ac:dyDescent="0.2">
      <c r="S977" s="371"/>
      <c r="T977" s="371"/>
      <c r="U977" s="371"/>
      <c r="V977" s="371"/>
    </row>
    <row r="978" spans="19:22" x14ac:dyDescent="0.2">
      <c r="S978" s="371"/>
      <c r="T978" s="371"/>
      <c r="U978" s="371"/>
      <c r="V978" s="371"/>
    </row>
    <row r="979" spans="19:22" x14ac:dyDescent="0.2">
      <c r="S979" s="371"/>
      <c r="T979" s="371"/>
      <c r="U979" s="371"/>
      <c r="V979" s="371"/>
    </row>
    <row r="980" spans="19:22" x14ac:dyDescent="0.2">
      <c r="S980" s="371"/>
      <c r="T980" s="371"/>
      <c r="U980" s="371"/>
      <c r="V980" s="371"/>
    </row>
    <row r="981" spans="19:22" x14ac:dyDescent="0.2">
      <c r="S981" s="371"/>
      <c r="T981" s="371"/>
      <c r="U981" s="371"/>
      <c r="V981" s="371"/>
    </row>
    <row r="982" spans="19:22" x14ac:dyDescent="0.2">
      <c r="S982" s="371"/>
      <c r="T982" s="371"/>
      <c r="U982" s="371"/>
      <c r="V982" s="371"/>
    </row>
    <row r="993" spans="19:22" x14ac:dyDescent="0.2">
      <c r="S993" s="371"/>
      <c r="T993" s="371"/>
      <c r="U993" s="371"/>
      <c r="V993" s="371"/>
    </row>
    <row r="994" spans="19:22" x14ac:dyDescent="0.2">
      <c r="S994" s="371"/>
      <c r="T994" s="371"/>
      <c r="U994" s="371"/>
      <c r="V994" s="371"/>
    </row>
    <row r="995" spans="19:22" x14ac:dyDescent="0.2">
      <c r="S995" s="371"/>
      <c r="T995" s="371"/>
      <c r="U995" s="371"/>
      <c r="V995" s="371"/>
    </row>
    <row r="996" spans="19:22" x14ac:dyDescent="0.2">
      <c r="S996" s="371"/>
      <c r="T996" s="371"/>
      <c r="U996" s="371"/>
      <c r="V996" s="371"/>
    </row>
    <row r="997" spans="19:22" x14ac:dyDescent="0.2">
      <c r="S997" s="371"/>
      <c r="T997" s="371"/>
      <c r="U997" s="371"/>
      <c r="V997" s="371"/>
    </row>
    <row r="998" spans="19:22" x14ac:dyDescent="0.2">
      <c r="S998" s="371"/>
      <c r="T998" s="371"/>
      <c r="U998" s="371"/>
      <c r="V998" s="371"/>
    </row>
    <row r="999" spans="19:22" x14ac:dyDescent="0.2">
      <c r="S999" s="371"/>
      <c r="T999" s="371"/>
      <c r="U999" s="371"/>
      <c r="V999" s="371"/>
    </row>
    <row r="1000" spans="19:22" x14ac:dyDescent="0.2">
      <c r="S1000" s="371"/>
      <c r="T1000" s="371"/>
      <c r="U1000" s="371"/>
      <c r="V1000" s="371"/>
    </row>
    <row r="1001" spans="19:22" x14ac:dyDescent="0.2">
      <c r="S1001" s="371"/>
      <c r="T1001" s="371"/>
      <c r="U1001" s="371"/>
      <c r="V1001" s="371"/>
    </row>
    <row r="1002" spans="19:22" x14ac:dyDescent="0.2">
      <c r="S1002" s="371"/>
      <c r="T1002" s="371"/>
      <c r="U1002" s="371"/>
      <c r="V1002" s="371"/>
    </row>
    <row r="1003" spans="19:22" x14ac:dyDescent="0.2">
      <c r="S1003" s="371"/>
      <c r="T1003" s="371"/>
      <c r="U1003" s="371"/>
      <c r="V1003" s="371"/>
    </row>
    <row r="1004" spans="19:22" x14ac:dyDescent="0.2">
      <c r="S1004" s="371"/>
      <c r="T1004" s="371"/>
      <c r="U1004" s="371"/>
      <c r="V1004" s="371"/>
    </row>
    <row r="1005" spans="19:22" x14ac:dyDescent="0.2">
      <c r="S1005" s="371"/>
      <c r="T1005" s="371"/>
      <c r="U1005" s="371"/>
      <c r="V1005" s="371"/>
    </row>
    <row r="1006" spans="19:22" x14ac:dyDescent="0.2">
      <c r="S1006" s="371"/>
      <c r="T1006" s="371"/>
      <c r="U1006" s="371"/>
      <c r="V1006" s="371"/>
    </row>
    <row r="1007" spans="19:22" x14ac:dyDescent="0.2">
      <c r="S1007" s="371"/>
      <c r="T1007" s="371"/>
      <c r="U1007" s="371"/>
      <c r="V1007" s="371"/>
    </row>
    <row r="1008" spans="19:22" x14ac:dyDescent="0.2">
      <c r="S1008" s="371"/>
      <c r="T1008" s="371"/>
      <c r="U1008" s="371"/>
      <c r="V1008" s="371"/>
    </row>
    <row r="1009" spans="19:22" x14ac:dyDescent="0.2">
      <c r="S1009" s="371"/>
      <c r="T1009" s="371"/>
      <c r="U1009" s="371"/>
      <c r="V1009" s="371"/>
    </row>
    <row r="1010" spans="19:22" x14ac:dyDescent="0.2">
      <c r="S1010" s="371"/>
      <c r="T1010" s="371"/>
      <c r="U1010" s="371"/>
      <c r="V1010" s="371"/>
    </row>
    <row r="1011" spans="19:22" x14ac:dyDescent="0.2">
      <c r="S1011" s="371"/>
      <c r="T1011" s="371"/>
      <c r="U1011" s="371"/>
      <c r="V1011" s="371"/>
    </row>
    <row r="1012" spans="19:22" x14ac:dyDescent="0.2">
      <c r="S1012" s="372"/>
      <c r="T1012" s="371"/>
      <c r="U1012" s="371"/>
      <c r="V1012" s="371"/>
    </row>
    <row r="1013" spans="19:22" x14ac:dyDescent="0.2">
      <c r="S1013" s="372"/>
      <c r="T1013" s="371"/>
      <c r="U1013" s="371"/>
      <c r="V1013" s="371"/>
    </row>
    <row r="1014" spans="19:22" x14ac:dyDescent="0.2">
      <c r="S1014" s="372"/>
      <c r="T1014" s="371"/>
      <c r="U1014" s="371"/>
      <c r="V1014" s="371"/>
    </row>
    <row r="1015" spans="19:22" x14ac:dyDescent="0.2">
      <c r="S1015" s="372"/>
      <c r="T1015" s="371"/>
      <c r="U1015" s="371"/>
      <c r="V1015" s="371"/>
    </row>
    <row r="1016" spans="19:22" x14ac:dyDescent="0.2">
      <c r="S1016" s="372"/>
      <c r="T1016" s="371"/>
      <c r="U1016" s="371"/>
      <c r="V1016" s="371"/>
    </row>
    <row r="1017" spans="19:22" x14ac:dyDescent="0.2">
      <c r="S1017" s="372"/>
      <c r="T1017" s="371"/>
      <c r="U1017" s="371"/>
      <c r="V1017" s="371"/>
    </row>
    <row r="1018" spans="19:22" x14ac:dyDescent="0.2">
      <c r="S1018" s="372"/>
      <c r="T1018" s="371"/>
      <c r="U1018" s="371"/>
      <c r="V1018" s="371"/>
    </row>
    <row r="1019" spans="19:22" x14ac:dyDescent="0.2">
      <c r="S1019" s="372"/>
      <c r="T1019" s="371"/>
      <c r="U1019" s="371"/>
      <c r="V1019" s="371"/>
    </row>
    <row r="1020" spans="19:22" x14ac:dyDescent="0.2">
      <c r="S1020" s="372"/>
      <c r="T1020" s="371"/>
      <c r="U1020" s="371"/>
      <c r="V1020" s="371"/>
    </row>
    <row r="1021" spans="19:22" x14ac:dyDescent="0.2">
      <c r="S1021" s="372"/>
      <c r="T1021" s="371"/>
      <c r="U1021" s="371"/>
      <c r="V1021" s="371"/>
    </row>
    <row r="1022" spans="19:22" x14ac:dyDescent="0.2">
      <c r="S1022" s="372"/>
      <c r="T1022" s="371"/>
      <c r="U1022" s="371"/>
      <c r="V1022" s="371"/>
    </row>
    <row r="1023" spans="19:22" x14ac:dyDescent="0.2">
      <c r="S1023" s="372"/>
      <c r="T1023" s="371"/>
      <c r="U1023" s="371"/>
      <c r="V1023" s="371"/>
    </row>
    <row r="1024" spans="19:22" x14ac:dyDescent="0.2">
      <c r="S1024" s="372"/>
      <c r="T1024" s="371"/>
      <c r="U1024" s="371"/>
      <c r="V1024" s="371"/>
    </row>
    <row r="1025" spans="19:22" x14ac:dyDescent="0.2">
      <c r="S1025" s="372"/>
      <c r="T1025" s="371"/>
      <c r="U1025" s="371"/>
      <c r="V1025" s="371"/>
    </row>
    <row r="1026" spans="19:22" x14ac:dyDescent="0.2">
      <c r="S1026" s="372"/>
      <c r="T1026" s="371"/>
      <c r="U1026" s="371"/>
      <c r="V1026" s="371"/>
    </row>
    <row r="1027" spans="19:22" x14ac:dyDescent="0.2">
      <c r="S1027" s="372"/>
      <c r="T1027" s="371"/>
      <c r="U1027" s="371"/>
      <c r="V1027" s="371"/>
    </row>
    <row r="1028" spans="19:22" x14ac:dyDescent="0.2">
      <c r="S1028" s="372"/>
      <c r="T1028" s="371"/>
      <c r="U1028" s="371"/>
      <c r="V1028" s="371"/>
    </row>
    <row r="1029" spans="19:22" x14ac:dyDescent="0.2">
      <c r="S1029" s="372"/>
      <c r="T1029" s="371"/>
      <c r="U1029" s="371"/>
      <c r="V1029" s="371"/>
    </row>
    <row r="1030" spans="19:22" x14ac:dyDescent="0.2">
      <c r="S1030" s="372"/>
      <c r="T1030" s="371"/>
      <c r="U1030" s="371"/>
      <c r="V1030" s="371"/>
    </row>
    <row r="1031" spans="19:22" x14ac:dyDescent="0.2">
      <c r="S1031" s="372"/>
      <c r="T1031" s="371"/>
      <c r="U1031" s="371"/>
      <c r="V1031" s="371"/>
    </row>
    <row r="1032" spans="19:22" x14ac:dyDescent="0.2">
      <c r="S1032" s="372"/>
      <c r="T1032" s="371"/>
      <c r="U1032" s="371"/>
      <c r="V1032" s="371"/>
    </row>
    <row r="1033" spans="19:22" x14ac:dyDescent="0.2">
      <c r="S1033" s="372"/>
      <c r="T1033" s="371"/>
      <c r="U1033" s="371"/>
      <c r="V1033" s="371"/>
    </row>
    <row r="1034" spans="19:22" x14ac:dyDescent="0.2">
      <c r="S1034" s="372"/>
      <c r="T1034" s="371"/>
      <c r="U1034" s="371"/>
      <c r="V1034" s="371"/>
    </row>
    <row r="1035" spans="19:22" x14ac:dyDescent="0.2">
      <c r="S1035" s="372"/>
      <c r="T1035" s="371"/>
      <c r="U1035" s="371"/>
      <c r="V1035" s="371"/>
    </row>
    <row r="1036" spans="19:22" x14ac:dyDescent="0.2">
      <c r="S1036" s="372"/>
      <c r="T1036" s="371"/>
      <c r="U1036" s="371"/>
      <c r="V1036" s="371"/>
    </row>
    <row r="1037" spans="19:22" x14ac:dyDescent="0.2">
      <c r="S1037" s="372"/>
      <c r="T1037" s="371"/>
      <c r="U1037" s="371"/>
      <c r="V1037" s="371"/>
    </row>
    <row r="1038" spans="19:22" x14ac:dyDescent="0.2">
      <c r="S1038" s="372"/>
      <c r="T1038" s="371"/>
      <c r="U1038" s="371"/>
      <c r="V1038" s="371"/>
    </row>
    <row r="1039" spans="19:22" x14ac:dyDescent="0.2">
      <c r="S1039" s="372"/>
      <c r="T1039" s="371"/>
      <c r="U1039" s="371"/>
      <c r="V1039" s="371"/>
    </row>
    <row r="1040" spans="19:22" x14ac:dyDescent="0.2">
      <c r="S1040" s="372"/>
      <c r="T1040" s="371"/>
      <c r="U1040" s="371"/>
      <c r="V1040" s="371"/>
    </row>
    <row r="1041" spans="19:22" x14ac:dyDescent="0.2">
      <c r="S1041" s="372"/>
      <c r="T1041" s="371"/>
      <c r="U1041" s="371"/>
      <c r="V1041" s="371"/>
    </row>
    <row r="1042" spans="19:22" x14ac:dyDescent="0.2">
      <c r="S1042" s="372"/>
      <c r="T1042" s="371"/>
      <c r="U1042" s="371"/>
      <c r="V1042" s="371"/>
    </row>
    <row r="1043" spans="19:22" x14ac:dyDescent="0.2">
      <c r="S1043" s="372"/>
      <c r="T1043" s="371"/>
      <c r="U1043" s="371"/>
      <c r="V1043" s="371"/>
    </row>
    <row r="1044" spans="19:22" x14ac:dyDescent="0.2">
      <c r="S1044" s="372"/>
      <c r="T1044" s="371"/>
      <c r="U1044" s="371"/>
      <c r="V1044" s="371"/>
    </row>
    <row r="1045" spans="19:22" x14ac:dyDescent="0.2">
      <c r="S1045" s="372"/>
      <c r="T1045" s="371"/>
      <c r="U1045" s="371"/>
      <c r="V1045" s="371"/>
    </row>
    <row r="1046" spans="19:22" x14ac:dyDescent="0.2">
      <c r="S1046" s="372"/>
      <c r="T1046" s="371"/>
      <c r="U1046" s="371"/>
      <c r="V1046" s="371"/>
    </row>
    <row r="1047" spans="19:22" x14ac:dyDescent="0.2">
      <c r="S1047" s="372"/>
      <c r="T1047" s="371"/>
      <c r="U1047" s="371"/>
      <c r="V1047" s="371"/>
    </row>
    <row r="1048" spans="19:22" x14ac:dyDescent="0.2">
      <c r="S1048" s="372"/>
      <c r="T1048" s="371"/>
      <c r="U1048" s="371"/>
      <c r="V1048" s="371"/>
    </row>
    <row r="1049" spans="19:22" x14ac:dyDescent="0.2">
      <c r="S1049" s="372"/>
      <c r="T1049" s="371"/>
      <c r="U1049" s="371"/>
      <c r="V1049" s="371"/>
    </row>
    <row r="1050" spans="19:22" x14ac:dyDescent="0.2">
      <c r="S1050" s="372"/>
      <c r="T1050" s="371"/>
      <c r="U1050" s="371"/>
      <c r="V1050" s="371"/>
    </row>
    <row r="1051" spans="19:22" x14ac:dyDescent="0.2">
      <c r="S1051" s="372"/>
      <c r="T1051" s="371"/>
      <c r="U1051" s="371"/>
      <c r="V1051" s="371"/>
    </row>
    <row r="1052" spans="19:22" x14ac:dyDescent="0.2">
      <c r="S1052" s="372"/>
      <c r="T1052" s="371"/>
      <c r="U1052" s="371"/>
      <c r="V1052" s="371"/>
    </row>
    <row r="1053" spans="19:22" x14ac:dyDescent="0.2">
      <c r="S1053" s="372"/>
      <c r="T1053" s="371"/>
      <c r="U1053" s="371"/>
      <c r="V1053" s="371"/>
    </row>
    <row r="1054" spans="19:22" x14ac:dyDescent="0.2">
      <c r="S1054" s="372"/>
      <c r="T1054" s="371"/>
      <c r="U1054" s="371"/>
      <c r="V1054" s="371"/>
    </row>
    <row r="1055" spans="19:22" x14ac:dyDescent="0.2">
      <c r="S1055" s="372"/>
      <c r="T1055" s="371"/>
      <c r="U1055" s="371"/>
      <c r="V1055" s="371"/>
    </row>
    <row r="1056" spans="19:22" x14ac:dyDescent="0.2">
      <c r="S1056" s="372"/>
      <c r="T1056" s="371"/>
      <c r="U1056" s="371"/>
      <c r="V1056" s="371"/>
    </row>
    <row r="1057" spans="19:22" x14ac:dyDescent="0.2">
      <c r="S1057" s="372"/>
      <c r="T1057" s="371"/>
      <c r="U1057" s="371"/>
      <c r="V1057" s="371"/>
    </row>
    <row r="1058" spans="19:22" x14ac:dyDescent="0.2">
      <c r="S1058" s="372"/>
      <c r="T1058" s="371"/>
      <c r="U1058" s="371"/>
      <c r="V1058" s="371"/>
    </row>
    <row r="1059" spans="19:22" x14ac:dyDescent="0.2">
      <c r="S1059" s="372"/>
      <c r="T1059" s="371"/>
      <c r="U1059" s="371"/>
      <c r="V1059" s="371"/>
    </row>
    <row r="1060" spans="19:22" x14ac:dyDescent="0.2">
      <c r="S1060" s="372"/>
      <c r="T1060" s="371"/>
      <c r="U1060" s="371"/>
      <c r="V1060" s="371"/>
    </row>
    <row r="1061" spans="19:22" x14ac:dyDescent="0.2">
      <c r="S1061" s="372"/>
      <c r="T1061" s="371"/>
      <c r="U1061" s="371"/>
      <c r="V1061" s="371"/>
    </row>
    <row r="1062" spans="19:22" x14ac:dyDescent="0.2">
      <c r="S1062" s="372"/>
      <c r="T1062" s="371"/>
      <c r="U1062" s="371"/>
      <c r="V1062" s="371"/>
    </row>
    <row r="1063" spans="19:22" x14ac:dyDescent="0.2">
      <c r="S1063" s="372"/>
      <c r="T1063" s="371"/>
      <c r="U1063" s="371"/>
      <c r="V1063" s="371"/>
    </row>
    <row r="1064" spans="19:22" x14ac:dyDescent="0.2">
      <c r="S1064" s="372"/>
      <c r="T1064" s="371"/>
      <c r="U1064" s="371"/>
      <c r="V1064" s="371"/>
    </row>
    <row r="1065" spans="19:22" x14ac:dyDescent="0.2">
      <c r="S1065" s="372"/>
      <c r="T1065" s="371"/>
      <c r="U1065" s="371"/>
      <c r="V1065" s="371"/>
    </row>
    <row r="1066" spans="19:22" x14ac:dyDescent="0.2">
      <c r="S1066" s="372"/>
      <c r="T1066" s="371"/>
      <c r="U1066" s="371"/>
      <c r="V1066" s="371"/>
    </row>
    <row r="1067" spans="19:22" x14ac:dyDescent="0.2">
      <c r="S1067" s="372"/>
      <c r="T1067" s="371"/>
      <c r="U1067" s="371"/>
      <c r="V1067" s="371"/>
    </row>
    <row r="1068" spans="19:22" x14ac:dyDescent="0.2">
      <c r="S1068" s="372"/>
      <c r="T1068" s="371"/>
      <c r="U1068" s="371"/>
      <c r="V1068" s="371"/>
    </row>
    <row r="1069" spans="19:22" x14ac:dyDescent="0.2">
      <c r="S1069" s="372"/>
      <c r="T1069" s="371"/>
      <c r="U1069" s="371"/>
      <c r="V1069" s="371"/>
    </row>
    <row r="1070" spans="19:22" x14ac:dyDescent="0.2">
      <c r="S1070" s="372"/>
      <c r="T1070" s="371"/>
      <c r="U1070" s="371"/>
      <c r="V1070" s="371"/>
    </row>
    <row r="1071" spans="19:22" x14ac:dyDescent="0.2">
      <c r="S1071" s="372"/>
      <c r="T1071" s="371"/>
      <c r="U1071" s="371"/>
      <c r="V1071" s="371"/>
    </row>
    <row r="1072" spans="19:22" x14ac:dyDescent="0.2">
      <c r="S1072" s="372"/>
      <c r="T1072" s="371"/>
      <c r="U1072" s="371"/>
      <c r="V1072" s="371"/>
    </row>
    <row r="1073" spans="19:22" x14ac:dyDescent="0.2">
      <c r="S1073" s="372"/>
      <c r="T1073" s="371"/>
      <c r="U1073" s="371"/>
      <c r="V1073" s="371"/>
    </row>
    <row r="1074" spans="19:22" x14ac:dyDescent="0.2">
      <c r="S1074" s="372"/>
      <c r="T1074" s="371"/>
      <c r="U1074" s="371"/>
      <c r="V1074" s="371"/>
    </row>
    <row r="1075" spans="19:22" x14ac:dyDescent="0.2">
      <c r="S1075" s="372"/>
      <c r="T1075" s="371"/>
      <c r="U1075" s="371"/>
      <c r="V1075" s="371"/>
    </row>
    <row r="1076" spans="19:22" x14ac:dyDescent="0.2">
      <c r="S1076" s="371"/>
      <c r="T1076" s="371"/>
      <c r="U1076" s="371"/>
      <c r="V1076" s="371"/>
    </row>
    <row r="1077" spans="19:22" x14ac:dyDescent="0.2">
      <c r="S1077" s="371"/>
      <c r="T1077" s="371"/>
      <c r="U1077" s="371"/>
      <c r="V1077" s="371"/>
    </row>
    <row r="1078" spans="19:22" x14ac:dyDescent="0.2">
      <c r="S1078" s="371"/>
      <c r="T1078" s="371"/>
      <c r="U1078" s="371"/>
      <c r="V1078" s="371"/>
    </row>
    <row r="1079" spans="19:22" x14ac:dyDescent="0.2">
      <c r="S1079" s="371"/>
      <c r="T1079" s="371"/>
      <c r="U1079" s="371"/>
      <c r="V1079" s="371"/>
    </row>
    <row r="1080" spans="19:22" x14ac:dyDescent="0.2">
      <c r="S1080" s="371"/>
      <c r="T1080" s="371"/>
      <c r="U1080" s="371"/>
      <c r="V1080" s="371"/>
    </row>
    <row r="1081" spans="19:22" x14ac:dyDescent="0.2">
      <c r="S1081" s="371"/>
      <c r="T1081" s="371"/>
      <c r="U1081" s="371"/>
      <c r="V1081" s="371"/>
    </row>
    <row r="1082" spans="19:22" x14ac:dyDescent="0.2">
      <c r="S1082" s="371"/>
      <c r="T1082" s="371"/>
      <c r="U1082" s="371"/>
      <c r="V1082" s="371"/>
    </row>
    <row r="1083" spans="19:22" x14ac:dyDescent="0.2">
      <c r="S1083" s="371"/>
      <c r="T1083" s="371"/>
      <c r="U1083" s="371"/>
      <c r="V1083" s="371"/>
    </row>
    <row r="1084" spans="19:22" x14ac:dyDescent="0.2">
      <c r="S1084" s="371"/>
      <c r="T1084" s="371"/>
      <c r="U1084" s="371"/>
      <c r="V1084" s="371"/>
    </row>
    <row r="1085" spans="19:22" x14ac:dyDescent="0.2">
      <c r="S1085" s="371"/>
      <c r="T1085" s="371"/>
      <c r="U1085" s="371"/>
      <c r="V1085" s="371"/>
    </row>
    <row r="1086" spans="19:22" x14ac:dyDescent="0.2">
      <c r="S1086" s="371"/>
      <c r="T1086" s="371"/>
      <c r="U1086" s="371"/>
      <c r="V1086" s="371"/>
    </row>
    <row r="1087" spans="19:22" x14ac:dyDescent="0.2">
      <c r="S1087" s="371"/>
      <c r="T1087" s="371"/>
      <c r="U1087" s="371"/>
      <c r="V1087" s="371"/>
    </row>
    <row r="1088" spans="19:22" x14ac:dyDescent="0.2">
      <c r="S1088" s="371"/>
      <c r="T1088" s="371"/>
      <c r="U1088" s="371"/>
      <c r="V1088" s="371"/>
    </row>
    <row r="1089" spans="19:22" x14ac:dyDescent="0.2">
      <c r="S1089" s="371"/>
      <c r="T1089" s="371"/>
      <c r="U1089" s="371"/>
      <c r="V1089" s="371"/>
    </row>
    <row r="1090" spans="19:22" x14ac:dyDescent="0.2">
      <c r="S1090" s="371"/>
      <c r="T1090" s="371"/>
      <c r="U1090" s="371"/>
      <c r="V1090" s="371"/>
    </row>
    <row r="1091" spans="19:22" x14ac:dyDescent="0.2">
      <c r="S1091" s="371"/>
      <c r="T1091" s="371"/>
      <c r="U1091" s="371"/>
      <c r="V1091" s="371"/>
    </row>
    <row r="1092" spans="19:22" x14ac:dyDescent="0.2">
      <c r="S1092" s="371"/>
      <c r="T1092" s="371"/>
      <c r="U1092" s="371"/>
      <c r="V1092" s="371"/>
    </row>
    <row r="1093" spans="19:22" x14ac:dyDescent="0.2">
      <c r="S1093" s="371"/>
      <c r="T1093" s="371"/>
      <c r="U1093" s="371"/>
      <c r="V1093" s="371"/>
    </row>
    <row r="1094" spans="19:22" x14ac:dyDescent="0.2">
      <c r="S1094" s="371"/>
      <c r="T1094" s="371"/>
      <c r="U1094" s="371"/>
      <c r="V1094" s="371"/>
    </row>
    <row r="1095" spans="19:22" x14ac:dyDescent="0.2">
      <c r="S1095" s="371"/>
      <c r="T1095" s="371"/>
      <c r="U1095" s="371"/>
      <c r="V1095" s="371"/>
    </row>
    <row r="1096" spans="19:22" x14ac:dyDescent="0.2">
      <c r="S1096" s="371"/>
      <c r="T1096" s="371"/>
      <c r="U1096" s="371"/>
      <c r="V1096" s="371"/>
    </row>
    <row r="1097" spans="19:22" x14ac:dyDescent="0.2">
      <c r="S1097" s="371"/>
      <c r="T1097" s="371"/>
      <c r="U1097" s="371"/>
      <c r="V1097" s="371"/>
    </row>
    <row r="1098" spans="19:22" x14ac:dyDescent="0.2">
      <c r="S1098" s="371"/>
      <c r="T1098" s="371"/>
      <c r="U1098" s="371"/>
      <c r="V1098" s="371"/>
    </row>
    <row r="1099" spans="19:22" x14ac:dyDescent="0.2">
      <c r="S1099" s="371"/>
      <c r="T1099" s="371"/>
      <c r="U1099" s="371"/>
      <c r="V1099" s="371"/>
    </row>
    <row r="1100" spans="19:22" x14ac:dyDescent="0.2">
      <c r="S1100" s="371"/>
      <c r="T1100" s="371"/>
      <c r="U1100" s="371"/>
      <c r="V1100" s="371"/>
    </row>
    <row r="1101" spans="19:22" x14ac:dyDescent="0.2">
      <c r="S1101" s="371"/>
      <c r="T1101" s="371"/>
      <c r="U1101" s="371"/>
      <c r="V1101" s="371"/>
    </row>
    <row r="1102" spans="19:22" x14ac:dyDescent="0.2">
      <c r="S1102" s="371"/>
      <c r="T1102" s="371"/>
      <c r="U1102" s="371"/>
      <c r="V1102" s="371"/>
    </row>
    <row r="1103" spans="19:22" x14ac:dyDescent="0.2">
      <c r="S1103" s="371"/>
      <c r="T1103" s="371"/>
      <c r="U1103" s="371"/>
      <c r="V1103" s="371"/>
    </row>
    <row r="1104" spans="19:22" x14ac:dyDescent="0.2">
      <c r="S1104" s="371"/>
      <c r="T1104" s="371"/>
      <c r="U1104" s="371"/>
      <c r="V1104" s="371"/>
    </row>
    <row r="1105" spans="19:22" x14ac:dyDescent="0.2">
      <c r="S1105" s="371"/>
      <c r="T1105" s="371"/>
      <c r="U1105" s="371"/>
      <c r="V1105" s="371"/>
    </row>
    <row r="1106" spans="19:22" x14ac:dyDescent="0.2">
      <c r="S1106" s="371"/>
      <c r="T1106" s="371"/>
      <c r="U1106" s="371"/>
      <c r="V1106" s="371"/>
    </row>
    <row r="1107" spans="19:22" x14ac:dyDescent="0.2">
      <c r="S1107" s="371"/>
      <c r="T1107" s="371"/>
      <c r="U1107" s="371"/>
      <c r="V1107" s="371"/>
    </row>
    <row r="1108" spans="19:22" x14ac:dyDescent="0.2">
      <c r="S1108" s="371"/>
      <c r="T1108" s="371"/>
      <c r="U1108" s="371"/>
      <c r="V1108" s="371"/>
    </row>
    <row r="1109" spans="19:22" x14ac:dyDescent="0.2">
      <c r="S1109" s="371"/>
      <c r="T1109" s="371"/>
      <c r="U1109" s="371"/>
      <c r="V1109" s="371"/>
    </row>
    <row r="1110" spans="19:22" x14ac:dyDescent="0.2">
      <c r="S1110" s="371"/>
      <c r="T1110" s="371"/>
      <c r="U1110" s="371"/>
      <c r="V1110" s="371"/>
    </row>
    <row r="1111" spans="19:22" x14ac:dyDescent="0.2">
      <c r="S1111" s="371"/>
      <c r="T1111" s="371"/>
      <c r="U1111" s="371"/>
      <c r="V1111" s="371"/>
    </row>
    <row r="1112" spans="19:22" x14ac:dyDescent="0.2">
      <c r="S1112" s="371"/>
      <c r="T1112" s="371"/>
      <c r="U1112" s="371"/>
      <c r="V1112" s="371"/>
    </row>
    <row r="1113" spans="19:22" x14ac:dyDescent="0.2">
      <c r="S1113" s="371"/>
      <c r="T1113" s="371"/>
      <c r="U1113" s="371"/>
      <c r="V1113" s="371"/>
    </row>
    <row r="1114" spans="19:22" x14ac:dyDescent="0.2">
      <c r="S1114" s="371"/>
      <c r="T1114" s="371"/>
      <c r="U1114" s="371"/>
      <c r="V1114" s="371"/>
    </row>
    <row r="1115" spans="19:22" x14ac:dyDescent="0.2">
      <c r="S1115" s="371"/>
      <c r="T1115" s="371"/>
      <c r="U1115" s="371"/>
      <c r="V1115" s="371"/>
    </row>
    <row r="1116" spans="19:22" x14ac:dyDescent="0.2">
      <c r="S1116" s="371"/>
      <c r="T1116" s="371"/>
      <c r="U1116" s="371"/>
      <c r="V1116" s="371"/>
    </row>
    <row r="1117" spans="19:22" x14ac:dyDescent="0.2">
      <c r="S1117" s="371"/>
      <c r="T1117" s="371"/>
      <c r="U1117" s="371"/>
      <c r="V1117" s="371"/>
    </row>
    <row r="1118" spans="19:22" x14ac:dyDescent="0.2">
      <c r="S1118" s="371"/>
      <c r="T1118" s="371"/>
      <c r="U1118" s="371"/>
      <c r="V1118" s="371"/>
    </row>
    <row r="1119" spans="19:22" x14ac:dyDescent="0.2">
      <c r="S1119" s="371"/>
      <c r="T1119" s="371"/>
      <c r="U1119" s="371"/>
      <c r="V1119" s="371"/>
    </row>
    <row r="1120" spans="19:22" x14ac:dyDescent="0.2">
      <c r="S1120" s="371"/>
      <c r="T1120" s="371"/>
      <c r="U1120" s="371"/>
      <c r="V1120" s="371"/>
    </row>
    <row r="1121" spans="19:22" x14ac:dyDescent="0.2">
      <c r="S1121" s="371"/>
      <c r="T1121" s="371"/>
      <c r="U1121" s="371"/>
      <c r="V1121" s="371"/>
    </row>
    <row r="1122" spans="19:22" x14ac:dyDescent="0.2">
      <c r="S1122" s="371"/>
      <c r="T1122" s="371"/>
      <c r="U1122" s="371"/>
      <c r="V1122" s="371"/>
    </row>
    <row r="1123" spans="19:22" x14ac:dyDescent="0.2">
      <c r="S1123" s="371"/>
      <c r="T1123" s="371"/>
      <c r="U1123" s="371"/>
      <c r="V1123" s="371"/>
    </row>
    <row r="1124" spans="19:22" x14ac:dyDescent="0.2">
      <c r="S1124" s="371"/>
      <c r="T1124" s="371"/>
      <c r="U1124" s="371"/>
      <c r="V1124" s="371"/>
    </row>
    <row r="1125" spans="19:22" x14ac:dyDescent="0.2">
      <c r="S1125" s="371"/>
      <c r="T1125" s="371"/>
      <c r="U1125" s="371"/>
      <c r="V1125" s="371"/>
    </row>
    <row r="1126" spans="19:22" x14ac:dyDescent="0.2">
      <c r="S1126" s="371"/>
      <c r="T1126" s="371"/>
      <c r="U1126" s="371"/>
      <c r="V1126" s="371"/>
    </row>
    <row r="1127" spans="19:22" x14ac:dyDescent="0.2">
      <c r="S1127" s="371"/>
      <c r="T1127" s="371"/>
      <c r="U1127" s="371"/>
      <c r="V1127" s="371"/>
    </row>
    <row r="1128" spans="19:22" x14ac:dyDescent="0.2">
      <c r="S1128" s="371"/>
      <c r="T1128" s="371"/>
      <c r="U1128" s="371"/>
      <c r="V1128" s="371"/>
    </row>
    <row r="1129" spans="19:22" x14ac:dyDescent="0.2">
      <c r="S1129" s="371"/>
      <c r="T1129" s="371"/>
      <c r="U1129" s="371"/>
      <c r="V1129" s="371"/>
    </row>
    <row r="1130" spans="19:22" x14ac:dyDescent="0.2">
      <c r="S1130" s="371"/>
      <c r="T1130" s="371"/>
      <c r="U1130" s="371"/>
      <c r="V1130" s="371"/>
    </row>
    <row r="1131" spans="19:22" x14ac:dyDescent="0.2">
      <c r="S1131" s="371"/>
      <c r="T1131" s="371"/>
      <c r="U1131" s="371"/>
      <c r="V1131" s="371"/>
    </row>
    <row r="1132" spans="19:22" x14ac:dyDescent="0.2">
      <c r="S1132" s="371"/>
      <c r="T1132" s="371"/>
      <c r="U1132" s="371"/>
      <c r="V1132" s="371"/>
    </row>
    <row r="1133" spans="19:22" x14ac:dyDescent="0.2">
      <c r="S1133" s="371"/>
      <c r="T1133" s="371"/>
      <c r="U1133" s="371"/>
      <c r="V1133" s="371"/>
    </row>
    <row r="1134" spans="19:22" x14ac:dyDescent="0.2">
      <c r="S1134" s="371"/>
      <c r="T1134" s="371"/>
      <c r="U1134" s="371"/>
      <c r="V1134" s="371"/>
    </row>
    <row r="1135" spans="19:22" x14ac:dyDescent="0.2">
      <c r="S1135" s="371"/>
      <c r="T1135" s="371"/>
      <c r="U1135" s="371"/>
      <c r="V1135" s="371"/>
    </row>
    <row r="1136" spans="19:22" x14ac:dyDescent="0.2">
      <c r="S1136" s="371"/>
      <c r="T1136" s="371"/>
      <c r="U1136" s="371"/>
      <c r="V1136" s="371"/>
    </row>
    <row r="1137" spans="19:22" x14ac:dyDescent="0.2">
      <c r="S1137" s="371"/>
      <c r="T1137" s="371"/>
      <c r="U1137" s="371"/>
      <c r="V1137" s="371"/>
    </row>
    <row r="1138" spans="19:22" x14ac:dyDescent="0.2">
      <c r="S1138" s="371"/>
      <c r="T1138" s="371"/>
      <c r="U1138" s="371"/>
      <c r="V1138" s="371"/>
    </row>
    <row r="1139" spans="19:22" x14ac:dyDescent="0.2">
      <c r="S1139" s="371"/>
      <c r="T1139" s="371"/>
      <c r="U1139" s="371"/>
      <c r="V1139" s="371"/>
    </row>
    <row r="1140" spans="19:22" x14ac:dyDescent="0.2">
      <c r="S1140" s="371"/>
      <c r="T1140" s="371"/>
      <c r="U1140" s="371"/>
      <c r="V1140" s="371"/>
    </row>
    <row r="1141" spans="19:22" x14ac:dyDescent="0.2">
      <c r="S1141" s="371"/>
      <c r="T1141" s="371"/>
      <c r="U1141" s="371"/>
      <c r="V1141" s="371"/>
    </row>
    <row r="1142" spans="19:22" x14ac:dyDescent="0.2">
      <c r="S1142" s="371"/>
      <c r="T1142" s="371"/>
      <c r="U1142" s="371"/>
      <c r="V1142" s="371"/>
    </row>
    <row r="1143" spans="19:22" x14ac:dyDescent="0.2">
      <c r="S1143" s="371"/>
      <c r="T1143" s="371"/>
      <c r="U1143" s="371"/>
      <c r="V1143" s="371"/>
    </row>
    <row r="1144" spans="19:22" x14ac:dyDescent="0.2">
      <c r="S1144" s="371"/>
      <c r="T1144" s="371"/>
      <c r="U1144" s="371"/>
      <c r="V1144" s="371"/>
    </row>
    <row r="1145" spans="19:22" x14ac:dyDescent="0.2">
      <c r="S1145" s="371"/>
      <c r="T1145" s="371"/>
      <c r="U1145" s="371"/>
      <c r="V1145" s="371"/>
    </row>
    <row r="1146" spans="19:22" x14ac:dyDescent="0.2">
      <c r="S1146" s="371"/>
      <c r="T1146" s="371"/>
      <c r="U1146" s="371"/>
      <c r="V1146" s="371"/>
    </row>
    <row r="1147" spans="19:22" x14ac:dyDescent="0.2">
      <c r="S1147" s="371"/>
      <c r="T1147" s="371"/>
      <c r="U1147" s="371"/>
      <c r="V1147" s="371"/>
    </row>
    <row r="1148" spans="19:22" x14ac:dyDescent="0.2">
      <c r="S1148" s="371"/>
      <c r="T1148" s="371"/>
      <c r="U1148" s="371"/>
      <c r="V1148" s="371"/>
    </row>
    <row r="1149" spans="19:22" x14ac:dyDescent="0.2">
      <c r="S1149" s="371"/>
      <c r="T1149" s="371"/>
      <c r="U1149" s="371"/>
      <c r="V1149" s="371"/>
    </row>
    <row r="1150" spans="19:22" x14ac:dyDescent="0.2">
      <c r="S1150" s="371"/>
      <c r="T1150" s="371"/>
      <c r="U1150" s="371"/>
      <c r="V1150" s="371"/>
    </row>
    <row r="1151" spans="19:22" x14ac:dyDescent="0.2">
      <c r="S1151" s="371"/>
      <c r="T1151" s="371"/>
      <c r="U1151" s="371"/>
      <c r="V1151" s="371"/>
    </row>
    <row r="1152" spans="19:22" x14ac:dyDescent="0.2">
      <c r="S1152" s="371"/>
      <c r="T1152" s="371"/>
      <c r="U1152" s="371"/>
      <c r="V1152" s="371"/>
    </row>
    <row r="1153" spans="19:22" x14ac:dyDescent="0.2">
      <c r="S1153" s="371"/>
      <c r="T1153" s="371"/>
      <c r="U1153" s="371"/>
      <c r="V1153" s="371"/>
    </row>
    <row r="1154" spans="19:22" x14ac:dyDescent="0.2">
      <c r="S1154" s="371"/>
      <c r="T1154" s="371"/>
      <c r="U1154" s="371"/>
      <c r="V1154" s="371"/>
    </row>
    <row r="1155" spans="19:22" x14ac:dyDescent="0.2">
      <c r="S1155" s="371"/>
      <c r="T1155" s="371"/>
      <c r="U1155" s="371"/>
      <c r="V1155" s="371"/>
    </row>
    <row r="1156" spans="19:22" x14ac:dyDescent="0.2">
      <c r="S1156" s="371"/>
      <c r="T1156" s="371"/>
      <c r="U1156" s="371"/>
      <c r="V1156" s="371"/>
    </row>
    <row r="1157" spans="19:22" x14ac:dyDescent="0.2">
      <c r="S1157" s="371"/>
      <c r="T1157" s="371"/>
      <c r="U1157" s="371"/>
      <c r="V1157" s="371"/>
    </row>
    <row r="1158" spans="19:22" x14ac:dyDescent="0.2">
      <c r="S1158" s="371"/>
      <c r="T1158" s="371"/>
      <c r="U1158" s="371"/>
      <c r="V1158" s="371"/>
    </row>
    <row r="1159" spans="19:22" x14ac:dyDescent="0.2">
      <c r="S1159" s="371"/>
      <c r="T1159" s="371"/>
      <c r="U1159" s="371"/>
      <c r="V1159" s="371"/>
    </row>
    <row r="1160" spans="19:22" x14ac:dyDescent="0.2">
      <c r="S1160" s="371"/>
      <c r="T1160" s="371"/>
      <c r="U1160" s="371"/>
      <c r="V1160" s="371"/>
    </row>
    <row r="1161" spans="19:22" x14ac:dyDescent="0.2">
      <c r="S1161" s="371"/>
      <c r="T1161" s="371"/>
      <c r="U1161" s="371"/>
      <c r="V1161" s="371"/>
    </row>
    <row r="1162" spans="19:22" x14ac:dyDescent="0.2">
      <c r="S1162" s="371"/>
      <c r="T1162" s="371"/>
      <c r="U1162" s="371"/>
      <c r="V1162" s="371"/>
    </row>
    <row r="1163" spans="19:22" x14ac:dyDescent="0.2">
      <c r="S1163" s="371"/>
      <c r="T1163" s="371"/>
      <c r="U1163" s="371"/>
      <c r="V1163" s="371"/>
    </row>
    <row r="1164" spans="19:22" x14ac:dyDescent="0.2">
      <c r="S1164" s="371"/>
      <c r="T1164" s="371"/>
      <c r="U1164" s="371"/>
      <c r="V1164" s="371"/>
    </row>
    <row r="1165" spans="19:22" x14ac:dyDescent="0.2">
      <c r="S1165" s="371"/>
      <c r="T1165" s="371"/>
      <c r="U1165" s="371"/>
      <c r="V1165" s="371"/>
    </row>
    <row r="1166" spans="19:22" x14ac:dyDescent="0.2">
      <c r="S1166" s="371"/>
      <c r="T1166" s="371"/>
      <c r="U1166" s="371"/>
      <c r="V1166" s="371"/>
    </row>
    <row r="1167" spans="19:22" x14ac:dyDescent="0.2">
      <c r="S1167" s="371"/>
      <c r="T1167" s="371"/>
      <c r="U1167" s="371"/>
      <c r="V1167" s="371"/>
    </row>
    <row r="1168" spans="19:22" x14ac:dyDescent="0.2">
      <c r="S1168" s="371"/>
      <c r="T1168" s="371"/>
      <c r="U1168" s="371"/>
      <c r="V1168" s="371"/>
    </row>
    <row r="1169" spans="19:22" x14ac:dyDescent="0.2">
      <c r="S1169" s="371"/>
      <c r="T1169" s="371"/>
      <c r="U1169" s="371"/>
      <c r="V1169" s="371"/>
    </row>
    <row r="1170" spans="19:22" x14ac:dyDescent="0.2">
      <c r="S1170" s="371"/>
      <c r="T1170" s="371"/>
      <c r="U1170" s="371"/>
      <c r="V1170" s="371"/>
    </row>
    <row r="1171" spans="19:22" x14ac:dyDescent="0.2">
      <c r="S1171" s="371"/>
      <c r="T1171" s="371"/>
      <c r="U1171" s="371"/>
      <c r="V1171" s="371"/>
    </row>
    <row r="1172" spans="19:22" x14ac:dyDescent="0.2">
      <c r="S1172" s="371"/>
      <c r="T1172" s="371"/>
      <c r="U1172" s="371"/>
      <c r="V1172" s="371"/>
    </row>
    <row r="1173" spans="19:22" x14ac:dyDescent="0.2">
      <c r="S1173" s="371"/>
      <c r="T1173" s="371"/>
      <c r="U1173" s="371"/>
      <c r="V1173" s="371"/>
    </row>
    <row r="1174" spans="19:22" x14ac:dyDescent="0.2">
      <c r="S1174" s="371"/>
      <c r="T1174" s="371"/>
      <c r="U1174" s="371"/>
      <c r="V1174" s="371"/>
    </row>
    <row r="1175" spans="19:22" x14ac:dyDescent="0.2">
      <c r="S1175" s="371"/>
      <c r="T1175" s="371"/>
      <c r="U1175" s="371"/>
      <c r="V1175" s="371"/>
    </row>
    <row r="1176" spans="19:22" x14ac:dyDescent="0.2">
      <c r="S1176" s="371"/>
      <c r="T1176" s="371"/>
      <c r="U1176" s="371"/>
      <c r="V1176" s="371"/>
    </row>
    <row r="1177" spans="19:22" x14ac:dyDescent="0.2">
      <c r="S1177" s="371"/>
      <c r="T1177" s="371"/>
      <c r="U1177" s="371"/>
      <c r="V1177" s="371"/>
    </row>
    <row r="1178" spans="19:22" x14ac:dyDescent="0.2">
      <c r="S1178" s="371"/>
      <c r="T1178" s="371"/>
      <c r="U1178" s="371"/>
      <c r="V1178" s="371"/>
    </row>
    <row r="1179" spans="19:22" x14ac:dyDescent="0.2">
      <c r="S1179" s="371"/>
      <c r="T1179" s="371"/>
      <c r="U1179" s="371"/>
      <c r="V1179" s="371"/>
    </row>
    <row r="1180" spans="19:22" x14ac:dyDescent="0.2">
      <c r="S1180" s="371"/>
      <c r="T1180" s="371"/>
      <c r="U1180" s="371"/>
      <c r="V1180" s="371"/>
    </row>
    <row r="1181" spans="19:22" x14ac:dyDescent="0.2">
      <c r="S1181" s="371"/>
      <c r="T1181" s="371"/>
      <c r="U1181" s="371"/>
      <c r="V1181" s="371"/>
    </row>
    <row r="1182" spans="19:22" x14ac:dyDescent="0.2">
      <c r="S1182" s="371"/>
      <c r="T1182" s="371"/>
      <c r="U1182" s="371"/>
      <c r="V1182" s="371"/>
    </row>
    <row r="1183" spans="19:22" x14ac:dyDescent="0.2">
      <c r="S1183" s="371"/>
      <c r="T1183" s="371"/>
      <c r="U1183" s="371"/>
      <c r="V1183" s="371"/>
    </row>
    <row r="1184" spans="19:22" x14ac:dyDescent="0.2">
      <c r="S1184" s="371"/>
      <c r="T1184" s="371"/>
      <c r="U1184" s="371"/>
      <c r="V1184" s="371"/>
    </row>
    <row r="1185" spans="19:22" x14ac:dyDescent="0.2">
      <c r="S1185" s="371"/>
      <c r="T1185" s="371"/>
      <c r="U1185" s="371"/>
      <c r="V1185" s="371"/>
    </row>
    <row r="1186" spans="19:22" x14ac:dyDescent="0.2">
      <c r="S1186" s="371"/>
      <c r="T1186" s="371"/>
      <c r="U1186" s="371"/>
      <c r="V1186" s="371"/>
    </row>
    <row r="1187" spans="19:22" x14ac:dyDescent="0.2">
      <c r="S1187" s="371"/>
      <c r="T1187" s="371"/>
      <c r="U1187" s="371"/>
      <c r="V1187" s="371"/>
    </row>
    <row r="1188" spans="19:22" x14ac:dyDescent="0.2">
      <c r="S1188" s="371"/>
      <c r="T1188" s="371"/>
      <c r="U1188" s="371"/>
      <c r="V1188" s="371"/>
    </row>
    <row r="1189" spans="19:22" x14ac:dyDescent="0.2">
      <c r="S1189" s="371"/>
      <c r="T1189" s="371"/>
      <c r="U1189" s="371"/>
      <c r="V1189" s="371"/>
    </row>
    <row r="1190" spans="19:22" x14ac:dyDescent="0.2">
      <c r="S1190" s="371"/>
      <c r="T1190" s="371"/>
      <c r="U1190" s="371"/>
      <c r="V1190" s="371"/>
    </row>
    <row r="1191" spans="19:22" x14ac:dyDescent="0.2">
      <c r="S1191" s="371"/>
      <c r="T1191" s="371"/>
      <c r="U1191" s="371"/>
      <c r="V1191" s="371"/>
    </row>
    <row r="1192" spans="19:22" x14ac:dyDescent="0.2">
      <c r="S1192" s="371"/>
      <c r="T1192" s="371"/>
      <c r="U1192" s="371"/>
      <c r="V1192" s="371"/>
    </row>
    <row r="1193" spans="19:22" x14ac:dyDescent="0.2">
      <c r="S1193" s="371"/>
      <c r="T1193" s="371"/>
      <c r="U1193" s="371"/>
      <c r="V1193" s="371"/>
    </row>
    <row r="1194" spans="19:22" x14ac:dyDescent="0.2">
      <c r="S1194" s="371"/>
      <c r="T1194" s="371"/>
      <c r="U1194" s="371"/>
      <c r="V1194" s="371"/>
    </row>
    <row r="1195" spans="19:22" x14ac:dyDescent="0.2">
      <c r="S1195" s="371"/>
      <c r="T1195" s="371"/>
      <c r="U1195" s="371"/>
      <c r="V1195" s="371"/>
    </row>
    <row r="1196" spans="19:22" x14ac:dyDescent="0.2">
      <c r="S1196" s="371"/>
      <c r="T1196" s="371"/>
      <c r="U1196" s="371"/>
      <c r="V1196" s="371"/>
    </row>
    <row r="1197" spans="19:22" x14ac:dyDescent="0.2">
      <c r="S1197" s="371"/>
      <c r="T1197" s="371"/>
      <c r="U1197" s="371"/>
      <c r="V1197" s="371"/>
    </row>
    <row r="1198" spans="19:22" x14ac:dyDescent="0.2">
      <c r="S1198" s="371"/>
      <c r="T1198" s="371"/>
      <c r="U1198" s="371"/>
      <c r="V1198" s="371"/>
    </row>
    <row r="1199" spans="19:22" x14ac:dyDescent="0.2">
      <c r="S1199" s="371"/>
      <c r="T1199" s="371"/>
      <c r="U1199" s="371"/>
      <c r="V1199" s="371"/>
    </row>
    <row r="1200" spans="19:22" x14ac:dyDescent="0.2">
      <c r="S1200" s="371"/>
      <c r="T1200" s="371"/>
      <c r="U1200" s="371"/>
      <c r="V1200" s="371"/>
    </row>
    <row r="1201" spans="19:22" x14ac:dyDescent="0.2">
      <c r="S1201" s="371"/>
      <c r="T1201" s="371"/>
      <c r="U1201" s="371"/>
      <c r="V1201" s="371"/>
    </row>
    <row r="1202" spans="19:22" x14ac:dyDescent="0.2">
      <c r="S1202" s="371"/>
      <c r="T1202" s="371"/>
      <c r="U1202" s="371"/>
      <c r="V1202" s="371"/>
    </row>
    <row r="1203" spans="19:22" x14ac:dyDescent="0.2">
      <c r="S1203" s="371"/>
      <c r="T1203" s="371"/>
      <c r="U1203" s="371"/>
      <c r="V1203" s="371"/>
    </row>
    <row r="1204" spans="19:22" x14ac:dyDescent="0.2">
      <c r="S1204" s="371"/>
      <c r="T1204" s="371"/>
      <c r="U1204" s="371"/>
      <c r="V1204" s="371"/>
    </row>
    <row r="1205" spans="19:22" x14ac:dyDescent="0.2">
      <c r="S1205" s="371"/>
      <c r="T1205" s="371"/>
      <c r="U1205" s="371"/>
      <c r="V1205" s="371"/>
    </row>
    <row r="1206" spans="19:22" x14ac:dyDescent="0.2">
      <c r="S1206" s="371"/>
      <c r="T1206" s="371"/>
      <c r="U1206" s="371"/>
      <c r="V1206" s="371"/>
    </row>
    <row r="1207" spans="19:22" x14ac:dyDescent="0.2">
      <c r="S1207" s="371"/>
      <c r="T1207" s="371"/>
      <c r="U1207" s="371"/>
      <c r="V1207" s="371"/>
    </row>
    <row r="1208" spans="19:22" x14ac:dyDescent="0.2">
      <c r="S1208" s="371"/>
      <c r="T1208" s="371"/>
      <c r="U1208" s="371"/>
      <c r="V1208" s="371"/>
    </row>
    <row r="1209" spans="19:22" x14ac:dyDescent="0.2">
      <c r="S1209" s="371"/>
      <c r="T1209" s="371"/>
      <c r="U1209" s="371"/>
      <c r="V1209" s="371"/>
    </row>
    <row r="1210" spans="19:22" x14ac:dyDescent="0.2">
      <c r="S1210" s="371"/>
      <c r="T1210" s="371"/>
      <c r="U1210" s="371"/>
      <c r="V1210" s="371"/>
    </row>
    <row r="1211" spans="19:22" x14ac:dyDescent="0.2">
      <c r="S1211" s="371"/>
      <c r="T1211" s="371"/>
      <c r="U1211" s="371"/>
      <c r="V1211" s="371"/>
    </row>
    <row r="1212" spans="19:22" x14ac:dyDescent="0.2">
      <c r="S1212" s="371"/>
      <c r="T1212" s="371"/>
      <c r="U1212" s="371"/>
      <c r="V1212" s="371"/>
    </row>
    <row r="1213" spans="19:22" x14ac:dyDescent="0.2">
      <c r="S1213" s="371"/>
      <c r="T1213" s="371"/>
      <c r="U1213" s="371"/>
      <c r="V1213" s="371"/>
    </row>
    <row r="1214" spans="19:22" x14ac:dyDescent="0.2">
      <c r="S1214" s="371"/>
      <c r="T1214" s="371"/>
      <c r="U1214" s="371"/>
      <c r="V1214" s="371"/>
    </row>
    <row r="1215" spans="19:22" x14ac:dyDescent="0.2">
      <c r="S1215" s="372"/>
      <c r="T1215" s="371"/>
      <c r="U1215" s="371"/>
      <c r="V1215" s="371"/>
    </row>
    <row r="1216" spans="19:22" x14ac:dyDescent="0.2">
      <c r="S1216" s="371"/>
      <c r="T1216" s="371"/>
      <c r="U1216" s="371"/>
      <c r="V1216" s="371"/>
    </row>
    <row r="1217" spans="19:22" x14ac:dyDescent="0.2">
      <c r="S1217" s="371"/>
      <c r="T1217" s="371"/>
      <c r="U1217" s="371"/>
      <c r="V1217" s="371"/>
    </row>
    <row r="1218" spans="19:22" x14ac:dyDescent="0.2">
      <c r="S1218" s="375"/>
      <c r="T1218" s="371"/>
      <c r="U1218" s="371"/>
      <c r="V1218" s="371"/>
    </row>
    <row r="1219" spans="19:22" x14ac:dyDescent="0.2">
      <c r="S1219" s="371"/>
      <c r="T1219" s="371"/>
      <c r="U1219" s="371"/>
      <c r="V1219" s="371"/>
    </row>
    <row r="1220" spans="19:22" x14ac:dyDescent="0.2">
      <c r="S1220" s="371"/>
      <c r="T1220" s="371"/>
      <c r="U1220" s="371"/>
      <c r="V1220" s="371"/>
    </row>
    <row r="1221" spans="19:22" x14ac:dyDescent="0.2">
      <c r="S1221" s="371"/>
      <c r="T1221" s="371"/>
      <c r="U1221" s="371"/>
      <c r="V1221" s="371"/>
    </row>
    <row r="1222" spans="19:22" x14ac:dyDescent="0.2">
      <c r="S1222" s="371"/>
      <c r="T1222" s="371"/>
      <c r="U1222" s="371"/>
      <c r="V1222" s="371"/>
    </row>
    <row r="1223" spans="19:22" x14ac:dyDescent="0.2">
      <c r="S1223" s="371"/>
      <c r="T1223" s="371"/>
      <c r="U1223" s="371"/>
      <c r="V1223" s="371"/>
    </row>
    <row r="1224" spans="19:22" x14ac:dyDescent="0.2">
      <c r="S1224" s="371"/>
      <c r="T1224" s="371"/>
      <c r="U1224" s="371"/>
      <c r="V1224" s="371"/>
    </row>
    <row r="1225" spans="19:22" x14ac:dyDescent="0.2">
      <c r="S1225" s="371"/>
      <c r="T1225" s="371"/>
      <c r="U1225" s="371"/>
      <c r="V1225" s="371"/>
    </row>
    <row r="1226" spans="19:22" x14ac:dyDescent="0.2">
      <c r="S1226" s="371"/>
      <c r="T1226" s="371"/>
      <c r="U1226" s="371"/>
      <c r="V1226" s="371"/>
    </row>
    <row r="1227" spans="19:22" x14ac:dyDescent="0.2">
      <c r="S1227" s="376"/>
      <c r="T1227" s="371"/>
      <c r="U1227" s="371"/>
      <c r="V1227" s="371"/>
    </row>
    <row r="1229" spans="19:22" ht="19" x14ac:dyDescent="0.25">
      <c r="S1229" s="377"/>
      <c r="T1229" s="377"/>
      <c r="U1229" s="377"/>
      <c r="V1229" s="377"/>
    </row>
    <row r="1230" spans="19:22" ht="19" x14ac:dyDescent="0.25">
      <c r="S1230" s="377"/>
      <c r="T1230" s="377"/>
      <c r="U1230" s="377"/>
      <c r="V1230" s="377"/>
    </row>
    <row r="1231" spans="19:22" ht="19" x14ac:dyDescent="0.25">
      <c r="S1231" s="377"/>
      <c r="T1231" s="377"/>
      <c r="U1231" s="377"/>
      <c r="V1231" s="377"/>
    </row>
    <row r="1232" spans="19:22" ht="19" x14ac:dyDescent="0.25">
      <c r="S1232" s="377"/>
      <c r="T1232" s="377"/>
      <c r="U1232" s="377"/>
      <c r="V1232" s="377"/>
    </row>
    <row r="1233" spans="19:22" ht="19" x14ac:dyDescent="0.25">
      <c r="S1233" s="377"/>
      <c r="T1233" s="377"/>
      <c r="U1233" s="377"/>
      <c r="V1233" s="377"/>
    </row>
    <row r="1234" spans="19:22" ht="19" x14ac:dyDescent="0.25">
      <c r="S1234" s="377"/>
      <c r="T1234" s="377"/>
      <c r="U1234" s="377"/>
      <c r="V1234" s="377"/>
    </row>
    <row r="1235" spans="19:22" ht="19" x14ac:dyDescent="0.25">
      <c r="S1235" s="377"/>
      <c r="T1235" s="377"/>
      <c r="U1235" s="377"/>
      <c r="V1235" s="377"/>
    </row>
    <row r="1236" spans="19:22" ht="19" x14ac:dyDescent="0.25">
      <c r="S1236" s="377"/>
      <c r="T1236" s="377"/>
      <c r="U1236" s="377"/>
      <c r="V1236" s="377"/>
    </row>
  </sheetData>
  <mergeCells count="4">
    <mergeCell ref="X3:Z3"/>
    <mergeCell ref="AA3:AC3"/>
    <mergeCell ref="AJ2:AL2"/>
    <mergeCell ref="I2:AC2"/>
  </mergeCells>
  <phoneticPr fontId="16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1"/>
  <sheetViews>
    <sheetView workbookViewId="0">
      <selection activeCell="K14" sqref="K14"/>
    </sheetView>
  </sheetViews>
  <sheetFormatPr baseColWidth="10" defaultColWidth="8.83203125" defaultRowHeight="15" x14ac:dyDescent="0.2"/>
  <cols>
    <col min="2" max="2" width="23" customWidth="1"/>
    <col min="3" max="3" width="18.5" customWidth="1"/>
    <col min="4" max="4" width="23" hidden="1" customWidth="1"/>
    <col min="5" max="5" width="11.83203125" customWidth="1"/>
    <col min="6" max="6" width="5.5" customWidth="1"/>
    <col min="7" max="7" width="9.6640625" customWidth="1"/>
    <col min="8" max="9" width="7.1640625" customWidth="1"/>
    <col min="10" max="10" width="8.1640625" customWidth="1"/>
    <col min="11" max="11" width="8.5" style="82" customWidth="1"/>
    <col min="13" max="13" width="8.83203125" customWidth="1"/>
    <col min="14" max="14" width="9.5" customWidth="1"/>
    <col min="15" max="15" width="6.5" style="68" customWidth="1"/>
    <col min="16" max="19" width="7.5" style="68" customWidth="1"/>
    <col min="20" max="20" width="16.83203125" customWidth="1"/>
    <col min="21" max="21" width="13" customWidth="1"/>
    <col min="22" max="22" width="12.6640625" customWidth="1"/>
    <col min="23" max="23" width="10.6640625" customWidth="1"/>
    <col min="24" max="24" width="11.5" customWidth="1"/>
    <col min="25" max="25" width="9.33203125" style="80" customWidth="1"/>
  </cols>
  <sheetData>
    <row r="1" spans="1:26" s="7" customFormat="1" ht="19" x14ac:dyDescent="0.25">
      <c r="A1" s="7" t="s">
        <v>0</v>
      </c>
      <c r="K1" s="81"/>
      <c r="M1" s="67" t="s">
        <v>27</v>
      </c>
      <c r="N1" s="307"/>
      <c r="O1" s="69"/>
      <c r="P1" s="69"/>
      <c r="Q1" s="78" t="s">
        <v>853</v>
      </c>
      <c r="R1" s="69"/>
      <c r="S1" s="69"/>
      <c r="W1" s="7" t="s">
        <v>854</v>
      </c>
      <c r="Y1" s="79"/>
    </row>
    <row r="2" spans="1:26" s="10" customFormat="1" ht="16" x14ac:dyDescent="0.2">
      <c r="A2" s="386"/>
      <c r="B2" s="386"/>
      <c r="C2" s="386"/>
      <c r="D2" s="386"/>
      <c r="E2" s="386"/>
      <c r="F2" s="386"/>
      <c r="G2" s="386"/>
      <c r="H2" s="386"/>
      <c r="I2" s="386"/>
      <c r="J2" s="386"/>
      <c r="K2" s="413"/>
      <c r="L2" s="386"/>
      <c r="M2" s="386"/>
      <c r="N2" s="386"/>
      <c r="O2" s="473"/>
      <c r="P2" s="473"/>
      <c r="Q2" s="473"/>
      <c r="R2" s="473"/>
      <c r="S2" s="473"/>
      <c r="T2" s="386"/>
      <c r="U2" s="386"/>
      <c r="V2" s="386"/>
      <c r="W2" s="386"/>
      <c r="X2" s="386"/>
      <c r="Y2" s="474"/>
      <c r="Z2" s="386"/>
    </row>
    <row r="3" spans="1:26" s="10" customFormat="1" ht="16" x14ac:dyDescent="0.2">
      <c r="A3" s="66" t="s">
        <v>855</v>
      </c>
      <c r="B3" s="386"/>
      <c r="C3" s="386"/>
      <c r="D3" s="65" t="s">
        <v>2</v>
      </c>
      <c r="E3" s="746" t="s">
        <v>856</v>
      </c>
      <c r="F3" s="747"/>
      <c r="G3" s="747"/>
      <c r="H3" s="747"/>
      <c r="I3" s="747"/>
      <c r="J3" s="747"/>
      <c r="K3" s="747"/>
      <c r="L3" s="747"/>
      <c r="M3" s="747"/>
      <c r="N3" s="747"/>
      <c r="O3" s="747"/>
      <c r="P3" s="747"/>
      <c r="Q3" s="747"/>
      <c r="R3" s="747"/>
      <c r="S3" s="747"/>
      <c r="T3" s="747"/>
      <c r="U3" s="748"/>
      <c r="V3" s="65"/>
      <c r="W3" s="65"/>
      <c r="X3" s="386"/>
      <c r="Y3" s="474"/>
      <c r="Z3" s="386"/>
    </row>
    <row r="4" spans="1:26" s="10" customFormat="1" ht="63" customHeight="1" x14ac:dyDescent="0.2">
      <c r="A4" s="386" t="s">
        <v>3</v>
      </c>
      <c r="B4" s="386" t="s">
        <v>4</v>
      </c>
      <c r="C4" s="386" t="s">
        <v>5</v>
      </c>
      <c r="D4" s="389" t="s">
        <v>6</v>
      </c>
      <c r="E4" s="749" t="s">
        <v>857</v>
      </c>
      <c r="F4" s="750"/>
      <c r="G4" s="751" t="s">
        <v>858</v>
      </c>
      <c r="H4" s="752"/>
      <c r="I4" s="752"/>
      <c r="J4" s="752"/>
      <c r="K4" s="752"/>
      <c r="L4" s="752"/>
      <c r="M4" s="753"/>
      <c r="N4" s="532"/>
      <c r="O4" s="475" t="s">
        <v>859</v>
      </c>
      <c r="P4" s="475" t="s">
        <v>860</v>
      </c>
      <c r="Q4" s="475" t="s">
        <v>861</v>
      </c>
      <c r="R4" s="475" t="s">
        <v>862</v>
      </c>
      <c r="S4" s="475" t="s">
        <v>863</v>
      </c>
      <c r="T4" s="414" t="s">
        <v>7</v>
      </c>
      <c r="U4" s="415" t="s">
        <v>864</v>
      </c>
      <c r="V4" s="476" t="s">
        <v>865</v>
      </c>
      <c r="W4" s="421" t="s">
        <v>866</v>
      </c>
      <c r="X4" s="477" t="s">
        <v>867</v>
      </c>
      <c r="Y4" s="474" t="s">
        <v>868</v>
      </c>
      <c r="Z4" s="477" t="s">
        <v>869</v>
      </c>
    </row>
    <row r="5" spans="1:26" s="10" customFormat="1" ht="102" x14ac:dyDescent="0.2">
      <c r="A5" s="386"/>
      <c r="B5" s="386"/>
      <c r="C5" s="386"/>
      <c r="D5" s="390"/>
      <c r="E5" s="478" t="s">
        <v>870</v>
      </c>
      <c r="F5" s="426" t="s">
        <v>37</v>
      </c>
      <c r="G5" s="546" t="s">
        <v>1746</v>
      </c>
      <c r="H5" s="545" t="s">
        <v>1745</v>
      </c>
      <c r="I5" s="479" t="s">
        <v>872</v>
      </c>
      <c r="J5" s="421" t="s">
        <v>873</v>
      </c>
      <c r="K5" s="423" t="s">
        <v>874</v>
      </c>
      <c r="L5" s="424" t="s">
        <v>875</v>
      </c>
      <c r="M5" s="421" t="s">
        <v>876</v>
      </c>
      <c r="N5" s="421" t="s">
        <v>877</v>
      </c>
      <c r="O5" s="480"/>
      <c r="P5" s="480"/>
      <c r="Q5" s="480"/>
      <c r="R5" s="480"/>
      <c r="S5" s="480"/>
      <c r="T5" s="424" t="s">
        <v>878</v>
      </c>
      <c r="U5" s="425" t="s">
        <v>879</v>
      </c>
      <c r="V5" s="389" t="s">
        <v>880</v>
      </c>
      <c r="W5" s="386" t="s">
        <v>881</v>
      </c>
      <c r="X5" s="386"/>
      <c r="Y5" s="474"/>
      <c r="Z5" s="386"/>
    </row>
    <row r="6" spans="1:26" s="11" customFormat="1" ht="40" x14ac:dyDescent="0.2">
      <c r="A6" s="397" t="s">
        <v>13</v>
      </c>
      <c r="B6" s="397" t="s">
        <v>14</v>
      </c>
      <c r="C6" s="52" t="s">
        <v>15</v>
      </c>
      <c r="D6" s="390"/>
      <c r="E6" s="9" t="s">
        <v>882</v>
      </c>
      <c r="F6" s="440" t="s">
        <v>883</v>
      </c>
      <c r="G6" s="441"/>
      <c r="H6" s="428"/>
      <c r="I6" s="481">
        <f>+'root col (T1)'!H141</f>
        <v>7</v>
      </c>
      <c r="J6" s="482">
        <f>+'root col (T1)'!I141</f>
        <v>1</v>
      </c>
      <c r="K6" s="430">
        <f>+'root col (T1)'!Q141</f>
        <v>0.70454545454545459</v>
      </c>
      <c r="L6" s="435">
        <f>+'root col (T1)'!K141</f>
        <v>44</v>
      </c>
      <c r="M6" s="482">
        <f>+'root col (T1)'!L141</f>
        <v>0.70454545454545459</v>
      </c>
      <c r="N6" s="482">
        <f>+'root col (T1)'!AA141</f>
        <v>9.0909090909090912E-2</v>
      </c>
      <c r="O6" s="480">
        <f>+'Plant measures (T1)'!N28</f>
        <v>14.666666666666666</v>
      </c>
      <c r="P6" s="480">
        <f>+'Plant measures (T1)'!O28</f>
        <v>9.9833333333333325</v>
      </c>
      <c r="Q6" s="480">
        <f>+'Plant measures (T1)'!P28</f>
        <v>5.4388888888888882</v>
      </c>
      <c r="R6" s="480">
        <f>+'Plant measures (T1)'!Q28</f>
        <v>2.8376910256759196</v>
      </c>
      <c r="S6" s="480"/>
      <c r="T6" s="402" t="s">
        <v>27</v>
      </c>
      <c r="U6" s="402"/>
      <c r="V6" s="402"/>
      <c r="W6" s="397" t="s">
        <v>884</v>
      </c>
      <c r="X6" s="400" t="s">
        <v>884</v>
      </c>
      <c r="Y6" s="483" t="e">
        <f>(+#REF!+#REF!+#REF!)/3</f>
        <v>#REF!</v>
      </c>
      <c r="Z6" s="397" t="s">
        <v>885</v>
      </c>
    </row>
    <row r="7" spans="1:26" s="12" customFormat="1" ht="40" x14ac:dyDescent="0.2">
      <c r="A7" s="401" t="s">
        <v>18</v>
      </c>
      <c r="B7" s="401" t="s">
        <v>19</v>
      </c>
      <c r="C7" s="49" t="s">
        <v>20</v>
      </c>
      <c r="D7" s="402"/>
      <c r="E7" s="9" t="s">
        <v>886</v>
      </c>
      <c r="F7" s="440" t="str">
        <f t="shared" ref="F7:F13" si="0">+F6</f>
        <v>T0</v>
      </c>
      <c r="G7" s="441"/>
      <c r="H7" s="442"/>
      <c r="I7" s="484">
        <f>+'root col (T1)'!H189</f>
        <v>11</v>
      </c>
      <c r="J7" s="450">
        <f>+'root col (T1)'!I189</f>
        <v>1</v>
      </c>
      <c r="K7" s="437">
        <f>+'root col (T1)'!Q189</f>
        <v>0.72602739726027399</v>
      </c>
      <c r="L7" s="442">
        <f>+'root col (T1)'!K189</f>
        <v>73</v>
      </c>
      <c r="M7" s="450">
        <f>+'root col (T1)'!L189</f>
        <v>0.78082191780821919</v>
      </c>
      <c r="N7" s="482">
        <f>+'root col (T1)'!AA189</f>
        <v>9.5890410958904104E-2</v>
      </c>
      <c r="O7" s="480">
        <f>+'Plant measures (T1)'!N21</f>
        <v>12.666666666666666</v>
      </c>
      <c r="P7" s="480">
        <f>+'Plant measures (T1)'!O21</f>
        <v>10.516666666666667</v>
      </c>
      <c r="Q7" s="480">
        <f>+'Plant measures (T1)'!P21</f>
        <v>4.3240740740740735</v>
      </c>
      <c r="R7" s="480">
        <f>+'Plant measures (T1)'!Q21</f>
        <v>3.2903755682264433</v>
      </c>
      <c r="S7" s="480"/>
      <c r="T7" s="402" t="s">
        <v>27</v>
      </c>
      <c r="U7" s="390"/>
      <c r="V7" s="448"/>
      <c r="W7" s="401" t="s">
        <v>884</v>
      </c>
      <c r="X7" s="400" t="s">
        <v>884</v>
      </c>
      <c r="Y7" s="485" t="e">
        <f>(+#REF!+#REF!+#REF!)/3</f>
        <v>#REF!</v>
      </c>
      <c r="Z7" s="401" t="s">
        <v>885</v>
      </c>
    </row>
    <row r="8" spans="1:26" s="13" customFormat="1" ht="40" x14ac:dyDescent="0.2">
      <c r="A8" s="400" t="s">
        <v>21</v>
      </c>
      <c r="B8" s="400" t="s">
        <v>22</v>
      </c>
      <c r="C8" s="401" t="s">
        <v>23</v>
      </c>
      <c r="D8" s="402"/>
      <c r="E8" s="9" t="s">
        <v>886</v>
      </c>
      <c r="F8" s="440" t="str">
        <f t="shared" si="0"/>
        <v>T0</v>
      </c>
      <c r="G8" s="441"/>
      <c r="H8" s="442"/>
      <c r="I8" s="486">
        <f>+'root col (T1)'!H91</f>
        <v>11</v>
      </c>
      <c r="J8" s="450">
        <f>+'root col (T1)'!I91</f>
        <v>0.90909090909090906</v>
      </c>
      <c r="K8" s="444">
        <f>+'root col (T1)'!Q91</f>
        <v>0.77551020408163263</v>
      </c>
      <c r="L8" s="442">
        <f>+'root col (T1)'!K91</f>
        <v>49</v>
      </c>
      <c r="M8" s="450">
        <f>+'root col (T1)'!L91</f>
        <v>0.75510204081632648</v>
      </c>
      <c r="N8" s="482">
        <f>+'root col (T1)'!AA91</f>
        <v>8.1632653061224483E-2</v>
      </c>
      <c r="O8" s="487">
        <f>+'Plant measures (T1)'!N14</f>
        <v>10.055555555555555</v>
      </c>
      <c r="P8" s="487">
        <f>+'Plant measures (T1)'!O7</f>
        <v>12.466666666666667</v>
      </c>
      <c r="Q8" s="487">
        <f>'Plant measures (T1)'!P14</f>
        <v>6.0166666666666657</v>
      </c>
      <c r="R8" s="487">
        <f>+'Plant measures (T1)'!Q14</f>
        <v>1.6689932782606218</v>
      </c>
      <c r="S8" s="487"/>
      <c r="T8" s="402" t="s">
        <v>27</v>
      </c>
      <c r="U8" s="447" t="s">
        <v>887</v>
      </c>
      <c r="V8" s="448"/>
      <c r="W8" s="400" t="s">
        <v>884</v>
      </c>
      <c r="X8" s="400" t="s">
        <v>884</v>
      </c>
      <c r="Y8" s="488" t="e">
        <f>(+#REF!+#REF!+#REF!)/3</f>
        <v>#REF!</v>
      </c>
      <c r="Z8" s="400" t="s">
        <v>888</v>
      </c>
    </row>
    <row r="9" spans="1:26" s="13" customFormat="1" ht="40" x14ac:dyDescent="0.2">
      <c r="A9" s="400" t="s">
        <v>24</v>
      </c>
      <c r="B9" s="400" t="s">
        <v>25</v>
      </c>
      <c r="C9" s="401" t="s">
        <v>26</v>
      </c>
      <c r="D9" s="402"/>
      <c r="E9" s="9" t="s">
        <v>886</v>
      </c>
      <c r="F9" s="440" t="str">
        <f t="shared" si="0"/>
        <v>T0</v>
      </c>
      <c r="G9" s="441"/>
      <c r="H9" s="442"/>
      <c r="I9" s="486">
        <f>+'root col (T1)'!H7</f>
        <v>19</v>
      </c>
      <c r="J9" s="450">
        <f>+'root col (T1)'!I7</f>
        <v>1</v>
      </c>
      <c r="K9" s="444">
        <f>+'root col (T1)'!Q7</f>
        <v>0.80746987951807236</v>
      </c>
      <c r="L9" s="442">
        <f>+'root col (T1)'!K7</f>
        <v>83</v>
      </c>
      <c r="M9" s="450">
        <v>0.89</v>
      </c>
      <c r="N9" s="482">
        <f>+'root col (T1)'!AA7</f>
        <v>4.8192771084337352E-2</v>
      </c>
      <c r="O9" s="487">
        <f>+'Plant measures (T1)'!N7</f>
        <v>9.0555555555555554</v>
      </c>
      <c r="P9" s="487">
        <f>+'Plant measures (T1)'!O14</f>
        <v>12.3</v>
      </c>
      <c r="Q9" s="489">
        <f>+'Plant measures (T1)'!P7</f>
        <v>7.916666666666667</v>
      </c>
      <c r="R9" s="489">
        <f>+'Plant measures (T1)'!Q7</f>
        <v>1.2165680628447366</v>
      </c>
      <c r="S9" s="489"/>
      <c r="T9" s="402" t="s">
        <v>27</v>
      </c>
      <c r="U9" s="447" t="s">
        <v>889</v>
      </c>
      <c r="V9" s="448"/>
      <c r="W9" s="400" t="s">
        <v>884</v>
      </c>
      <c r="X9" s="400" t="s">
        <v>884</v>
      </c>
      <c r="Y9" s="488" t="e">
        <f>(+#REF!+#REF!+#REF!)/3</f>
        <v>#REF!</v>
      </c>
      <c r="Z9" s="400" t="s">
        <v>888</v>
      </c>
    </row>
    <row r="10" spans="1:26" s="348" customFormat="1" ht="40" x14ac:dyDescent="0.2">
      <c r="A10" s="456" t="s">
        <v>28</v>
      </c>
      <c r="B10" s="456" t="s">
        <v>29</v>
      </c>
      <c r="C10" s="442" t="s">
        <v>30</v>
      </c>
      <c r="D10" s="490"/>
      <c r="E10" s="347" t="s">
        <v>886</v>
      </c>
      <c r="F10" s="491" t="str">
        <f t="shared" si="0"/>
        <v>T0</v>
      </c>
      <c r="G10" s="441">
        <v>8</v>
      </c>
      <c r="H10" s="442">
        <v>1</v>
      </c>
      <c r="I10" s="484">
        <f>+'root col (T1)'!H327</f>
        <v>19</v>
      </c>
      <c r="J10" s="450">
        <f>+'root col (T1)'!I327</f>
        <v>0.94736842105263153</v>
      </c>
      <c r="K10" s="450">
        <f>+'root col (T1)'!Q327</f>
        <v>0.98039215686274506</v>
      </c>
      <c r="L10" s="492">
        <f>+'root col (T1)'!K327</f>
        <v>102</v>
      </c>
      <c r="M10" s="450">
        <f>+'root col (T1)'!L327</f>
        <v>0.99019607843137258</v>
      </c>
      <c r="N10" s="482">
        <f>+'root col (T1)'!AA327</f>
        <v>0</v>
      </c>
      <c r="O10" s="489">
        <f>+'Plant measures (T1)'!N77</f>
        <v>8.5</v>
      </c>
      <c r="P10" s="489">
        <f>+'Plant measures (T1)'!O77</f>
        <v>11.812465929132596</v>
      </c>
      <c r="Q10" s="489">
        <f>+'Plant measures (T1)'!P77</f>
        <v>4.6944444444444446</v>
      </c>
      <c r="R10" s="489">
        <f>+'Plant measures (T1)'!Q77</f>
        <v>1.8686569412682583</v>
      </c>
      <c r="S10" s="489"/>
      <c r="T10" s="490" t="s">
        <v>27</v>
      </c>
      <c r="U10" s="493" t="s">
        <v>890</v>
      </c>
      <c r="V10" s="494"/>
      <c r="W10" s="456" t="s">
        <v>884</v>
      </c>
      <c r="X10" s="456" t="s">
        <v>884</v>
      </c>
      <c r="Y10" s="495"/>
      <c r="Z10" s="456"/>
    </row>
    <row r="11" spans="1:26" s="349" customFormat="1" ht="40" x14ac:dyDescent="0.2">
      <c r="A11" s="349" t="s">
        <v>34</v>
      </c>
      <c r="B11" s="349" t="s">
        <v>891</v>
      </c>
      <c r="C11" s="350" t="s">
        <v>36</v>
      </c>
      <c r="D11" s="351"/>
      <c r="E11" s="352" t="s">
        <v>886</v>
      </c>
      <c r="F11" s="353" t="str">
        <f t="shared" si="0"/>
        <v>T0</v>
      </c>
      <c r="G11" s="354"/>
      <c r="I11" s="355">
        <f>+'root col (T1)'!H264</f>
        <v>17</v>
      </c>
      <c r="J11" s="356">
        <f>+'root col (T1)'!I264</f>
        <v>0.47058823529411764</v>
      </c>
      <c r="K11" s="450">
        <f>+'root col (T1)'!Q264</f>
        <v>0.9838709677419355</v>
      </c>
      <c r="L11" s="354">
        <f>+'root col (T1)'!K264</f>
        <v>62</v>
      </c>
      <c r="M11" s="357">
        <f>+'root col (T1)'!L264</f>
        <v>0.9838709677419355</v>
      </c>
      <c r="N11" s="358">
        <f>+'root col (T1)'!AA264</f>
        <v>0</v>
      </c>
      <c r="O11" s="359">
        <f>+'Plant measures (T1)'!N84</f>
        <v>5.5555555555555554</v>
      </c>
      <c r="P11" s="359">
        <f>+'Plant measures (T1)'!O84</f>
        <v>9.4598544973544954</v>
      </c>
      <c r="Q11" s="359">
        <f>+'Plant measures (T1)'!P84</f>
        <v>2.1333333333333333</v>
      </c>
      <c r="R11" s="359">
        <f>+'Plant measures (T1)'!Q84</f>
        <v>2.6041666666666665</v>
      </c>
      <c r="S11" s="359"/>
      <c r="T11" s="351" t="s">
        <v>27</v>
      </c>
      <c r="U11" s="360"/>
      <c r="V11" s="361"/>
      <c r="W11" s="349" t="s">
        <v>884</v>
      </c>
      <c r="X11" s="349" t="s">
        <v>884</v>
      </c>
      <c r="Y11" s="362"/>
    </row>
    <row r="12" spans="1:26" s="348" customFormat="1" ht="40" x14ac:dyDescent="0.2">
      <c r="A12" s="456" t="s">
        <v>37</v>
      </c>
      <c r="B12" s="456" t="s">
        <v>38</v>
      </c>
      <c r="C12" s="442" t="s">
        <v>39</v>
      </c>
      <c r="D12" s="490"/>
      <c r="E12" s="347" t="s">
        <v>886</v>
      </c>
      <c r="F12" s="491" t="str">
        <f t="shared" si="0"/>
        <v>T0</v>
      </c>
      <c r="G12" s="441"/>
      <c r="H12" s="435"/>
      <c r="I12" s="496">
        <f>+'root col (T1)'!H503</f>
        <v>16</v>
      </c>
      <c r="J12" s="482">
        <f>+'root col (T1)'!I503</f>
        <v>1</v>
      </c>
      <c r="K12" s="497">
        <f>+'root col (T1)'!Q503</f>
        <v>0.9838308457711441</v>
      </c>
      <c r="L12" s="435">
        <f>+'root col (T1)'!K503</f>
        <v>67</v>
      </c>
      <c r="M12" s="482">
        <f>+'root col (T1)'!L503</f>
        <v>0.93</v>
      </c>
      <c r="N12" s="482">
        <f>+'root col (T1)'!AA503</f>
        <v>0</v>
      </c>
      <c r="O12" s="489">
        <f>+'Plant measures (T1)'!N103</f>
        <v>8.25</v>
      </c>
      <c r="P12" s="489">
        <f>+'Plant measures (T1)'!O103</f>
        <v>9.1379755320931793</v>
      </c>
      <c r="Q12" s="489">
        <f>+'Plant measures (T1)'!P103</f>
        <v>3.7166666666666672</v>
      </c>
      <c r="R12" s="489">
        <f>+'Plant measures (T1)'!Q103</f>
        <v>2.2197309417040354</v>
      </c>
      <c r="S12" s="489"/>
      <c r="T12" s="490" t="s">
        <v>27</v>
      </c>
      <c r="U12" s="493"/>
      <c r="V12" s="494"/>
      <c r="W12" s="456" t="s">
        <v>884</v>
      </c>
      <c r="X12" s="456" t="s">
        <v>884</v>
      </c>
      <c r="Y12" s="495"/>
      <c r="Z12" s="456"/>
    </row>
    <row r="13" spans="1:26" s="348" customFormat="1" ht="40" x14ac:dyDescent="0.2">
      <c r="A13" s="456" t="s">
        <v>40</v>
      </c>
      <c r="B13" s="456" t="s">
        <v>41</v>
      </c>
      <c r="C13" s="363" t="s">
        <v>42</v>
      </c>
      <c r="D13" s="490"/>
      <c r="E13" s="347" t="s">
        <v>886</v>
      </c>
      <c r="F13" s="491" t="str">
        <f t="shared" si="0"/>
        <v>T0</v>
      </c>
      <c r="G13" s="441"/>
      <c r="H13" s="435"/>
      <c r="I13" s="496">
        <f>+'root col (T1)'!H458</f>
        <v>8</v>
      </c>
      <c r="J13" s="482">
        <f>+'root col (T1)'!I458</f>
        <v>1</v>
      </c>
      <c r="K13" s="497">
        <f>+'root col (T1)'!Q458</f>
        <v>0.75</v>
      </c>
      <c r="L13" s="435">
        <f>+'root col (T1)'!K458</f>
        <v>40</v>
      </c>
      <c r="M13" s="482">
        <f>+'root col (T1)'!L458</f>
        <v>0.82499999999999996</v>
      </c>
      <c r="N13" s="482">
        <f>+'root col (T1)'!AA458</f>
        <v>0</v>
      </c>
      <c r="O13" s="489">
        <f>+'Plant measures (T1)'!N42</f>
        <v>11</v>
      </c>
      <c r="P13" s="489">
        <f>+'Plant measures (T1)'!O42</f>
        <v>13.783333333333335</v>
      </c>
      <c r="Q13" s="489">
        <f>+'Plant measures (T1)'!P42</f>
        <v>3.6222222222222222</v>
      </c>
      <c r="R13" s="489">
        <f>+'Plant measures (T1)'!Q42</f>
        <v>3.1994005801950478</v>
      </c>
      <c r="S13" s="489"/>
      <c r="T13" s="490" t="s">
        <v>27</v>
      </c>
      <c r="U13" s="493"/>
      <c r="V13" s="494"/>
      <c r="W13" s="456" t="s">
        <v>884</v>
      </c>
      <c r="X13" s="456" t="s">
        <v>884</v>
      </c>
      <c r="Y13" s="495" t="e">
        <f>(+#REF!+#REF!+#REF!)/3</f>
        <v>#REF!</v>
      </c>
      <c r="Z13" s="456" t="s">
        <v>892</v>
      </c>
    </row>
    <row r="14" spans="1:26" s="348" customFormat="1" ht="40" x14ac:dyDescent="0.2">
      <c r="A14" s="456" t="s">
        <v>43</v>
      </c>
      <c r="B14" s="456" t="s">
        <v>44</v>
      </c>
      <c r="C14" s="308" t="s">
        <v>45</v>
      </c>
      <c r="D14" s="490"/>
      <c r="E14" s="347" t="s">
        <v>886</v>
      </c>
      <c r="F14" s="491" t="s">
        <v>893</v>
      </c>
      <c r="G14" s="441"/>
      <c r="H14" s="435"/>
      <c r="I14" s="481">
        <f>+'root col (T1)'!H683</f>
        <v>12</v>
      </c>
      <c r="J14" s="498">
        <f>+'root col (T1)'!I683</f>
        <v>0.66666666666666663</v>
      </c>
      <c r="K14" s="497">
        <f>+'root col (T1)'!Q683</f>
        <v>0.8</v>
      </c>
      <c r="L14" s="481">
        <f>+'root col (T1)'!K683</f>
        <v>70</v>
      </c>
      <c r="M14" s="498">
        <f>+'root col (T1)'!J756+'root col (T1)'!L683</f>
        <v>0.7857142857142857</v>
      </c>
      <c r="N14" s="498">
        <f>+'root col (T1)'!AA683</f>
        <v>4.2857142857142858E-2</v>
      </c>
      <c r="O14" s="489">
        <f>+'Plant measures (T1)'!N35</f>
        <v>11.222222222222221</v>
      </c>
      <c r="P14" s="489">
        <f>+'Plant measures (T1)'!O35</f>
        <v>13.272222222222222</v>
      </c>
      <c r="Q14" s="489">
        <f>+'Plant measures (T1)'!P35</f>
        <v>3.3944444444444439</v>
      </c>
      <c r="R14" s="489">
        <f>+'Plant measures (T1)'!Q35</f>
        <v>3.3081060248378096</v>
      </c>
      <c r="S14" s="489"/>
      <c r="T14" s="490" t="s">
        <v>27</v>
      </c>
      <c r="U14" s="493"/>
      <c r="V14" s="494"/>
      <c r="W14" s="456" t="s">
        <v>884</v>
      </c>
      <c r="X14" s="456" t="s">
        <v>884</v>
      </c>
      <c r="Y14" s="495" t="e">
        <f>+#REF!</f>
        <v>#REF!</v>
      </c>
      <c r="Z14" s="456" t="s">
        <v>892</v>
      </c>
    </row>
    <row r="15" spans="1:26" s="348" customFormat="1" ht="40" x14ac:dyDescent="0.2">
      <c r="A15" s="456" t="s">
        <v>709</v>
      </c>
      <c r="B15" s="456" t="s">
        <v>894</v>
      </c>
      <c r="C15" s="499" t="s">
        <v>51</v>
      </c>
      <c r="D15" s="490"/>
      <c r="E15" s="347" t="s">
        <v>886</v>
      </c>
      <c r="F15" s="491" t="s">
        <v>893</v>
      </c>
      <c r="G15" s="441"/>
      <c r="H15" s="500"/>
      <c r="I15" s="496">
        <f>+'root col (T1)'!H575</f>
        <v>11</v>
      </c>
      <c r="J15" s="501">
        <f>+'root col (T1)'!I575</f>
        <v>0.63636363636363635</v>
      </c>
      <c r="K15" s="497">
        <f>+'root col (T1)'!Q575</f>
        <v>0.84890909090909084</v>
      </c>
      <c r="L15" s="500">
        <f>+'root col (T1)'!K575</f>
        <v>55</v>
      </c>
      <c r="M15" s="501">
        <f>+'root col (T1)'!L575</f>
        <v>0.92727272727272725</v>
      </c>
      <c r="N15" s="482">
        <f>+'root col (T1)'!AA575</f>
        <v>3.6363636363636362E-2</v>
      </c>
      <c r="O15" s="489">
        <f>+'Plant measures (T1)'!N56</f>
        <v>11.166666666666666</v>
      </c>
      <c r="P15" s="489">
        <f>+'Plant measures (T1)'!O56</f>
        <v>10.866666666666665</v>
      </c>
      <c r="Q15" s="489">
        <f>+'Plant measures (T1)'!P56</f>
        <v>4.655555555555555</v>
      </c>
      <c r="R15" s="489">
        <f>+'Plant measures (T1)'!Q56</f>
        <v>2.6329807672586991</v>
      </c>
      <c r="S15" s="489"/>
      <c r="T15" s="490" t="s">
        <v>27</v>
      </c>
      <c r="U15" s="493"/>
      <c r="V15" s="494"/>
      <c r="W15" s="456" t="s">
        <v>884</v>
      </c>
      <c r="X15" s="456" t="s">
        <v>884</v>
      </c>
      <c r="Y15" s="495" t="e">
        <f>+(#REF!+#REF!+#REF!)/3</f>
        <v>#REF!</v>
      </c>
      <c r="Z15" s="456"/>
    </row>
    <row r="16" spans="1:26" s="364" customFormat="1" ht="16" x14ac:dyDescent="0.2">
      <c r="A16" s="428"/>
      <c r="B16" s="456" t="s">
        <v>895</v>
      </c>
      <c r="C16" s="428"/>
      <c r="D16" s="502"/>
      <c r="E16" s="503"/>
      <c r="F16" s="504"/>
      <c r="G16" s="441"/>
      <c r="H16" s="500"/>
      <c r="I16" s="496">
        <f>+'root col (T1)'!H633</f>
        <v>12</v>
      </c>
      <c r="J16" s="501">
        <f>+'root col (T1)'!I633</f>
        <v>1</v>
      </c>
      <c r="K16" s="497">
        <f>+'root col (T1)'!Q633</f>
        <v>0.89795918367346939</v>
      </c>
      <c r="L16" s="500">
        <f>+'root col (T1)'!K633</f>
        <v>49</v>
      </c>
      <c r="M16" s="501">
        <f>+'root col (T1)'!L633</f>
        <v>0.89795918367346939</v>
      </c>
      <c r="N16" s="482">
        <f>+'root col (T1)'!AA633</f>
        <v>2.0408163265306121E-2</v>
      </c>
      <c r="O16" s="505">
        <f>+'Plant measures (T1)'!N63</f>
        <v>11.277777777777779</v>
      </c>
      <c r="P16" s="505">
        <f>+'Plant measures (T1)'!O63</f>
        <v>7.1681111448655299</v>
      </c>
      <c r="Q16" s="505">
        <f>+'Plant measures (T1)'!P63</f>
        <v>3.3055555555555554</v>
      </c>
      <c r="R16" s="505">
        <f>+'Plant measures (T1)'!Q63</f>
        <v>3.4656446033362536</v>
      </c>
      <c r="S16" s="505"/>
      <c r="T16" s="502"/>
      <c r="U16" s="502"/>
      <c r="V16" s="494"/>
      <c r="W16" s="456" t="s">
        <v>884</v>
      </c>
      <c r="X16" s="456" t="s">
        <v>884</v>
      </c>
      <c r="Y16" s="495" t="e">
        <f>+(#REF!+#REF!+#REF!)/3</f>
        <v>#REF!</v>
      </c>
      <c r="Z16" s="428"/>
    </row>
    <row r="17" spans="1:26" s="13" customFormat="1" ht="40" x14ac:dyDescent="0.2">
      <c r="A17" s="400" t="s">
        <v>53</v>
      </c>
      <c r="B17" s="400" t="s">
        <v>54</v>
      </c>
      <c r="C17" s="401" t="s">
        <v>55</v>
      </c>
      <c r="D17" s="402"/>
      <c r="E17" s="9" t="s">
        <v>886</v>
      </c>
      <c r="F17" s="440" t="s">
        <v>893</v>
      </c>
      <c r="G17" s="441"/>
      <c r="H17" s="386"/>
      <c r="I17" s="506">
        <f>+'root col (T1)'!H432</f>
        <v>3</v>
      </c>
      <c r="J17" s="507">
        <f>+'root col (T1)'!I432</f>
        <v>0.66666666666666663</v>
      </c>
      <c r="K17" s="430">
        <f>+'root col (T1)'!Q432</f>
        <v>0.56000000000000005</v>
      </c>
      <c r="L17" s="441">
        <f>+'root col (T1)'!K432</f>
        <v>25</v>
      </c>
      <c r="M17" s="507">
        <f>+'root col (T1)'!L432</f>
        <v>0.6</v>
      </c>
      <c r="N17" s="482">
        <f>+'root col (T1)'!AA432</f>
        <v>0</v>
      </c>
      <c r="O17" s="489">
        <f>+'Plant measures (T1)'!N49</f>
        <v>7</v>
      </c>
      <c r="P17" s="489">
        <f>+'Plant measures (T1)'!O49</f>
        <v>5.3314285714285718</v>
      </c>
      <c r="Q17" s="489">
        <f>+'Plant measures (T1)'!P49</f>
        <v>2.96</v>
      </c>
      <c r="R17" s="489">
        <f>+'Plant measures (T1)'!Q49</f>
        <v>2.5159771104471562</v>
      </c>
      <c r="S17" s="489"/>
      <c r="T17" s="402" t="s">
        <v>27</v>
      </c>
      <c r="U17" s="447"/>
      <c r="V17" s="448"/>
      <c r="W17" s="400" t="s">
        <v>884</v>
      </c>
      <c r="X17" s="400" t="s">
        <v>884</v>
      </c>
      <c r="Y17" s="488" t="e">
        <f>+#REF!</f>
        <v>#REF!</v>
      </c>
      <c r="Z17" s="400" t="s">
        <v>888</v>
      </c>
    </row>
    <row r="18" spans="1:26" s="10" customFormat="1" ht="16" x14ac:dyDescent="0.2">
      <c r="A18" s="386"/>
      <c r="B18" s="386"/>
      <c r="C18" s="386"/>
      <c r="D18" s="386"/>
      <c r="E18" s="464"/>
      <c r="F18" s="433"/>
      <c r="G18" s="434"/>
      <c r="H18" s="386"/>
      <c r="I18" s="508"/>
      <c r="J18" s="386"/>
      <c r="K18" s="466"/>
      <c r="L18" s="433"/>
      <c r="M18" s="438"/>
      <c r="N18" s="438"/>
      <c r="O18" s="509"/>
      <c r="P18" s="509"/>
      <c r="Q18" s="509"/>
      <c r="R18" s="509"/>
      <c r="S18" s="509"/>
      <c r="T18" s="390"/>
      <c r="U18" s="390"/>
      <c r="V18" s="390"/>
      <c r="W18" s="386"/>
      <c r="X18" s="386"/>
      <c r="Y18" s="474"/>
      <c r="Z18" s="386"/>
    </row>
    <row r="19" spans="1:26" s="338" customFormat="1" ht="16" x14ac:dyDescent="0.2">
      <c r="A19" s="338" t="s">
        <v>896</v>
      </c>
      <c r="E19" s="339"/>
      <c r="F19" s="340"/>
      <c r="G19" s="341"/>
      <c r="I19" s="342">
        <f>SUM(I4:I18)</f>
        <v>146</v>
      </c>
      <c r="J19" s="343">
        <f>+'root col (T1)'!I6</f>
        <v>0.89726027397260277</v>
      </c>
      <c r="K19" s="510"/>
      <c r="L19" s="341">
        <f>SUM(L4:L18)</f>
        <v>719</v>
      </c>
      <c r="M19" s="344">
        <f>+'root col (T1)'!L6</f>
        <v>0.86369958275382475</v>
      </c>
      <c r="N19" s="344">
        <f>+'root col (T1)'!AA6</f>
        <v>3.7552155771905425E-2</v>
      </c>
      <c r="O19" s="345"/>
      <c r="P19" s="345"/>
      <c r="Q19" s="345"/>
      <c r="R19" s="345"/>
      <c r="S19" s="345"/>
      <c r="T19" s="346"/>
      <c r="U19" s="346"/>
      <c r="V19" s="346"/>
      <c r="Y19" s="343"/>
    </row>
    <row r="20" spans="1:26" s="10" customFormat="1" ht="16" x14ac:dyDescent="0.2">
      <c r="A20" s="386"/>
      <c r="B20" s="386"/>
      <c r="C20" s="386"/>
      <c r="D20" s="386"/>
      <c r="E20" s="464"/>
      <c r="F20" s="433"/>
      <c r="G20" s="471"/>
      <c r="H20" s="386"/>
      <c r="I20" s="386"/>
      <c r="J20" s="386"/>
      <c r="K20" s="472"/>
      <c r="L20" s="433"/>
      <c r="M20" s="438"/>
      <c r="N20" s="438"/>
      <c r="O20" s="509"/>
      <c r="P20" s="509"/>
      <c r="Q20" s="509"/>
      <c r="R20" s="509"/>
      <c r="S20" s="509"/>
      <c r="T20" s="390"/>
      <c r="U20" s="390"/>
      <c r="V20" s="390"/>
      <c r="W20" s="386"/>
      <c r="X20" s="386"/>
      <c r="Y20" s="474"/>
      <c r="Z20" s="386"/>
    </row>
    <row r="21" spans="1:26" s="10" customFormat="1" ht="16" x14ac:dyDescent="0.2">
      <c r="A21" s="386"/>
      <c r="B21" s="386"/>
      <c r="C21" s="386"/>
      <c r="D21" s="386"/>
      <c r="E21" s="464"/>
      <c r="F21" s="433"/>
      <c r="G21" s="471"/>
      <c r="H21"/>
      <c r="I21"/>
      <c r="J21"/>
      <c r="K21" s="472"/>
      <c r="L21" s="433"/>
      <c r="M21" s="438"/>
      <c r="N21" s="438"/>
      <c r="O21" s="509"/>
      <c r="P21" s="509"/>
      <c r="Q21" s="509"/>
      <c r="R21" s="509"/>
      <c r="S21" s="509"/>
      <c r="T21" s="390"/>
      <c r="U21" s="390"/>
      <c r="V21" s="390"/>
      <c r="W21" s="386"/>
      <c r="X21" s="386"/>
      <c r="Y21" s="474"/>
      <c r="Z21" s="386"/>
    </row>
    <row r="22" spans="1:26" s="10" customFormat="1" ht="16" x14ac:dyDescent="0.2">
      <c r="A22" s="386"/>
      <c r="B22" s="386"/>
      <c r="C22" s="386"/>
      <c r="D22" s="386"/>
      <c r="E22" s="464"/>
      <c r="F22" s="433"/>
      <c r="G22" s="471"/>
      <c r="H22"/>
      <c r="I22"/>
      <c r="J22"/>
      <c r="K22" s="472"/>
      <c r="L22" s="433"/>
      <c r="M22" s="438"/>
      <c r="N22" s="438"/>
      <c r="O22" s="509"/>
      <c r="P22" s="509"/>
      <c r="Q22" s="509"/>
      <c r="R22" s="509"/>
      <c r="S22" s="509"/>
      <c r="T22" s="390"/>
      <c r="U22" s="390"/>
      <c r="V22" s="390"/>
      <c r="W22" s="386"/>
      <c r="X22" s="386"/>
      <c r="Y22" s="474"/>
      <c r="Z22" s="386"/>
    </row>
    <row r="23" spans="1:26" s="10" customFormat="1" ht="16" x14ac:dyDescent="0.2">
      <c r="A23" s="386"/>
      <c r="B23" s="386"/>
      <c r="C23" s="386"/>
      <c r="D23" s="386"/>
      <c r="E23" s="464"/>
      <c r="F23" s="433"/>
      <c r="G23" s="471"/>
      <c r="H23"/>
      <c r="I23"/>
      <c r="J23"/>
      <c r="K23" s="472"/>
      <c r="L23" s="433"/>
      <c r="M23" s="438"/>
      <c r="N23" s="438"/>
      <c r="O23" s="509"/>
      <c r="P23" s="509"/>
      <c r="Q23" s="509"/>
      <c r="R23" s="509"/>
      <c r="S23" s="509"/>
      <c r="T23" s="390"/>
      <c r="U23" s="390"/>
      <c r="V23" s="390"/>
      <c r="W23" s="386"/>
      <c r="X23" s="386"/>
      <c r="Y23" s="474"/>
      <c r="Z23" s="386"/>
    </row>
    <row r="24" spans="1:26" s="10" customFormat="1" ht="16" x14ac:dyDescent="0.2">
      <c r="A24" s="386"/>
      <c r="B24" s="386"/>
      <c r="C24" s="386"/>
      <c r="D24" s="386"/>
      <c r="E24" s="386"/>
      <c r="F24" s="386"/>
      <c r="G24" s="386"/>
      <c r="H24"/>
      <c r="I24"/>
      <c r="J24"/>
      <c r="K24" s="413"/>
      <c r="L24" s="386"/>
      <c r="M24" s="386"/>
      <c r="N24" s="386"/>
      <c r="O24" s="473"/>
      <c r="P24" s="473"/>
      <c r="Q24" s="473"/>
      <c r="R24" s="473"/>
      <c r="S24" s="473"/>
      <c r="T24" s="386"/>
      <c r="U24" s="386"/>
      <c r="V24" s="386"/>
      <c r="W24" s="386"/>
      <c r="X24" s="386"/>
      <c r="Y24" s="474"/>
      <c r="Z24" s="386"/>
    </row>
    <row r="25" spans="1:26" s="10" customFormat="1" ht="16" x14ac:dyDescent="0.2">
      <c r="A25" s="386"/>
      <c r="B25" s="386"/>
      <c r="C25" s="386"/>
      <c r="D25" s="386"/>
      <c r="E25" s="386"/>
      <c r="F25" s="386"/>
      <c r="G25" s="386"/>
      <c r="H25"/>
      <c r="I25"/>
      <c r="J25"/>
      <c r="K25" s="413"/>
      <c r="L25" s="386"/>
      <c r="M25" s="386"/>
      <c r="N25" s="386"/>
      <c r="O25" s="473"/>
      <c r="P25" s="473"/>
      <c r="Q25" s="473"/>
      <c r="R25" s="473"/>
      <c r="S25" s="473"/>
      <c r="T25" s="386"/>
      <c r="U25" s="386"/>
      <c r="V25" s="386"/>
      <c r="W25" s="386"/>
      <c r="X25" s="386"/>
      <c r="Y25" s="474"/>
      <c r="Z25" s="386"/>
    </row>
    <row r="26" spans="1:26" ht="16" x14ac:dyDescent="0.2">
      <c r="K26" s="413"/>
    </row>
    <row r="27" spans="1:26" ht="16" x14ac:dyDescent="0.2">
      <c r="K27" s="413"/>
    </row>
    <row r="28" spans="1:26" ht="16" x14ac:dyDescent="0.2">
      <c r="K28" s="413"/>
    </row>
    <row r="29" spans="1:26" ht="16" x14ac:dyDescent="0.2">
      <c r="K29" s="413"/>
    </row>
    <row r="30" spans="1:26" ht="16" x14ac:dyDescent="0.2">
      <c r="K30" s="413"/>
    </row>
    <row r="31" spans="1:26" ht="16" x14ac:dyDescent="0.2">
      <c r="K31" s="413"/>
    </row>
  </sheetData>
  <mergeCells count="3">
    <mergeCell ref="E3:U3"/>
    <mergeCell ref="E4:F4"/>
    <mergeCell ref="G4:M4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3"/>
  <sheetViews>
    <sheetView workbookViewId="0">
      <selection activeCell="K12" sqref="K12"/>
    </sheetView>
  </sheetViews>
  <sheetFormatPr baseColWidth="10" defaultColWidth="8.83203125" defaultRowHeight="15" x14ac:dyDescent="0.2"/>
  <cols>
    <col min="2" max="2" width="23" customWidth="1"/>
    <col min="3" max="3" width="18.5" customWidth="1"/>
    <col min="4" max="4" width="23" hidden="1" customWidth="1"/>
    <col min="5" max="5" width="7.1640625" customWidth="1"/>
    <col min="6" max="6" width="7.83203125" customWidth="1"/>
    <col min="7" max="7" width="7.5" customWidth="1"/>
    <col min="8" max="9" width="7.1640625" customWidth="1"/>
    <col min="10" max="10" width="8" style="82" customWidth="1"/>
    <col min="11" max="11" width="8.5" style="82" customWidth="1"/>
    <col min="12" max="12" width="6.6640625" customWidth="1"/>
    <col min="13" max="13" width="11.1640625" customWidth="1"/>
    <col min="14" max="14" width="15.33203125" customWidth="1"/>
    <col min="15" max="15" width="10.83203125" customWidth="1"/>
    <col min="16" max="16" width="11.6640625" customWidth="1"/>
  </cols>
  <sheetData>
    <row r="1" spans="1:16" s="7" customFormat="1" ht="19" x14ac:dyDescent="0.25">
      <c r="A1" s="7" t="s">
        <v>0</v>
      </c>
      <c r="J1" s="81"/>
      <c r="K1" s="81"/>
      <c r="M1" s="67" t="s">
        <v>27</v>
      </c>
    </row>
    <row r="2" spans="1:16" s="10" customFormat="1" ht="16" x14ac:dyDescent="0.2">
      <c r="A2" s="386"/>
      <c r="B2" s="386"/>
      <c r="C2" s="386"/>
      <c r="D2" s="386"/>
      <c r="E2" s="386"/>
      <c r="F2" s="386"/>
      <c r="G2" s="386"/>
      <c r="H2" s="386"/>
      <c r="I2" s="386"/>
      <c r="J2" s="413"/>
      <c r="K2" s="413"/>
      <c r="L2" s="386"/>
      <c r="M2" s="386"/>
      <c r="N2" s="386"/>
      <c r="O2" s="386"/>
      <c r="P2" s="386"/>
    </row>
    <row r="3" spans="1:16" s="10" customFormat="1" ht="16" x14ac:dyDescent="0.2">
      <c r="A3" s="66" t="s">
        <v>1</v>
      </c>
      <c r="B3" s="386"/>
      <c r="C3" s="386"/>
      <c r="D3" s="65" t="s">
        <v>2</v>
      </c>
      <c r="E3" s="746" t="s">
        <v>897</v>
      </c>
      <c r="F3" s="747"/>
      <c r="G3" s="747"/>
      <c r="H3" s="747"/>
      <c r="I3" s="747"/>
      <c r="J3" s="747"/>
      <c r="K3" s="747"/>
      <c r="L3" s="747"/>
      <c r="M3" s="747"/>
      <c r="N3" s="747"/>
      <c r="O3" s="748"/>
      <c r="P3" s="65"/>
    </row>
    <row r="4" spans="1:16" s="10" customFormat="1" ht="63" customHeight="1" x14ac:dyDescent="0.2">
      <c r="A4" s="386" t="s">
        <v>3</v>
      </c>
      <c r="B4" s="386" t="s">
        <v>4</v>
      </c>
      <c r="C4" s="386" t="s">
        <v>5</v>
      </c>
      <c r="D4" s="389" t="s">
        <v>6</v>
      </c>
      <c r="E4" s="749" t="s">
        <v>898</v>
      </c>
      <c r="F4" s="754"/>
      <c r="G4" s="750"/>
      <c r="H4" s="755" t="s">
        <v>858</v>
      </c>
      <c r="I4" s="756"/>
      <c r="J4" s="756"/>
      <c r="K4" s="756"/>
      <c r="L4" s="756"/>
      <c r="M4" s="757"/>
      <c r="N4" s="414" t="s">
        <v>7</v>
      </c>
      <c r="O4" s="415" t="s">
        <v>864</v>
      </c>
      <c r="P4" s="416" t="s">
        <v>899</v>
      </c>
    </row>
    <row r="5" spans="1:16" s="10" customFormat="1" ht="102" x14ac:dyDescent="0.2">
      <c r="A5" s="386"/>
      <c r="B5" s="386"/>
      <c r="C5" s="386"/>
      <c r="D5" s="390"/>
      <c r="E5" s="417" t="s">
        <v>900</v>
      </c>
      <c r="F5" s="418" t="s">
        <v>901</v>
      </c>
      <c r="G5" s="419" t="s">
        <v>902</v>
      </c>
      <c r="H5" s="420" t="s">
        <v>871</v>
      </c>
      <c r="I5" s="421" t="s">
        <v>903</v>
      </c>
      <c r="J5" s="422" t="s">
        <v>904</v>
      </c>
      <c r="K5" s="423" t="s">
        <v>874</v>
      </c>
      <c r="L5" s="424" t="s">
        <v>875</v>
      </c>
      <c r="M5" s="421" t="s">
        <v>905</v>
      </c>
      <c r="N5" s="424" t="s">
        <v>878</v>
      </c>
      <c r="O5" s="425" t="s">
        <v>879</v>
      </c>
      <c r="P5" s="389" t="s">
        <v>880</v>
      </c>
    </row>
    <row r="6" spans="1:16" s="14" customFormat="1" ht="27" x14ac:dyDescent="0.2">
      <c r="A6" s="393" t="s">
        <v>13</v>
      </c>
      <c r="B6" s="393" t="s">
        <v>14</v>
      </c>
      <c r="C6" s="85" t="s">
        <v>15</v>
      </c>
      <c r="D6" s="394"/>
      <c r="E6" s="86">
        <v>5</v>
      </c>
      <c r="F6" s="87" t="s">
        <v>906</v>
      </c>
      <c r="G6" s="426" t="s">
        <v>893</v>
      </c>
      <c r="H6" s="427" t="s">
        <v>907</v>
      </c>
      <c r="I6" s="428"/>
      <c r="J6" s="429">
        <f>+'root col (T0)'!L5</f>
        <v>9</v>
      </c>
      <c r="K6" s="430">
        <f>SUM('root col (T0)'!S6:S31)/'Overview T0'!J6</f>
        <v>5.5555555555555552E-2</v>
      </c>
      <c r="L6" s="431">
        <f>+'root col (T0)'!N5</f>
        <v>38</v>
      </c>
      <c r="M6" s="432">
        <f>+'root col (T0)'!O5</f>
        <v>0.10526315789473684</v>
      </c>
      <c r="N6" s="389" t="s">
        <v>908</v>
      </c>
      <c r="O6" s="389"/>
      <c r="P6" s="389" t="e">
        <f>+#REF!</f>
        <v>#REF!</v>
      </c>
    </row>
    <row r="7" spans="1:16" s="11" customFormat="1" ht="27" x14ac:dyDescent="0.2">
      <c r="A7" s="397" t="s">
        <v>18</v>
      </c>
      <c r="B7" s="397" t="s">
        <v>19</v>
      </c>
      <c r="C7" s="49" t="s">
        <v>20</v>
      </c>
      <c r="D7" s="390"/>
      <c r="E7" s="83">
        <v>4</v>
      </c>
      <c r="F7" s="84" t="s">
        <v>906</v>
      </c>
      <c r="G7" s="433" t="s">
        <v>893</v>
      </c>
      <c r="H7" s="434" t="s">
        <v>907</v>
      </c>
      <c r="I7" s="435"/>
      <c r="J7" s="436">
        <f>+'root col (T0)'!L49</f>
        <v>6</v>
      </c>
      <c r="K7" s="437">
        <f>+'root col (T0)'!S49</f>
        <v>9.7096774193548396E-2</v>
      </c>
      <c r="L7" s="438">
        <f>+'root col (T0)'!N49</f>
        <v>31</v>
      </c>
      <c r="M7" s="439">
        <f>+'root col (T0)'!O49</f>
        <v>9.6774193548387094E-2</v>
      </c>
      <c r="N7" s="390" t="s">
        <v>909</v>
      </c>
      <c r="O7" s="390"/>
      <c r="P7" s="390" t="e">
        <f>+#REF!</f>
        <v>#REF!</v>
      </c>
    </row>
    <row r="8" spans="1:16" s="13" customFormat="1" ht="27" x14ac:dyDescent="0.2">
      <c r="A8" s="400" t="s">
        <v>21</v>
      </c>
      <c r="B8" s="400" t="s">
        <v>22</v>
      </c>
      <c r="C8" s="401" t="s">
        <v>23</v>
      </c>
      <c r="D8" s="402"/>
      <c r="E8" s="9">
        <v>4</v>
      </c>
      <c r="F8" s="77" t="s">
        <v>906</v>
      </c>
      <c r="G8" s="440" t="s">
        <v>893</v>
      </c>
      <c r="H8" s="441" t="s">
        <v>907</v>
      </c>
      <c r="I8" s="442"/>
      <c r="J8" s="443">
        <f>+'root col (T0)'!L78</f>
        <v>8</v>
      </c>
      <c r="K8" s="444">
        <f>+'root col (T0)'!S78</f>
        <v>6.6666666666666666E-2</v>
      </c>
      <c r="L8" s="445">
        <f>+'root col (T0)'!N78</f>
        <v>45</v>
      </c>
      <c r="M8" s="446">
        <f>+'root col (T0)'!O78</f>
        <v>6.6666666666666666E-2</v>
      </c>
      <c r="N8" s="447" t="s">
        <v>910</v>
      </c>
      <c r="O8" s="447" t="s">
        <v>911</v>
      </c>
      <c r="P8" s="448" t="e">
        <f>+#REF!</f>
        <v>#REF!</v>
      </c>
    </row>
    <row r="9" spans="1:16" s="13" customFormat="1" ht="27" x14ac:dyDescent="0.2">
      <c r="A9" s="400" t="s">
        <v>24</v>
      </c>
      <c r="B9" s="400" t="s">
        <v>25</v>
      </c>
      <c r="C9" s="401" t="s">
        <v>26</v>
      </c>
      <c r="D9" s="402"/>
      <c r="E9" s="9">
        <v>5</v>
      </c>
      <c r="F9" s="77" t="s">
        <v>906</v>
      </c>
      <c r="G9" s="440" t="s">
        <v>893</v>
      </c>
      <c r="H9" s="441" t="s">
        <v>907</v>
      </c>
      <c r="I9" s="442"/>
      <c r="J9" s="443">
        <f>+'root col (T0)'!L128</f>
        <v>28</v>
      </c>
      <c r="K9" s="444">
        <f>+'root col (T0)'!S128</f>
        <v>0.2156818181818182</v>
      </c>
      <c r="L9" s="445">
        <f>+'root col (T0)'!N128</f>
        <v>88</v>
      </c>
      <c r="M9" s="446">
        <f>+'root col (T0)'!O128</f>
        <v>0.21590909090909091</v>
      </c>
      <c r="N9" s="447" t="s">
        <v>912</v>
      </c>
      <c r="O9" s="447" t="s">
        <v>913</v>
      </c>
      <c r="P9" s="448" t="e">
        <f>+#REF!</f>
        <v>#REF!</v>
      </c>
    </row>
    <row r="10" spans="1:16" s="13" customFormat="1" ht="27" x14ac:dyDescent="0.2">
      <c r="A10" s="400" t="s">
        <v>28</v>
      </c>
      <c r="B10" s="400" t="s">
        <v>29</v>
      </c>
      <c r="C10" s="401" t="s">
        <v>30</v>
      </c>
      <c r="D10" s="402"/>
      <c r="E10" s="9">
        <v>1</v>
      </c>
      <c r="F10" s="77" t="s">
        <v>906</v>
      </c>
      <c r="G10" s="440" t="s">
        <v>893</v>
      </c>
      <c r="H10" s="441" t="s">
        <v>907</v>
      </c>
      <c r="I10" s="442"/>
      <c r="J10" s="449">
        <f>+'root col (T0)'!L233</f>
        <v>19</v>
      </c>
      <c r="K10" s="450">
        <f>+'root col (T0)'!S233</f>
        <v>0.50649350649350655</v>
      </c>
      <c r="L10" s="451">
        <f>+'root col (T0)'!N233</f>
        <v>77</v>
      </c>
      <c r="M10" s="452">
        <f>+'root col (T0)'!O233</f>
        <v>0.50649350649350644</v>
      </c>
      <c r="N10" s="453" t="s">
        <v>914</v>
      </c>
      <c r="O10" s="447" t="s">
        <v>915</v>
      </c>
      <c r="P10" s="448" t="e">
        <f>+#REF!</f>
        <v>#REF!</v>
      </c>
    </row>
    <row r="11" spans="1:16" s="13" customFormat="1" ht="27" x14ac:dyDescent="0.2">
      <c r="A11" s="400" t="s">
        <v>34</v>
      </c>
      <c r="B11" s="400" t="s">
        <v>35</v>
      </c>
      <c r="C11" s="401" t="s">
        <v>36</v>
      </c>
      <c r="D11" s="402"/>
      <c r="E11" s="9">
        <v>1</v>
      </c>
      <c r="F11" s="77" t="s">
        <v>906</v>
      </c>
      <c r="G11" s="440" t="s">
        <v>893</v>
      </c>
      <c r="H11" s="441" t="s">
        <v>907</v>
      </c>
      <c r="I11" s="442"/>
      <c r="J11" s="449">
        <f>+'root col (T0)'!L312</f>
        <v>19</v>
      </c>
      <c r="K11" s="450">
        <f>+'root col (T0)'!S312</f>
        <v>9.3943661971830988E-2</v>
      </c>
      <c r="L11" s="451">
        <f>+'root col (T0)'!N312</f>
        <v>71</v>
      </c>
      <c r="M11" s="452">
        <f>+'root col (T0)'!O312</f>
        <v>8.4507042253521125E-2</v>
      </c>
      <c r="N11" s="447" t="s">
        <v>916</v>
      </c>
      <c r="O11" s="447"/>
      <c r="P11" s="448" t="e">
        <f>+#REF!</f>
        <v>#REF!</v>
      </c>
    </row>
    <row r="12" spans="1:16" s="13" customFormat="1" ht="27" x14ac:dyDescent="0.2">
      <c r="A12" s="400" t="s">
        <v>37</v>
      </c>
      <c r="B12" s="400" t="s">
        <v>38</v>
      </c>
      <c r="C12" s="401" t="s">
        <v>39</v>
      </c>
      <c r="D12" s="402"/>
      <c r="E12" s="9" t="s">
        <v>48</v>
      </c>
      <c r="F12" s="77" t="s">
        <v>906</v>
      </c>
      <c r="G12" s="440" t="s">
        <v>893</v>
      </c>
      <c r="H12" s="441" t="s">
        <v>907</v>
      </c>
      <c r="I12" s="442"/>
      <c r="J12" s="443">
        <f>+'root col (T0)'!L391</f>
        <v>3</v>
      </c>
      <c r="K12" s="444">
        <f>+'root col (T0)'!S391</f>
        <v>0.1111111111111111</v>
      </c>
      <c r="L12" s="445">
        <f>+'root col (T0)'!N391</f>
        <v>9</v>
      </c>
      <c r="M12" s="446">
        <f>+'root col (T0)'!O391</f>
        <v>0.1111111111111111</v>
      </c>
      <c r="N12" s="447" t="s">
        <v>917</v>
      </c>
      <c r="O12" s="447"/>
      <c r="P12" s="448" t="e">
        <f>+#REF!</f>
        <v>#REF!</v>
      </c>
    </row>
    <row r="13" spans="1:16" s="13" customFormat="1" ht="27" x14ac:dyDescent="0.2">
      <c r="A13" s="400" t="s">
        <v>40</v>
      </c>
      <c r="B13" s="400" t="s">
        <v>41</v>
      </c>
      <c r="C13" s="50" t="s">
        <v>42</v>
      </c>
      <c r="D13" s="402"/>
      <c r="E13" s="9">
        <v>3</v>
      </c>
      <c r="F13" s="77" t="s">
        <v>906</v>
      </c>
      <c r="G13" s="440" t="s">
        <v>893</v>
      </c>
      <c r="H13" s="441" t="s">
        <v>907</v>
      </c>
      <c r="I13" s="442"/>
      <c r="J13" s="443">
        <f>+'root col (T0)'!L449</f>
        <v>10</v>
      </c>
      <c r="K13" s="444">
        <f>+'root col (T0)'!S449</f>
        <v>9.6153846153846159E-2</v>
      </c>
      <c r="L13" s="445">
        <f>+'root col (T0)'!N449</f>
        <v>52</v>
      </c>
      <c r="M13" s="446">
        <f>+'root col (T0)'!O449</f>
        <v>9.6153846153846159E-2</v>
      </c>
      <c r="N13" s="447" t="s">
        <v>918</v>
      </c>
      <c r="O13" s="447"/>
      <c r="P13" s="448" t="e">
        <f>+#REF!</f>
        <v>#REF!</v>
      </c>
    </row>
    <row r="14" spans="1:16" s="13" customFormat="1" ht="27" x14ac:dyDescent="0.2">
      <c r="A14" s="400" t="s">
        <v>43</v>
      </c>
      <c r="B14" s="400" t="s">
        <v>44</v>
      </c>
      <c r="C14" s="51" t="s">
        <v>45</v>
      </c>
      <c r="D14" s="402"/>
      <c r="E14" s="9">
        <v>3</v>
      </c>
      <c r="F14" s="77" t="s">
        <v>906</v>
      </c>
      <c r="G14" s="440" t="s">
        <v>893</v>
      </c>
      <c r="H14" s="441" t="s">
        <v>907</v>
      </c>
      <c r="I14" s="442"/>
      <c r="J14" s="443">
        <f>+'root col (T0)'!L529</f>
        <v>9</v>
      </c>
      <c r="K14" s="444">
        <f>+'root col (T0)'!S529</f>
        <v>4.6875E-2</v>
      </c>
      <c r="L14" s="445">
        <f>+'root col (T0)'!N529</f>
        <v>64</v>
      </c>
      <c r="M14" s="446">
        <f>+'root col (T0)'!O529</f>
        <v>4.6875E-2</v>
      </c>
      <c r="N14" s="447" t="s">
        <v>919</v>
      </c>
      <c r="O14" s="447"/>
      <c r="P14" s="448" t="e">
        <f>+#REF!</f>
        <v>#REF!</v>
      </c>
    </row>
    <row r="15" spans="1:16" s="13" customFormat="1" ht="34" x14ac:dyDescent="0.2">
      <c r="A15" s="400" t="s">
        <v>709</v>
      </c>
      <c r="B15" s="400" t="s">
        <v>50</v>
      </c>
      <c r="C15" s="406" t="s">
        <v>51</v>
      </c>
      <c r="D15" s="402"/>
      <c r="E15" s="9">
        <v>4</v>
      </c>
      <c r="F15" s="77" t="s">
        <v>906</v>
      </c>
      <c r="G15" s="440" t="s">
        <v>893</v>
      </c>
      <c r="H15" s="441" t="s">
        <v>907</v>
      </c>
      <c r="I15" s="442"/>
      <c r="J15" s="443">
        <f>+'root col (T0)'!L594</f>
        <v>17</v>
      </c>
      <c r="K15" s="454">
        <v>0</v>
      </c>
      <c r="L15" s="445">
        <f>+'root col (T0)'!N594</f>
        <v>109</v>
      </c>
      <c r="M15" s="446">
        <f>+'root col (T0)'!O594</f>
        <v>0</v>
      </c>
      <c r="N15" s="453" t="s">
        <v>920</v>
      </c>
      <c r="O15" s="447"/>
      <c r="P15" s="448" t="e">
        <f>+#REF!</f>
        <v>#REF!</v>
      </c>
    </row>
    <row r="16" spans="1:16" s="13" customFormat="1" ht="32" customHeight="1" x14ac:dyDescent="0.2">
      <c r="A16" s="400" t="s">
        <v>53</v>
      </c>
      <c r="B16" s="400" t="s">
        <v>54</v>
      </c>
      <c r="C16" s="401" t="s">
        <v>55</v>
      </c>
      <c r="D16" s="402"/>
      <c r="E16" s="9">
        <v>3</v>
      </c>
      <c r="F16" s="77" t="s">
        <v>906</v>
      </c>
      <c r="G16" s="440" t="s">
        <v>893</v>
      </c>
      <c r="H16" s="455">
        <v>1</v>
      </c>
      <c r="I16" s="456"/>
      <c r="J16" s="443">
        <f>+'root col (T0)'!L716</f>
        <v>1</v>
      </c>
      <c r="K16" s="454">
        <v>0</v>
      </c>
      <c r="L16" s="445">
        <f>+'root col (T0)'!N716</f>
        <v>2</v>
      </c>
      <c r="M16" s="446">
        <f>+'root col (T0)'!O716</f>
        <v>0</v>
      </c>
      <c r="N16" s="457" t="s">
        <v>921</v>
      </c>
      <c r="O16" s="447"/>
      <c r="P16" s="448" t="e">
        <f>+#REF!</f>
        <v>#REF!</v>
      </c>
    </row>
    <row r="17" spans="1:16" s="12" customFormat="1" ht="16" x14ac:dyDescent="0.2">
      <c r="A17" s="401" t="s">
        <v>922</v>
      </c>
      <c r="B17" s="401"/>
      <c r="C17" s="401"/>
      <c r="D17" s="401"/>
      <c r="E17" s="458"/>
      <c r="F17" s="459"/>
      <c r="G17" s="440"/>
      <c r="H17" s="460"/>
      <c r="I17" s="428"/>
      <c r="J17" s="461">
        <f>SUM(J6:J16)</f>
        <v>129</v>
      </c>
      <c r="K17" s="461"/>
      <c r="L17" s="462">
        <f>SUM(L2:L16)</f>
        <v>586</v>
      </c>
      <c r="M17" s="463">
        <f>+'root col (T0)'!O4</f>
        <v>0.14163822525597269</v>
      </c>
      <c r="N17" s="402"/>
      <c r="O17" s="402"/>
      <c r="P17" s="390"/>
    </row>
    <row r="18" spans="1:16" s="10" customFormat="1" ht="16" x14ac:dyDescent="0.2">
      <c r="A18" s="386"/>
      <c r="B18" s="386"/>
      <c r="C18" s="386"/>
      <c r="D18" s="386"/>
      <c r="E18" s="464"/>
      <c r="F18" s="465"/>
      <c r="G18" s="433"/>
      <c r="H18" s="434"/>
      <c r="I18" s="435"/>
      <c r="J18" s="466"/>
      <c r="K18" s="466"/>
      <c r="L18" s="433"/>
      <c r="M18" s="438"/>
      <c r="N18" s="390"/>
      <c r="O18" s="390"/>
      <c r="P18" s="390"/>
    </row>
    <row r="19" spans="1:16" s="10" customFormat="1" ht="16" x14ac:dyDescent="0.2">
      <c r="A19" s="386"/>
      <c r="B19" s="386"/>
      <c r="C19" s="386"/>
      <c r="D19" s="386"/>
      <c r="E19" s="464"/>
      <c r="F19" s="465"/>
      <c r="G19" s="433"/>
      <c r="H19" s="467"/>
      <c r="I19" s="467"/>
      <c r="J19" s="468" t="s">
        <v>27</v>
      </c>
      <c r="K19" s="468"/>
      <c r="L19" s="469" t="s">
        <v>27</v>
      </c>
      <c r="M19" s="470"/>
      <c r="N19" s="390"/>
      <c r="O19" s="390"/>
      <c r="P19" s="390"/>
    </row>
    <row r="20" spans="1:16" s="10" customFormat="1" ht="16" x14ac:dyDescent="0.2">
      <c r="A20" s="386"/>
      <c r="B20" s="386"/>
      <c r="C20" s="386"/>
      <c r="D20" s="386"/>
      <c r="E20" s="464"/>
      <c r="F20" s="465"/>
      <c r="G20" s="433"/>
      <c r="H20" s="471"/>
      <c r="I20" s="397"/>
      <c r="J20" s="472" t="s">
        <v>27</v>
      </c>
      <c r="K20" s="472"/>
      <c r="L20" s="433"/>
      <c r="M20" s="438"/>
      <c r="N20" s="390"/>
      <c r="O20" s="390"/>
      <c r="P20" s="390"/>
    </row>
    <row r="21" spans="1:16" s="10" customFormat="1" ht="16" x14ac:dyDescent="0.2">
      <c r="A21" s="386"/>
      <c r="B21" s="386"/>
      <c r="C21" s="386"/>
      <c r="D21" s="386"/>
      <c r="E21" s="464"/>
      <c r="F21" s="465"/>
      <c r="G21" s="433"/>
      <c r="H21" s="471"/>
      <c r="I21" s="397"/>
      <c r="J21" s="472"/>
      <c r="K21" s="472"/>
      <c r="L21" s="433"/>
      <c r="M21" s="438"/>
      <c r="N21" s="390"/>
      <c r="O21" s="390"/>
      <c r="P21" s="390"/>
    </row>
    <row r="22" spans="1:16" s="10" customFormat="1" ht="16" x14ac:dyDescent="0.2">
      <c r="A22" s="386"/>
      <c r="B22" s="386"/>
      <c r="C22" s="386"/>
      <c r="D22" s="386"/>
      <c r="E22" s="464"/>
      <c r="F22" s="465"/>
      <c r="G22" s="433"/>
      <c r="H22" s="471"/>
      <c r="I22" s="397"/>
      <c r="J22" s="472"/>
      <c r="K22" s="472"/>
      <c r="L22" s="433"/>
      <c r="M22" s="438"/>
      <c r="N22" s="390"/>
      <c r="O22" s="390"/>
      <c r="P22" s="390"/>
    </row>
    <row r="23" spans="1:16" s="10" customFormat="1" ht="16" x14ac:dyDescent="0.2">
      <c r="A23" s="386"/>
      <c r="B23" s="386"/>
      <c r="C23" s="386"/>
      <c r="D23" s="386"/>
      <c r="E23" s="464"/>
      <c r="F23" s="465"/>
      <c r="G23" s="433"/>
      <c r="H23" s="471"/>
      <c r="I23" s="397"/>
      <c r="J23" s="472"/>
      <c r="K23" s="472"/>
      <c r="L23" s="433"/>
      <c r="M23" s="438"/>
      <c r="N23" s="390"/>
      <c r="O23" s="390"/>
      <c r="P23" s="390"/>
    </row>
    <row r="24" spans="1:16" s="10" customFormat="1" ht="16" x14ac:dyDescent="0.2">
      <c r="A24" s="386"/>
      <c r="B24" s="386"/>
      <c r="C24" s="386"/>
      <c r="D24" s="386"/>
      <c r="E24" s="386"/>
      <c r="F24" s="386"/>
      <c r="G24" s="386"/>
      <c r="H24" s="386"/>
      <c r="I24" s="386"/>
      <c r="J24" s="413"/>
      <c r="K24" s="413"/>
      <c r="L24" s="386"/>
      <c r="M24" s="386"/>
      <c r="N24" s="386"/>
      <c r="O24" s="386"/>
      <c r="P24" s="386"/>
    </row>
    <row r="25" spans="1:16" s="10" customFormat="1" ht="16" x14ac:dyDescent="0.2">
      <c r="A25" s="386"/>
      <c r="B25" s="386"/>
      <c r="C25" s="386"/>
      <c r="D25" s="386"/>
      <c r="E25" s="386"/>
      <c r="F25" s="386"/>
      <c r="G25" s="386"/>
      <c r="H25" s="386"/>
      <c r="I25" s="386"/>
      <c r="J25" s="413"/>
      <c r="K25" s="413"/>
      <c r="L25" s="386"/>
      <c r="M25" s="386"/>
      <c r="N25" s="386"/>
      <c r="O25" s="386"/>
      <c r="P25" s="386"/>
    </row>
    <row r="26" spans="1:16" s="10" customFormat="1" ht="16" x14ac:dyDescent="0.2">
      <c r="A26" s="386" t="s">
        <v>62</v>
      </c>
      <c r="B26" s="386"/>
      <c r="C26" s="386"/>
      <c r="D26" s="386"/>
      <c r="E26" s="386"/>
      <c r="F26" s="386"/>
      <c r="G26" s="386"/>
      <c r="H26" s="386"/>
      <c r="I26" s="386"/>
      <c r="J26" s="413"/>
      <c r="K26" s="413"/>
      <c r="L26" s="386"/>
      <c r="M26" s="386"/>
      <c r="N26" s="386"/>
      <c r="O26" s="386"/>
      <c r="P26" s="386"/>
    </row>
    <row r="27" spans="1:16" s="10" customFormat="1" ht="16" x14ac:dyDescent="0.2">
      <c r="A27" s="386" t="s">
        <v>63</v>
      </c>
      <c r="B27" s="386" t="s">
        <v>64</v>
      </c>
      <c r="C27" s="386"/>
      <c r="D27" s="386"/>
      <c r="E27" s="386"/>
      <c r="F27" s="386"/>
      <c r="G27" s="386"/>
      <c r="H27" s="386"/>
      <c r="I27" s="386"/>
      <c r="J27" s="413"/>
      <c r="K27" s="413"/>
      <c r="L27" s="386"/>
      <c r="M27" s="386"/>
      <c r="N27" s="386"/>
      <c r="O27" s="386"/>
      <c r="P27" s="386"/>
    </row>
    <row r="28" spans="1:16" s="10" customFormat="1" ht="16" x14ac:dyDescent="0.2">
      <c r="A28" s="412" t="s">
        <v>65</v>
      </c>
      <c r="B28" s="386" t="s">
        <v>66</v>
      </c>
      <c r="C28" s="386"/>
      <c r="D28" s="386"/>
      <c r="E28" s="386"/>
      <c r="F28" s="386"/>
      <c r="G28" s="386"/>
      <c r="H28" s="386"/>
      <c r="I28" s="386"/>
      <c r="J28" s="413"/>
      <c r="K28" s="413"/>
      <c r="L28" s="386">
        <v>1</v>
      </c>
      <c r="M28" s="386"/>
      <c r="N28" s="386"/>
      <c r="O28" s="386"/>
      <c r="P28" s="386"/>
    </row>
    <row r="29" spans="1:16" s="10" customFormat="1" ht="16" x14ac:dyDescent="0.2">
      <c r="A29" s="386"/>
      <c r="B29" s="386"/>
      <c r="C29" s="386"/>
      <c r="D29" s="386"/>
      <c r="E29" s="386"/>
      <c r="F29" s="386"/>
      <c r="G29" s="386"/>
      <c r="H29" s="386"/>
      <c r="I29" s="386"/>
      <c r="J29" s="413"/>
      <c r="K29" s="413"/>
      <c r="L29" s="386">
        <v>1</v>
      </c>
      <c r="M29" s="386"/>
      <c r="N29" s="386"/>
      <c r="O29" s="386"/>
      <c r="P29" s="386"/>
    </row>
    <row r="30" spans="1:16" s="10" customFormat="1" ht="16" x14ac:dyDescent="0.2">
      <c r="A30" s="386"/>
      <c r="B30" s="386" t="s">
        <v>67</v>
      </c>
      <c r="C30" s="386"/>
      <c r="D30" s="386"/>
      <c r="E30" s="386"/>
      <c r="F30" s="386"/>
      <c r="G30" s="386"/>
      <c r="H30" s="386"/>
      <c r="I30" s="386"/>
      <c r="J30" s="413"/>
      <c r="K30" s="413"/>
      <c r="L30" s="386"/>
      <c r="M30" s="386"/>
      <c r="N30" s="386"/>
      <c r="O30" s="386"/>
      <c r="P30" s="386"/>
    </row>
    <row r="31" spans="1:16" s="10" customFormat="1" ht="16" x14ac:dyDescent="0.2">
      <c r="A31" s="386"/>
      <c r="B31" s="386"/>
      <c r="C31" s="386"/>
      <c r="D31" s="386"/>
      <c r="E31" s="386"/>
      <c r="F31" s="386"/>
      <c r="G31" s="386"/>
      <c r="H31" s="386"/>
      <c r="I31" s="386"/>
      <c r="J31" s="413"/>
      <c r="K31" s="413"/>
      <c r="L31" s="386">
        <v>1</v>
      </c>
      <c r="M31" s="386"/>
      <c r="N31" s="386"/>
      <c r="O31" s="386"/>
      <c r="P31" s="386"/>
    </row>
    <row r="32" spans="1:16" x14ac:dyDescent="0.2">
      <c r="L32" t="s">
        <v>923</v>
      </c>
    </row>
    <row r="33" spans="12:12" x14ac:dyDescent="0.2">
      <c r="L33">
        <f>SUM(L28:L32)</f>
        <v>3</v>
      </c>
    </row>
  </sheetData>
  <mergeCells count="3">
    <mergeCell ref="E4:G4"/>
    <mergeCell ref="H4:M4"/>
    <mergeCell ref="E3:O3"/>
  </mergeCells>
  <pageMargins left="0.23622047244094491" right="0.23622047244094491" top="0.55118110236220474" bottom="0.15748031496062992" header="0.31496062992125984" footer="0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I1328"/>
  <sheetViews>
    <sheetView topLeftCell="A2" zoomScale="150" zoomScaleNormal="150" zoomScalePageLayoutView="150" workbookViewId="0">
      <pane ySplit="4" topLeftCell="A768" activePane="bottomLeft" state="frozen"/>
      <selection activeCell="A2" sqref="A2"/>
      <selection pane="bottomLeft" activeCell="O682" sqref="O682"/>
    </sheetView>
  </sheetViews>
  <sheetFormatPr baseColWidth="10" defaultColWidth="8.83203125" defaultRowHeight="15" x14ac:dyDescent="0.2"/>
  <cols>
    <col min="1" max="1" width="3.33203125" customWidth="1"/>
    <col min="2" max="2" width="11.33203125" customWidth="1"/>
    <col min="3" max="3" width="4.5" style="163" hidden="1" customWidth="1"/>
    <col min="4" max="4" width="6.5" style="163" customWidth="1"/>
    <col min="5" max="5" width="4.33203125" customWidth="1"/>
    <col min="6" max="6" width="4.5" style="163" customWidth="1"/>
    <col min="7" max="7" width="5.83203125" style="163" customWidth="1"/>
    <col min="8" max="8" width="6.1640625" style="272" customWidth="1"/>
    <col min="9" max="9" width="6.33203125" style="272" customWidth="1"/>
    <col min="10" max="10" width="6.83203125" style="163" customWidth="1"/>
    <col min="11" max="12" width="6.6640625" style="90" customWidth="1"/>
    <col min="13" max="13" width="6.5" style="202" customWidth="1"/>
    <col min="14" max="16" width="6.5" style="516" customWidth="1"/>
    <col min="17" max="17" width="7.5" style="318" customWidth="1"/>
    <col min="18" max="19" width="7.33203125" style="318" customWidth="1"/>
    <col min="20" max="20" width="7.1640625" style="318" customWidth="1"/>
    <col min="21" max="25" width="4.33203125" customWidth="1"/>
    <col min="26" max="26" width="4" customWidth="1"/>
    <col min="27" max="27" width="6.5" style="300" customWidth="1"/>
    <col min="31" max="32" width="3.6640625" style="47" customWidth="1"/>
    <col min="33" max="46" width="2" customWidth="1"/>
  </cols>
  <sheetData>
    <row r="2" spans="1:32" s="8" customFormat="1" ht="19" x14ac:dyDescent="0.25">
      <c r="A2" s="760" t="s">
        <v>0</v>
      </c>
      <c r="B2" s="760"/>
      <c r="C2" s="760"/>
      <c r="D2" s="760"/>
      <c r="E2" s="760"/>
      <c r="F2" s="760"/>
      <c r="G2" s="760"/>
      <c r="H2" s="760"/>
      <c r="I2" s="760"/>
      <c r="J2" s="760"/>
      <c r="K2" s="760"/>
      <c r="L2" s="760"/>
      <c r="M2" s="760"/>
      <c r="N2" s="760"/>
      <c r="O2" s="760"/>
      <c r="P2" s="760"/>
      <c r="Q2" s="760"/>
      <c r="R2" s="760"/>
      <c r="S2" s="760"/>
      <c r="T2" s="760"/>
      <c r="U2" s="760"/>
      <c r="V2" s="760"/>
      <c r="W2" s="760"/>
      <c r="X2" s="760"/>
      <c r="Y2" s="760"/>
      <c r="Z2" s="760"/>
      <c r="AA2" s="760"/>
      <c r="AB2" s="760"/>
      <c r="AC2" s="760"/>
      <c r="AE2" s="64"/>
      <c r="AF2" s="64"/>
    </row>
    <row r="3" spans="1:32" s="8" customFormat="1" ht="20" thickBot="1" x14ac:dyDescent="0.3">
      <c r="A3" s="761" t="s">
        <v>924</v>
      </c>
      <c r="B3" s="761"/>
      <c r="C3" s="761"/>
      <c r="D3" s="761"/>
      <c r="E3" s="761"/>
      <c r="F3" s="761"/>
      <c r="G3" s="761"/>
      <c r="H3" s="761"/>
      <c r="I3" s="761"/>
      <c r="J3" s="761"/>
      <c r="K3" s="761"/>
      <c r="L3" s="761"/>
      <c r="M3" s="761"/>
      <c r="N3" s="761"/>
      <c r="O3" s="761"/>
      <c r="P3" s="761"/>
      <c r="Q3" s="761"/>
      <c r="R3" s="761"/>
      <c r="S3" s="761"/>
      <c r="T3" s="761"/>
      <c r="U3" s="761"/>
      <c r="V3" s="761"/>
      <c r="W3" s="761"/>
      <c r="X3" s="761"/>
      <c r="Y3" s="761"/>
      <c r="Z3" s="761"/>
      <c r="AA3" s="761"/>
      <c r="AB3" s="761"/>
      <c r="AC3" s="761"/>
      <c r="AE3" s="64"/>
      <c r="AF3" s="64"/>
    </row>
    <row r="4" spans="1:32" ht="35.25" customHeight="1" thickBot="1" x14ac:dyDescent="0.3">
      <c r="A4" s="762" t="s">
        <v>925</v>
      </c>
      <c r="B4" s="744"/>
      <c r="C4" s="744"/>
      <c r="D4" s="744"/>
      <c r="E4" s="744"/>
      <c r="F4" s="744"/>
      <c r="G4" s="744"/>
      <c r="H4" s="744"/>
      <c r="I4" s="744"/>
      <c r="J4" s="744"/>
      <c r="K4" s="744"/>
      <c r="L4" s="744"/>
      <c r="M4" s="744"/>
      <c r="N4" s="744"/>
      <c r="O4" s="744"/>
      <c r="P4" s="744"/>
      <c r="Q4" s="744"/>
      <c r="R4" s="744"/>
      <c r="S4" s="744"/>
      <c r="T4" s="744"/>
      <c r="U4" s="744"/>
      <c r="V4" s="744"/>
      <c r="W4" s="744"/>
      <c r="X4" s="744"/>
      <c r="Y4" s="744"/>
      <c r="Z4" s="744"/>
      <c r="AA4" s="744"/>
      <c r="AB4" s="744"/>
      <c r="AC4" s="745"/>
      <c r="AE4" s="530"/>
      <c r="AF4" s="531"/>
    </row>
    <row r="5" spans="1:32" s="23" customFormat="1" ht="60.75" customHeight="1" x14ac:dyDescent="0.2">
      <c r="A5" s="638" t="s">
        <v>3</v>
      </c>
      <c r="B5" s="635" t="s">
        <v>4</v>
      </c>
      <c r="C5" s="636" t="s">
        <v>12</v>
      </c>
      <c r="D5" s="596" t="s">
        <v>926</v>
      </c>
      <c r="E5" s="231" t="s">
        <v>75</v>
      </c>
      <c r="F5" s="591" t="s">
        <v>76</v>
      </c>
      <c r="G5" s="592" t="s">
        <v>77</v>
      </c>
      <c r="H5" s="593" t="s">
        <v>78</v>
      </c>
      <c r="I5" s="594" t="s">
        <v>927</v>
      </c>
      <c r="J5" s="594" t="s">
        <v>928</v>
      </c>
      <c r="K5" s="594" t="s">
        <v>929</v>
      </c>
      <c r="L5" s="594" t="s">
        <v>930</v>
      </c>
      <c r="M5" s="595" t="s">
        <v>931</v>
      </c>
      <c r="N5" s="637" t="s">
        <v>1742</v>
      </c>
      <c r="O5" s="557" t="s">
        <v>1631</v>
      </c>
      <c r="P5" s="557" t="s">
        <v>82</v>
      </c>
      <c r="Q5" s="367" t="s">
        <v>932</v>
      </c>
      <c r="R5" s="367" t="s">
        <v>933</v>
      </c>
      <c r="S5" s="367" t="s">
        <v>1631</v>
      </c>
      <c r="T5" s="367" t="s">
        <v>82</v>
      </c>
      <c r="U5" s="758" t="s">
        <v>934</v>
      </c>
      <c r="V5" s="759"/>
      <c r="W5" s="759"/>
      <c r="X5" s="758" t="s">
        <v>87</v>
      </c>
      <c r="Y5" s="759"/>
      <c r="Z5" s="759"/>
      <c r="AA5" s="596" t="s">
        <v>935</v>
      </c>
      <c r="AB5" s="367" t="s">
        <v>932</v>
      </c>
      <c r="AC5" s="595" t="s">
        <v>931</v>
      </c>
      <c r="AE5" s="597" t="s">
        <v>89</v>
      </c>
      <c r="AF5" s="597" t="s">
        <v>90</v>
      </c>
    </row>
    <row r="6" spans="1:32" s="633" customFormat="1" x14ac:dyDescent="0.2">
      <c r="A6" s="623" t="s">
        <v>91</v>
      </c>
      <c r="B6" s="624"/>
      <c r="C6" s="625"/>
      <c r="D6" s="625"/>
      <c r="E6" s="626" t="s">
        <v>27</v>
      </c>
      <c r="F6" s="627">
        <f>+F7+F91+F141+F189+F264+F327+F432+F458+F503+F575+F633+F683</f>
        <v>28</v>
      </c>
      <c r="G6" s="729">
        <v>1</v>
      </c>
      <c r="H6" s="627">
        <f>+H7+H91+H141+H189+H264+H327+H432+H458+H503+H575+H633+H683</f>
        <v>146</v>
      </c>
      <c r="I6" s="628">
        <f>(+J7+J91+J141+J189+J264+J327+J432+J458+J503+J575+J633)/H6</f>
        <v>0.89726027397260277</v>
      </c>
      <c r="J6" s="627">
        <f>+J7+J91+J141+J189+J264+J327+J432+J458+J503+J575+J633+J683</f>
        <v>141</v>
      </c>
      <c r="K6" s="627">
        <f>+K7+K91+K141+K189+K264+K327+K432+K458+K503+K575+K633+K683</f>
        <v>719</v>
      </c>
      <c r="L6" s="628">
        <f>+M6/K6</f>
        <v>0.86369958275382475</v>
      </c>
      <c r="M6" s="627">
        <f>+M7+M91+M141+M189+M264+M327+M432+M458+M503+M575+M633+M683</f>
        <v>621</v>
      </c>
      <c r="N6" s="628">
        <f>AVERAGE(AB9:AB731)</f>
        <v>0.84678655370300926</v>
      </c>
      <c r="O6" s="628" t="s">
        <v>27</v>
      </c>
      <c r="P6" s="600">
        <f>STDEV(AC8:AC731)/(SQRT(COUNT(AC8:AC731)))</f>
        <v>1.2918189679279204E-2</v>
      </c>
      <c r="Q6" s="629"/>
      <c r="R6" s="630">
        <f>+AB6</f>
        <v>0.84678655370300926</v>
      </c>
      <c r="S6" s="630"/>
      <c r="T6" s="629"/>
      <c r="U6" s="626">
        <f t="shared" ref="U6:Z6" si="0">+U7+U91+U141+U189+U264+U327+U432+U503+U575+U683</f>
        <v>56</v>
      </c>
      <c r="V6" s="626">
        <f t="shared" si="0"/>
        <v>2</v>
      </c>
      <c r="W6" s="626">
        <f t="shared" si="0"/>
        <v>58</v>
      </c>
      <c r="X6" s="626">
        <f t="shared" si="0"/>
        <v>20</v>
      </c>
      <c r="Y6" s="626">
        <f t="shared" si="0"/>
        <v>3</v>
      </c>
      <c r="Z6" s="626">
        <f t="shared" si="0"/>
        <v>32</v>
      </c>
      <c r="AA6" s="631">
        <f>COUNTIF(AA7:AA1298, 1)/K6</f>
        <v>3.7552155771905425E-2</v>
      </c>
      <c r="AB6" s="632">
        <f>AVERAGE(AB9:AB19)</f>
        <v>0.84678655370300926</v>
      </c>
      <c r="AC6" s="624"/>
      <c r="AD6" s="633">
        <f>+U6+X6-13</f>
        <v>63</v>
      </c>
      <c r="AE6" s="634"/>
      <c r="AF6" s="634"/>
    </row>
    <row r="7" spans="1:32" s="335" customFormat="1" x14ac:dyDescent="0.2">
      <c r="A7" s="286" t="s">
        <v>24</v>
      </c>
      <c r="B7" s="601" t="s">
        <v>25</v>
      </c>
      <c r="C7" s="602"/>
      <c r="D7" s="602"/>
      <c r="E7" s="603"/>
      <c r="F7" s="604">
        <v>3</v>
      </c>
      <c r="G7" s="605">
        <f>SUM(G8:G90)/F7</f>
        <v>1</v>
      </c>
      <c r="H7" s="606">
        <f>SUM(H8:H90)</f>
        <v>19</v>
      </c>
      <c r="I7" s="605">
        <f>SUM(J8:J90)/H7</f>
        <v>1</v>
      </c>
      <c r="J7" s="607">
        <f>SUM(J8:J90)</f>
        <v>19</v>
      </c>
      <c r="K7" s="602">
        <f>SUM(K8:K90)</f>
        <v>83</v>
      </c>
      <c r="L7" s="605">
        <f>+M7/K7</f>
        <v>0.86746987951807231</v>
      </c>
      <c r="M7" s="608">
        <f>SUM(M8:M90)</f>
        <v>72</v>
      </c>
      <c r="N7" s="609"/>
      <c r="O7" s="609"/>
      <c r="P7" s="609"/>
      <c r="Q7" s="610">
        <f>((Q8*K8)+(Q11*K11)+(Q16*K16)+(K25*Q25)+(K46*Q46)+(K28*Q28)+(K34*Q34)+(K37*Q37)+(K40*Q40)+(K49*Q49)+(K53*Q53)+(K55*Q55)+(K58*Q58)+(K64*Q64)+(K73*Q73)+(K83*Q83)+(K88*Q88))/K7</f>
        <v>0.80746987951807236</v>
      </c>
      <c r="R7" s="610">
        <f>AVERAGE(AB8:AB26)</f>
        <v>0.84678655370300926</v>
      </c>
      <c r="S7" s="612">
        <f>_xlfn.STDEV.P(R8:R26)</f>
        <v>0.14794450197390563</v>
      </c>
      <c r="T7" s="612">
        <f>STDEV($AB$8:$AB$26)/(SQRT(COUNT(AB8:AB26)))</f>
        <v>4.8781013165740329E-2</v>
      </c>
      <c r="U7" s="613">
        <f t="shared" ref="U7:Z7" si="1">COUNTA(U8:U90)</f>
        <v>2</v>
      </c>
      <c r="V7" s="613">
        <f t="shared" si="1"/>
        <v>1</v>
      </c>
      <c r="W7" s="613">
        <f t="shared" si="1"/>
        <v>11</v>
      </c>
      <c r="X7" s="613">
        <f t="shared" si="1"/>
        <v>2</v>
      </c>
      <c r="Y7" s="613">
        <f t="shared" si="1"/>
        <v>3</v>
      </c>
      <c r="Z7" s="613">
        <f t="shared" si="1"/>
        <v>0</v>
      </c>
      <c r="AA7" s="605">
        <f>SUM(AA8:AA90)/K7</f>
        <v>4.8192771084337352E-2</v>
      </c>
      <c r="AB7" s="601"/>
      <c r="AC7" s="601"/>
      <c r="AE7" s="336"/>
      <c r="AF7" s="336"/>
    </row>
    <row r="8" spans="1:32" s="128" customFormat="1" x14ac:dyDescent="0.2">
      <c r="A8" s="246">
        <v>1</v>
      </c>
      <c r="B8" s="128" t="s">
        <v>936</v>
      </c>
      <c r="C8" s="175"/>
      <c r="D8" s="175"/>
      <c r="E8" s="232"/>
      <c r="F8" s="242"/>
      <c r="G8" s="598">
        <v>1</v>
      </c>
      <c r="H8" s="244">
        <v>1</v>
      </c>
      <c r="I8" s="244"/>
      <c r="J8" s="250">
        <v>1</v>
      </c>
      <c r="K8" s="242">
        <v>3</v>
      </c>
      <c r="L8" s="249"/>
      <c r="M8" s="599">
        <v>1</v>
      </c>
      <c r="N8" s="614">
        <f>AVERAGE(M8:M90)</f>
        <v>0.86746987951807231</v>
      </c>
      <c r="O8" s="614">
        <f>STDEV(M8:M90)</f>
        <v>0.34112741119273671</v>
      </c>
      <c r="P8" s="615">
        <f>STDEV(M8:M90)/(SQRT(COUNT(M8:M90)))</f>
        <v>3.7443597851769553E-2</v>
      </c>
      <c r="Q8" s="369">
        <f>3/K8</f>
        <v>1</v>
      </c>
      <c r="R8" s="369">
        <f>+Q8</f>
        <v>1</v>
      </c>
      <c r="S8" s="369" t="s">
        <v>27</v>
      </c>
      <c r="T8" s="369"/>
      <c r="U8" s="24"/>
      <c r="V8" s="25"/>
      <c r="W8" s="25"/>
      <c r="X8" s="24"/>
      <c r="Y8" s="25"/>
      <c r="Z8" s="25"/>
      <c r="AA8" s="295"/>
      <c r="AC8" s="599">
        <v>1</v>
      </c>
      <c r="AD8" s="284">
        <f>+AD6/K6</f>
        <v>8.7621696801112661E-2</v>
      </c>
      <c r="AE8" s="41"/>
      <c r="AF8" s="41"/>
    </row>
    <row r="9" spans="1:32" s="128" customFormat="1" x14ac:dyDescent="0.2">
      <c r="A9" s="246"/>
      <c r="B9" s="128" t="s">
        <v>937</v>
      </c>
      <c r="C9" s="175"/>
      <c r="D9" s="175" t="s">
        <v>938</v>
      </c>
      <c r="E9" s="232"/>
      <c r="F9" s="242"/>
      <c r="G9" s="253"/>
      <c r="H9" s="244"/>
      <c r="I9" s="244"/>
      <c r="J9" s="250" t="s">
        <v>27</v>
      </c>
      <c r="K9" s="537" t="s">
        <v>27</v>
      </c>
      <c r="L9" s="249"/>
      <c r="M9" s="252">
        <v>1</v>
      </c>
      <c r="N9" s="511"/>
      <c r="O9" s="511"/>
      <c r="P9" s="511"/>
      <c r="Q9" s="369"/>
      <c r="R9" s="369">
        <f>+Q11</f>
        <v>0.8</v>
      </c>
      <c r="S9" s="369"/>
      <c r="T9" s="369"/>
      <c r="U9" s="24"/>
      <c r="V9" s="25"/>
      <c r="W9" s="25"/>
      <c r="X9" s="24"/>
      <c r="Y9" s="25"/>
      <c r="Z9" s="25"/>
      <c r="AA9" s="295"/>
      <c r="AB9" s="611">
        <f>+R37</f>
        <v>0.87345029239766081</v>
      </c>
      <c r="AC9" s="252">
        <v>1</v>
      </c>
      <c r="AD9" s="720">
        <f>+K6-AD6</f>
        <v>656</v>
      </c>
      <c r="AE9" s="41"/>
      <c r="AF9" s="41"/>
    </row>
    <row r="10" spans="1:32" s="128" customFormat="1" x14ac:dyDescent="0.2">
      <c r="A10" s="246"/>
      <c r="B10" s="128" t="s">
        <v>939</v>
      </c>
      <c r="C10" s="175"/>
      <c r="D10" s="175"/>
      <c r="E10" s="232"/>
      <c r="F10" s="242"/>
      <c r="G10" s="253"/>
      <c r="H10" s="244"/>
      <c r="I10" s="244"/>
      <c r="J10" s="250"/>
      <c r="K10" s="242"/>
      <c r="L10" s="249"/>
      <c r="M10" s="252">
        <v>1</v>
      </c>
      <c r="N10" s="511"/>
      <c r="O10" s="511"/>
      <c r="P10" s="511"/>
      <c r="Q10" s="369"/>
      <c r="R10" s="369">
        <f>+Q16</f>
        <v>0.88888888888888884</v>
      </c>
      <c r="S10" s="369"/>
      <c r="T10" s="369"/>
      <c r="U10" s="24"/>
      <c r="V10" s="25"/>
      <c r="W10" s="25"/>
      <c r="X10" s="24"/>
      <c r="Y10" s="25"/>
      <c r="Z10" s="25"/>
      <c r="AA10" s="295"/>
      <c r="AB10" s="611">
        <f>+R103</f>
        <v>0.74069264069264085</v>
      </c>
      <c r="AC10" s="252">
        <v>1</v>
      </c>
      <c r="AE10" s="41"/>
      <c r="AF10" s="41"/>
    </row>
    <row r="11" spans="1:32" s="128" customFormat="1" x14ac:dyDescent="0.2">
      <c r="A11" s="246"/>
      <c r="B11" s="128" t="s">
        <v>940</v>
      </c>
      <c r="C11" s="175"/>
      <c r="D11" s="175"/>
      <c r="E11" s="232"/>
      <c r="F11" s="242"/>
      <c r="G11" s="253"/>
      <c r="H11" s="244">
        <v>1</v>
      </c>
      <c r="I11" s="244"/>
      <c r="J11" s="250">
        <v>1</v>
      </c>
      <c r="K11" s="242">
        <v>5</v>
      </c>
      <c r="L11" s="249"/>
      <c r="M11" s="252">
        <v>1</v>
      </c>
      <c r="N11" s="511"/>
      <c r="O11" s="511"/>
      <c r="P11" s="511"/>
      <c r="Q11" s="369">
        <f>SUM(M11:M15)/K11</f>
        <v>0.8</v>
      </c>
      <c r="R11" s="369">
        <f>+Q37</f>
        <v>1</v>
      </c>
      <c r="S11" s="369"/>
      <c r="T11" s="369"/>
      <c r="U11" s="24"/>
      <c r="V11" s="25"/>
      <c r="W11" s="25" t="s">
        <v>224</v>
      </c>
      <c r="X11" s="24"/>
      <c r="Y11" s="25"/>
      <c r="Z11" s="25"/>
      <c r="AA11" s="295"/>
      <c r="AB11" s="611">
        <f>+R152</f>
        <v>0.7587301587301587</v>
      </c>
      <c r="AC11" s="252">
        <v>1</v>
      </c>
      <c r="AD11" s="128">
        <f>0.04*717</f>
        <v>28.68</v>
      </c>
      <c r="AE11" s="41"/>
      <c r="AF11" s="41"/>
    </row>
    <row r="12" spans="1:32" s="128" customFormat="1" x14ac:dyDescent="0.2">
      <c r="A12" s="246"/>
      <c r="B12" s="128" t="s">
        <v>941</v>
      </c>
      <c r="C12" s="175"/>
      <c r="D12" s="175"/>
      <c r="E12" s="232"/>
      <c r="F12" s="242"/>
      <c r="G12" s="253"/>
      <c r="H12" s="244"/>
      <c r="I12" s="244"/>
      <c r="J12" s="250"/>
      <c r="K12" s="242"/>
      <c r="L12" s="249"/>
      <c r="M12" s="252">
        <v>1</v>
      </c>
      <c r="N12" s="511"/>
      <c r="O12" s="511"/>
      <c r="P12" s="511"/>
      <c r="Q12" s="369"/>
      <c r="R12" s="369">
        <f>+Q53</f>
        <v>1</v>
      </c>
      <c r="S12" s="369"/>
      <c r="T12" s="369"/>
      <c r="U12" s="24"/>
      <c r="V12" s="25"/>
      <c r="W12" s="25"/>
      <c r="X12" s="24"/>
      <c r="Y12" s="25"/>
      <c r="Z12" s="25"/>
      <c r="AA12" s="295"/>
      <c r="AB12" s="611">
        <f>+R202</f>
        <v>0.78765432098765442</v>
      </c>
      <c r="AC12" s="252">
        <v>1</v>
      </c>
      <c r="AE12" s="41"/>
      <c r="AF12" s="41"/>
    </row>
    <row r="13" spans="1:32" s="128" customFormat="1" ht="15" customHeight="1" x14ac:dyDescent="0.2">
      <c r="A13" s="246"/>
      <c r="B13" s="128" t="s">
        <v>942</v>
      </c>
      <c r="C13" s="256" t="s">
        <v>943</v>
      </c>
      <c r="D13" s="175"/>
      <c r="E13" s="232"/>
      <c r="F13" s="242"/>
      <c r="G13" s="253"/>
      <c r="H13" s="244"/>
      <c r="I13" s="244"/>
      <c r="J13" s="250"/>
      <c r="K13" s="242"/>
      <c r="L13" s="249"/>
      <c r="M13" s="252">
        <v>1</v>
      </c>
      <c r="N13" s="511"/>
      <c r="O13" s="511"/>
      <c r="P13" s="511"/>
      <c r="Q13" s="369"/>
      <c r="R13" s="369">
        <f>+Q55</f>
        <v>0.66666666666666663</v>
      </c>
      <c r="S13" s="369"/>
      <c r="T13" s="369"/>
      <c r="U13" s="24"/>
      <c r="V13" s="25"/>
      <c r="W13" s="25" t="s">
        <v>224</v>
      </c>
      <c r="X13" s="24"/>
      <c r="Y13" s="25"/>
      <c r="Z13" s="25"/>
      <c r="AA13" s="295"/>
      <c r="AB13" s="611">
        <f>+R282</f>
        <v>0.98529411764705888</v>
      </c>
      <c r="AC13" s="252">
        <v>1</v>
      </c>
      <c r="AE13" s="41"/>
      <c r="AF13" s="41"/>
    </row>
    <row r="14" spans="1:32" s="128" customFormat="1" x14ac:dyDescent="0.2">
      <c r="A14" s="246"/>
      <c r="B14" s="128" t="s">
        <v>944</v>
      </c>
      <c r="C14" s="175"/>
      <c r="D14" s="175"/>
      <c r="E14" s="232"/>
      <c r="F14" s="242"/>
      <c r="G14" s="253"/>
      <c r="H14" s="244"/>
      <c r="I14" s="244"/>
      <c r="J14" s="250"/>
      <c r="K14" s="242" t="s">
        <v>27</v>
      </c>
      <c r="L14" s="249"/>
      <c r="M14" s="252">
        <v>1</v>
      </c>
      <c r="N14" s="511"/>
      <c r="O14" s="511"/>
      <c r="P14" s="511"/>
      <c r="Q14" s="369" t="s">
        <v>27</v>
      </c>
      <c r="R14" s="369">
        <f>+Q58</f>
        <v>1</v>
      </c>
      <c r="S14" s="369"/>
      <c r="T14" s="369"/>
      <c r="U14" s="24"/>
      <c r="V14" s="25"/>
      <c r="W14" s="25"/>
      <c r="X14" s="24"/>
      <c r="Y14" s="25"/>
      <c r="Z14" s="25"/>
      <c r="AA14" s="295"/>
      <c r="AB14" s="611">
        <f>+R347</f>
        <v>0.97932330827067671</v>
      </c>
      <c r="AC14" s="252">
        <v>1</v>
      </c>
      <c r="AE14" s="41"/>
      <c r="AF14" s="41"/>
    </row>
    <row r="15" spans="1:32" s="128" customFormat="1" x14ac:dyDescent="0.2">
      <c r="A15" s="246"/>
      <c r="B15" s="128" t="s">
        <v>945</v>
      </c>
      <c r="C15" s="175"/>
      <c r="D15" s="175" t="s">
        <v>27</v>
      </c>
      <c r="E15" s="232"/>
      <c r="F15" s="242"/>
      <c r="G15" s="253"/>
      <c r="H15" s="244"/>
      <c r="I15" s="244"/>
      <c r="J15" s="250"/>
      <c r="K15" s="242"/>
      <c r="L15" s="249"/>
      <c r="M15" s="252">
        <v>0</v>
      </c>
      <c r="N15" s="511"/>
      <c r="O15" s="511"/>
      <c r="P15" s="511"/>
      <c r="Q15" s="369"/>
      <c r="R15" s="369">
        <f>+Q64</f>
        <v>0.66666666666666663</v>
      </c>
      <c r="S15" s="369"/>
      <c r="T15" s="369"/>
      <c r="U15" s="24"/>
      <c r="V15" s="25"/>
      <c r="W15" s="25"/>
      <c r="X15" s="24"/>
      <c r="Y15" s="25"/>
      <c r="Z15" s="25"/>
      <c r="AA15" s="295"/>
      <c r="AB15" s="611">
        <f>+R438</f>
        <v>0.50378787878787878</v>
      </c>
      <c r="AC15" s="252">
        <v>0</v>
      </c>
      <c r="AE15" s="41"/>
      <c r="AF15" s="41"/>
    </row>
    <row r="16" spans="1:32" s="128" customFormat="1" x14ac:dyDescent="0.2">
      <c r="A16" s="246"/>
      <c r="B16" s="128" t="s">
        <v>946</v>
      </c>
      <c r="C16" s="175"/>
      <c r="D16" s="175"/>
      <c r="E16" s="232"/>
      <c r="F16" s="242"/>
      <c r="G16" s="253"/>
      <c r="H16" s="244">
        <v>1</v>
      </c>
      <c r="I16" s="244"/>
      <c r="J16" s="250">
        <v>1</v>
      </c>
      <c r="K16" s="242">
        <v>9</v>
      </c>
      <c r="L16" s="249"/>
      <c r="M16" s="252">
        <v>1</v>
      </c>
      <c r="N16" s="511"/>
      <c r="O16" s="511"/>
      <c r="P16" s="511"/>
      <c r="Q16" s="369">
        <f>SUM(M16:M24)/K16</f>
        <v>0.88888888888888884</v>
      </c>
      <c r="R16" s="369">
        <f>+Q73</f>
        <v>0.8</v>
      </c>
      <c r="S16" s="369"/>
      <c r="T16" s="369"/>
      <c r="U16" s="24"/>
      <c r="V16" s="25"/>
      <c r="W16" s="25"/>
      <c r="X16" s="24"/>
      <c r="Y16" s="25"/>
      <c r="Z16" s="25"/>
      <c r="AA16" s="295"/>
      <c r="AB16" s="611">
        <f>+R463</f>
        <v>1</v>
      </c>
      <c r="AC16" s="252">
        <v>1</v>
      </c>
      <c r="AE16" s="41"/>
      <c r="AF16" s="41"/>
    </row>
    <row r="17" spans="1:32" s="128" customFormat="1" x14ac:dyDescent="0.2">
      <c r="A17" s="246"/>
      <c r="B17" s="128" t="s">
        <v>947</v>
      </c>
      <c r="C17" s="175"/>
      <c r="D17" s="175" t="s">
        <v>27</v>
      </c>
      <c r="E17" s="232"/>
      <c r="F17" s="242"/>
      <c r="G17" s="253"/>
      <c r="H17" s="244"/>
      <c r="I17" s="244"/>
      <c r="J17" s="250"/>
      <c r="K17" s="242"/>
      <c r="L17" s="249"/>
      <c r="M17" s="252">
        <v>0</v>
      </c>
      <c r="N17" s="511"/>
      <c r="O17" s="511"/>
      <c r="P17" s="511"/>
      <c r="Q17" s="369"/>
      <c r="R17" s="369">
        <f>+Q78</f>
        <v>0.6</v>
      </c>
      <c r="S17" s="369"/>
      <c r="T17" s="369"/>
      <c r="U17" s="24"/>
      <c r="V17" s="25"/>
      <c r="W17" s="25"/>
      <c r="X17" s="24"/>
      <c r="Y17" s="25"/>
      <c r="Z17" s="25"/>
      <c r="AA17" s="295"/>
      <c r="AB17" s="611">
        <f>+R522</f>
        <v>0.97916666666666674</v>
      </c>
      <c r="AC17" s="252">
        <v>0</v>
      </c>
      <c r="AE17" s="41"/>
      <c r="AF17" s="41"/>
    </row>
    <row r="18" spans="1:32" s="128" customFormat="1" x14ac:dyDescent="0.2">
      <c r="A18" s="246"/>
      <c r="B18" s="128" t="s">
        <v>948</v>
      </c>
      <c r="C18" s="175"/>
      <c r="D18" s="175"/>
      <c r="E18" s="232"/>
      <c r="F18" s="242"/>
      <c r="G18" s="253"/>
      <c r="H18" s="244"/>
      <c r="I18" s="244"/>
      <c r="J18" s="250"/>
      <c r="K18" s="242"/>
      <c r="L18" s="249"/>
      <c r="M18" s="252">
        <v>1</v>
      </c>
      <c r="N18" s="511"/>
      <c r="O18" s="511"/>
      <c r="P18" s="511"/>
      <c r="Q18" s="369"/>
      <c r="R18" s="369">
        <f>+Q83</f>
        <v>1</v>
      </c>
      <c r="S18" s="369"/>
      <c r="T18" s="369"/>
      <c r="U18" s="24"/>
      <c r="V18" s="25"/>
      <c r="W18" s="25" t="s">
        <v>224</v>
      </c>
      <c r="X18" s="24"/>
      <c r="Y18" s="25"/>
      <c r="Z18" s="25"/>
      <c r="AA18" s="295"/>
      <c r="AB18" s="611">
        <f>+R601</f>
        <v>1</v>
      </c>
      <c r="AC18" s="252">
        <v>1</v>
      </c>
      <c r="AE18" s="41"/>
      <c r="AF18" s="41"/>
    </row>
    <row r="19" spans="1:32" s="128" customFormat="1" x14ac:dyDescent="0.2">
      <c r="A19" s="246"/>
      <c r="B19" s="128" t="s">
        <v>949</v>
      </c>
      <c r="C19" s="175"/>
      <c r="D19" s="175"/>
      <c r="E19" s="232"/>
      <c r="F19" s="242"/>
      <c r="G19" s="253"/>
      <c r="H19" s="244"/>
      <c r="I19" s="244"/>
      <c r="J19" s="250"/>
      <c r="K19" s="242" t="s">
        <v>27</v>
      </c>
      <c r="L19" s="249"/>
      <c r="M19" s="252">
        <v>1</v>
      </c>
      <c r="N19" s="511"/>
      <c r="O19" s="511"/>
      <c r="P19" s="511"/>
      <c r="Q19" s="369" t="s">
        <v>27</v>
      </c>
      <c r="R19" s="369">
        <f>+Q88</f>
        <v>1</v>
      </c>
      <c r="S19" s="369"/>
      <c r="T19" s="369"/>
      <c r="U19" s="24"/>
      <c r="V19" s="25"/>
      <c r="W19" s="25"/>
      <c r="X19" s="24"/>
      <c r="Y19" s="25"/>
      <c r="Z19" s="25"/>
      <c r="AA19" s="295"/>
      <c r="AB19" s="611">
        <f>+R696</f>
        <v>0.70655270655270652</v>
      </c>
      <c r="AC19" s="252">
        <v>1</v>
      </c>
      <c r="AE19" s="41"/>
      <c r="AF19" s="41"/>
    </row>
    <row r="20" spans="1:32" s="128" customFormat="1" x14ac:dyDescent="0.2">
      <c r="A20" s="246"/>
      <c r="B20" s="128" t="s">
        <v>950</v>
      </c>
      <c r="C20" s="175"/>
      <c r="D20" s="175"/>
      <c r="E20" s="232"/>
      <c r="F20" s="242"/>
      <c r="G20" s="253"/>
      <c r="H20" s="244"/>
      <c r="I20" s="244"/>
      <c r="J20" s="250"/>
      <c r="K20" s="242"/>
      <c r="L20" s="249"/>
      <c r="M20" s="252">
        <v>1</v>
      </c>
      <c r="N20" s="511"/>
      <c r="O20" s="511"/>
      <c r="P20" s="511"/>
      <c r="Q20" s="369"/>
      <c r="R20" s="369">
        <f>+Q28</f>
        <v>0.83333333333333337</v>
      </c>
      <c r="S20" s="369"/>
      <c r="T20" s="369"/>
      <c r="U20" s="24"/>
      <c r="V20" s="25"/>
      <c r="W20" s="25"/>
      <c r="X20" s="24"/>
      <c r="Y20" s="25"/>
      <c r="Z20" s="25"/>
      <c r="AA20" s="295"/>
      <c r="AC20" s="252">
        <v>1</v>
      </c>
      <c r="AE20" s="41"/>
      <c r="AF20" s="41"/>
    </row>
    <row r="21" spans="1:32" s="128" customFormat="1" x14ac:dyDescent="0.2">
      <c r="A21" s="246"/>
      <c r="B21" s="128" t="s">
        <v>951</v>
      </c>
      <c r="C21" s="175"/>
      <c r="D21" s="175"/>
      <c r="E21" s="232"/>
      <c r="F21" s="242"/>
      <c r="G21" s="253"/>
      <c r="H21" s="244"/>
      <c r="I21" s="244"/>
      <c r="J21" s="250"/>
      <c r="K21" s="242"/>
      <c r="L21" s="249"/>
      <c r="M21" s="252">
        <v>1</v>
      </c>
      <c r="N21" s="511"/>
      <c r="O21" s="511"/>
      <c r="P21" s="511"/>
      <c r="Q21" s="369"/>
      <c r="R21" s="369">
        <v>1</v>
      </c>
      <c r="S21" s="369"/>
      <c r="T21" s="369"/>
      <c r="U21" s="24"/>
      <c r="V21" s="25"/>
      <c r="W21" s="25"/>
      <c r="X21" s="24"/>
      <c r="Y21" s="25"/>
      <c r="Z21" s="25"/>
      <c r="AA21" s="295"/>
      <c r="AC21" s="252">
        <v>1</v>
      </c>
      <c r="AE21" s="41"/>
      <c r="AF21" s="41"/>
    </row>
    <row r="22" spans="1:32" s="128" customFormat="1" x14ac:dyDescent="0.2">
      <c r="A22" s="246"/>
      <c r="B22" s="128" t="s">
        <v>1715</v>
      </c>
      <c r="C22" s="175"/>
      <c r="D22" s="175"/>
      <c r="E22" s="232"/>
      <c r="F22" s="242"/>
      <c r="G22" s="253"/>
      <c r="H22" s="244"/>
      <c r="I22" s="244"/>
      <c r="J22" s="250"/>
      <c r="K22" s="242"/>
      <c r="L22" s="249"/>
      <c r="M22" s="252">
        <v>1</v>
      </c>
      <c r="N22" s="511"/>
      <c r="O22" s="511"/>
      <c r="P22" s="511"/>
      <c r="Q22" s="369"/>
      <c r="R22" s="369">
        <f>+Q25</f>
        <v>1</v>
      </c>
      <c r="S22" s="369"/>
      <c r="T22" s="369"/>
      <c r="U22" s="24"/>
      <c r="V22" s="25"/>
      <c r="W22" s="25" t="s">
        <v>224</v>
      </c>
      <c r="X22" s="24"/>
      <c r="Y22" s="25"/>
      <c r="Z22" s="25"/>
      <c r="AA22" s="295"/>
      <c r="AC22" s="252">
        <v>1</v>
      </c>
      <c r="AE22" s="41"/>
      <c r="AF22" s="41"/>
    </row>
    <row r="23" spans="1:32" s="128" customFormat="1" x14ac:dyDescent="0.2">
      <c r="A23" s="246"/>
      <c r="B23" s="128" t="s">
        <v>1716</v>
      </c>
      <c r="C23" s="175"/>
      <c r="D23" s="175"/>
      <c r="E23" s="232"/>
      <c r="F23" s="242"/>
      <c r="G23" s="253"/>
      <c r="H23" s="244"/>
      <c r="I23" s="244"/>
      <c r="J23" s="250"/>
      <c r="K23" s="242"/>
      <c r="L23" s="249"/>
      <c r="M23" s="252">
        <v>1</v>
      </c>
      <c r="N23" s="511"/>
      <c r="O23" s="511"/>
      <c r="P23" s="511"/>
      <c r="Q23" s="369"/>
      <c r="R23" s="369">
        <v>0.67</v>
      </c>
      <c r="S23" s="369"/>
      <c r="T23" s="369"/>
      <c r="U23" s="24"/>
      <c r="V23" s="25"/>
      <c r="W23" s="25" t="s">
        <v>224</v>
      </c>
      <c r="X23" s="24"/>
      <c r="Y23" s="25"/>
      <c r="Z23" s="25"/>
      <c r="AA23" s="295"/>
      <c r="AC23" s="252">
        <v>1</v>
      </c>
      <c r="AE23" s="41"/>
      <c r="AF23" s="41"/>
    </row>
    <row r="24" spans="1:32" s="128" customFormat="1" x14ac:dyDescent="0.2">
      <c r="A24" s="246"/>
      <c r="B24" s="128" t="s">
        <v>1717</v>
      </c>
      <c r="C24" s="175"/>
      <c r="D24" s="175"/>
      <c r="E24" s="232"/>
      <c r="F24" s="242"/>
      <c r="G24" s="253"/>
      <c r="H24" s="244"/>
      <c r="I24" s="244"/>
      <c r="J24" s="250"/>
      <c r="K24" s="242"/>
      <c r="L24" s="249"/>
      <c r="M24" s="252">
        <v>1</v>
      </c>
      <c r="N24" s="511"/>
      <c r="O24" s="511"/>
      <c r="P24" s="511"/>
      <c r="Q24" s="369"/>
      <c r="R24" s="369">
        <v>1</v>
      </c>
      <c r="S24" s="369"/>
      <c r="T24" s="369"/>
      <c r="U24" s="24"/>
      <c r="V24" s="25"/>
      <c r="W24" s="25" t="s">
        <v>224</v>
      </c>
      <c r="X24" s="24"/>
      <c r="Y24" s="25"/>
      <c r="Z24" s="25"/>
      <c r="AA24" s="295"/>
      <c r="AC24" s="252">
        <v>1</v>
      </c>
      <c r="AE24" s="41"/>
      <c r="AF24" s="41"/>
    </row>
    <row r="25" spans="1:32" s="128" customFormat="1" x14ac:dyDescent="0.2">
      <c r="A25" s="246"/>
      <c r="B25" s="128" t="s">
        <v>1718</v>
      </c>
      <c r="C25" s="175"/>
      <c r="D25" s="175"/>
      <c r="E25" s="232"/>
      <c r="F25" s="242"/>
      <c r="G25" s="253"/>
      <c r="H25" s="244">
        <v>1</v>
      </c>
      <c r="I25" s="244"/>
      <c r="J25" s="250">
        <v>1</v>
      </c>
      <c r="K25" s="242">
        <v>3</v>
      </c>
      <c r="L25" s="249"/>
      <c r="M25" s="252">
        <v>1</v>
      </c>
      <c r="N25" s="511"/>
      <c r="O25" s="511"/>
      <c r="P25" s="511"/>
      <c r="Q25" s="369">
        <v>1</v>
      </c>
      <c r="R25" s="369">
        <f>+Q40</f>
        <v>0.67</v>
      </c>
      <c r="S25" s="369"/>
      <c r="T25" s="369"/>
      <c r="U25" s="24"/>
      <c r="V25" s="25"/>
      <c r="W25" s="25"/>
      <c r="X25" s="24"/>
      <c r="Y25" s="25"/>
      <c r="Z25" s="25"/>
      <c r="AA25" s="295"/>
      <c r="AC25" s="252">
        <v>1</v>
      </c>
      <c r="AE25" s="41"/>
      <c r="AF25" s="41"/>
    </row>
    <row r="26" spans="1:32" s="128" customFormat="1" x14ac:dyDescent="0.2">
      <c r="A26" s="246"/>
      <c r="B26" s="128" t="s">
        <v>1719</v>
      </c>
      <c r="C26" s="175"/>
      <c r="D26" s="175"/>
      <c r="E26" s="232"/>
      <c r="F26" s="242"/>
      <c r="G26" s="253"/>
      <c r="H26" s="244"/>
      <c r="I26" s="244"/>
      <c r="J26" s="250"/>
      <c r="K26" s="242"/>
      <c r="L26" s="249"/>
      <c r="M26" s="252">
        <v>1</v>
      </c>
      <c r="N26" s="511"/>
      <c r="O26" s="511"/>
      <c r="P26" s="511"/>
      <c r="Q26" s="369"/>
      <c r="R26" s="369">
        <f>+Q46</f>
        <v>1</v>
      </c>
      <c r="S26" s="369"/>
      <c r="T26" s="369"/>
      <c r="U26" s="24"/>
      <c r="V26" s="25"/>
      <c r="W26" s="25"/>
      <c r="X26" s="24"/>
      <c r="Y26" s="25"/>
      <c r="Z26" s="25"/>
      <c r="AA26" s="295"/>
      <c r="AC26" s="252">
        <v>1</v>
      </c>
      <c r="AE26" s="41"/>
      <c r="AF26" s="41"/>
    </row>
    <row r="27" spans="1:32" s="128" customFormat="1" x14ac:dyDescent="0.2">
      <c r="A27" s="246"/>
      <c r="B27" s="128" t="s">
        <v>1720</v>
      </c>
      <c r="C27" s="175"/>
      <c r="D27" s="175"/>
      <c r="E27" s="232"/>
      <c r="F27" s="242"/>
      <c r="G27" s="253"/>
      <c r="H27" s="244"/>
      <c r="I27" s="244"/>
      <c r="J27" s="250"/>
      <c r="K27" s="242"/>
      <c r="L27" s="249"/>
      <c r="M27" s="252">
        <v>1</v>
      </c>
      <c r="N27" s="511"/>
      <c r="O27" s="511"/>
      <c r="P27" s="511"/>
      <c r="Q27" s="369"/>
      <c r="R27" s="369"/>
      <c r="S27" s="369"/>
      <c r="T27" s="369"/>
      <c r="U27" s="24"/>
      <c r="V27" s="25"/>
      <c r="W27" s="25"/>
      <c r="X27" s="24"/>
      <c r="Y27" s="25"/>
      <c r="Z27" s="25"/>
      <c r="AA27" s="295"/>
      <c r="AC27" s="252">
        <v>1</v>
      </c>
      <c r="AE27" s="41"/>
      <c r="AF27" s="41"/>
    </row>
    <row r="28" spans="1:32" s="128" customFormat="1" x14ac:dyDescent="0.2">
      <c r="A28" s="246"/>
      <c r="B28" s="128" t="s">
        <v>1721</v>
      </c>
      <c r="C28" s="175"/>
      <c r="D28" s="175"/>
      <c r="E28" s="232"/>
      <c r="F28" s="242"/>
      <c r="G28" s="253"/>
      <c r="H28" s="244">
        <v>1</v>
      </c>
      <c r="I28" s="244"/>
      <c r="J28" s="250">
        <v>1</v>
      </c>
      <c r="K28" s="242">
        <v>6</v>
      </c>
      <c r="L28" s="249"/>
      <c r="M28" s="252">
        <v>1</v>
      </c>
      <c r="N28" s="511"/>
      <c r="O28" s="511"/>
      <c r="P28" s="511"/>
      <c r="Q28" s="369">
        <f>SUM(M28:M33)/K28</f>
        <v>0.83333333333333337</v>
      </c>
      <c r="R28" s="369" t="s">
        <v>27</v>
      </c>
      <c r="S28" s="369"/>
      <c r="T28" s="369"/>
      <c r="U28" s="24"/>
      <c r="V28" s="25"/>
      <c r="W28" s="25"/>
      <c r="X28" s="24"/>
      <c r="Y28" s="25"/>
      <c r="Z28" s="25"/>
      <c r="AA28" s="295"/>
      <c r="AC28" s="252">
        <v>1</v>
      </c>
      <c r="AE28" s="41"/>
      <c r="AF28" s="41"/>
    </row>
    <row r="29" spans="1:32" s="128" customFormat="1" x14ac:dyDescent="0.2">
      <c r="A29" s="246"/>
      <c r="B29" s="128" t="s">
        <v>1722</v>
      </c>
      <c r="C29" s="175"/>
      <c r="D29" s="175"/>
      <c r="E29" s="232"/>
      <c r="F29" s="242"/>
      <c r="G29" s="253"/>
      <c r="H29" s="244"/>
      <c r="I29" s="244"/>
      <c r="J29" s="250"/>
      <c r="K29" s="242"/>
      <c r="L29" s="249"/>
      <c r="M29" s="252">
        <v>1</v>
      </c>
      <c r="N29" s="511"/>
      <c r="O29" s="511"/>
      <c r="P29" s="511"/>
      <c r="Q29" s="369"/>
      <c r="R29" s="369"/>
      <c r="S29" s="369"/>
      <c r="T29" s="369"/>
      <c r="U29" s="24"/>
      <c r="V29" s="25"/>
      <c r="W29" s="25"/>
      <c r="X29" s="24"/>
      <c r="Y29" s="25"/>
      <c r="Z29" s="25"/>
      <c r="AA29" s="295"/>
      <c r="AC29" s="252">
        <v>1</v>
      </c>
      <c r="AE29" s="41"/>
      <c r="AF29" s="41"/>
    </row>
    <row r="30" spans="1:32" s="128" customFormat="1" x14ac:dyDescent="0.2">
      <c r="A30" s="246"/>
      <c r="B30" s="128" t="s">
        <v>1723</v>
      </c>
      <c r="C30" s="175"/>
      <c r="D30" s="175"/>
      <c r="E30" s="232"/>
      <c r="F30" s="242"/>
      <c r="G30" s="253"/>
      <c r="H30" s="244"/>
      <c r="I30" s="244"/>
      <c r="J30" s="250"/>
      <c r="K30" s="242"/>
      <c r="L30" s="249"/>
      <c r="M30" s="252">
        <v>1</v>
      </c>
      <c r="N30" s="511"/>
      <c r="O30" s="511"/>
      <c r="P30" s="511"/>
      <c r="Q30" s="369"/>
      <c r="R30" s="369"/>
      <c r="S30" s="369"/>
      <c r="T30" s="369"/>
      <c r="U30" s="24"/>
      <c r="V30" s="25"/>
      <c r="W30" s="25"/>
      <c r="X30" s="24"/>
      <c r="Y30" s="25"/>
      <c r="Z30" s="25"/>
      <c r="AA30" s="295"/>
      <c r="AC30" s="252">
        <v>1</v>
      </c>
      <c r="AE30" s="41"/>
      <c r="AF30" s="41"/>
    </row>
    <row r="31" spans="1:32" s="128" customFormat="1" x14ac:dyDescent="0.2">
      <c r="A31" s="246"/>
      <c r="B31" s="128" t="s">
        <v>1681</v>
      </c>
      <c r="C31" s="175"/>
      <c r="D31" s="175"/>
      <c r="E31" s="232"/>
      <c r="F31" s="242"/>
      <c r="G31" s="253"/>
      <c r="H31" s="244"/>
      <c r="I31" s="244"/>
      <c r="J31" s="250"/>
      <c r="K31" s="242"/>
      <c r="L31" s="249"/>
      <c r="M31" s="252">
        <v>1</v>
      </c>
      <c r="N31" s="511"/>
      <c r="O31" s="511"/>
      <c r="P31" s="511"/>
      <c r="Q31" s="369"/>
      <c r="R31" s="369"/>
      <c r="S31" s="369"/>
      <c r="T31" s="369"/>
      <c r="U31" s="24"/>
      <c r="V31" s="25"/>
      <c r="W31" s="25"/>
      <c r="X31" s="24"/>
      <c r="Y31" s="25"/>
      <c r="Z31" s="25"/>
      <c r="AA31" s="295"/>
      <c r="AC31" s="252">
        <v>1</v>
      </c>
      <c r="AE31" s="41"/>
      <c r="AF31" s="41"/>
    </row>
    <row r="32" spans="1:32" s="128" customFormat="1" x14ac:dyDescent="0.2">
      <c r="A32" s="246"/>
      <c r="B32" s="128" t="s">
        <v>1682</v>
      </c>
      <c r="C32" s="175"/>
      <c r="D32" s="175"/>
      <c r="E32" s="232"/>
      <c r="F32" s="242"/>
      <c r="G32" s="253"/>
      <c r="H32" s="244"/>
      <c r="I32" s="244"/>
      <c r="J32" s="250"/>
      <c r="K32" s="242"/>
      <c r="L32" s="249"/>
      <c r="M32" s="252">
        <v>1</v>
      </c>
      <c r="N32" s="511"/>
      <c r="O32" s="511"/>
      <c r="P32" s="511"/>
      <c r="Q32" s="369"/>
      <c r="R32" s="369" t="s">
        <v>27</v>
      </c>
      <c r="S32" s="369"/>
      <c r="T32" s="369"/>
      <c r="U32" s="24"/>
      <c r="V32" s="25"/>
      <c r="W32" s="25"/>
      <c r="X32" s="24"/>
      <c r="Y32" s="25"/>
      <c r="Z32" s="25"/>
      <c r="AA32" s="295"/>
      <c r="AC32" s="252">
        <v>1</v>
      </c>
      <c r="AE32" s="41"/>
      <c r="AF32" s="41"/>
    </row>
    <row r="33" spans="1:32" s="128" customFormat="1" x14ac:dyDescent="0.2">
      <c r="A33" s="246"/>
      <c r="B33" s="128" t="s">
        <v>1683</v>
      </c>
      <c r="C33" s="175"/>
      <c r="D33" s="175"/>
      <c r="E33" s="232"/>
      <c r="F33" s="242"/>
      <c r="G33" s="253"/>
      <c r="H33" s="244"/>
      <c r="I33" s="244"/>
      <c r="J33" s="250"/>
      <c r="K33" s="242"/>
      <c r="L33" s="249"/>
      <c r="M33" s="252">
        <v>0</v>
      </c>
      <c r="N33" s="511"/>
      <c r="O33" s="511"/>
      <c r="P33" s="511"/>
      <c r="Q33" s="369"/>
      <c r="R33" s="369"/>
      <c r="S33" s="369"/>
      <c r="T33" s="369"/>
      <c r="U33" s="24"/>
      <c r="V33" s="25"/>
      <c r="W33" s="25"/>
      <c r="X33" s="24"/>
      <c r="Y33" s="25"/>
      <c r="Z33" s="25"/>
      <c r="AA33" s="295"/>
      <c r="AC33" s="252">
        <v>0</v>
      </c>
      <c r="AE33" s="41"/>
      <c r="AF33" s="41"/>
    </row>
    <row r="34" spans="1:32" s="128" customFormat="1" x14ac:dyDescent="0.2">
      <c r="A34" s="246"/>
      <c r="B34" s="128" t="s">
        <v>1684</v>
      </c>
      <c r="C34" s="175"/>
      <c r="D34" s="175"/>
      <c r="E34" s="232"/>
      <c r="F34" s="242"/>
      <c r="G34" s="253"/>
      <c r="H34" s="244">
        <v>1</v>
      </c>
      <c r="I34" s="244"/>
      <c r="J34" s="250">
        <v>1</v>
      </c>
      <c r="K34" s="242">
        <v>3</v>
      </c>
      <c r="L34" s="249"/>
      <c r="M34" s="252">
        <v>1</v>
      </c>
      <c r="N34" s="511"/>
      <c r="O34" s="511"/>
      <c r="P34" s="511"/>
      <c r="Q34" s="369">
        <v>1</v>
      </c>
      <c r="R34" s="369"/>
      <c r="S34" s="369"/>
      <c r="T34" s="369"/>
      <c r="U34" s="24"/>
      <c r="V34" s="25"/>
      <c r="W34" s="25"/>
      <c r="X34" s="24"/>
      <c r="Y34" s="25"/>
      <c r="Z34" s="25"/>
      <c r="AA34" s="295"/>
      <c r="AC34" s="252">
        <v>1</v>
      </c>
      <c r="AE34" s="41"/>
      <c r="AF34" s="41"/>
    </row>
    <row r="35" spans="1:32" s="128" customFormat="1" x14ac:dyDescent="0.2">
      <c r="A35" s="246"/>
      <c r="B35" s="128" t="s">
        <v>1760</v>
      </c>
      <c r="C35" s="175"/>
      <c r="D35" s="175"/>
      <c r="E35" s="232"/>
      <c r="F35" s="242"/>
      <c r="G35" s="253"/>
      <c r="H35" s="244"/>
      <c r="I35" s="244"/>
      <c r="J35" s="250"/>
      <c r="K35" s="242"/>
      <c r="L35" s="249"/>
      <c r="M35" s="252">
        <v>1</v>
      </c>
      <c r="N35" s="511"/>
      <c r="O35" s="511"/>
      <c r="P35" s="511"/>
      <c r="Q35" s="369"/>
      <c r="R35" s="369"/>
      <c r="S35" s="369"/>
      <c r="T35" s="369"/>
      <c r="U35" s="24"/>
      <c r="V35" s="25"/>
      <c r="W35" s="25"/>
      <c r="X35" s="24"/>
      <c r="Y35" s="25"/>
      <c r="Z35" s="25"/>
      <c r="AA35" s="295"/>
      <c r="AC35" s="252">
        <v>1</v>
      </c>
      <c r="AE35" s="41"/>
      <c r="AF35" s="41"/>
    </row>
    <row r="36" spans="1:32" s="128" customFormat="1" x14ac:dyDescent="0.2">
      <c r="A36" s="246"/>
      <c r="B36" s="128" t="s">
        <v>1761</v>
      </c>
      <c r="C36" s="175"/>
      <c r="D36" s="175"/>
      <c r="E36" s="232"/>
      <c r="F36" s="242"/>
      <c r="G36" s="253"/>
      <c r="H36" s="244"/>
      <c r="I36" s="244"/>
      <c r="J36" s="250"/>
      <c r="K36" s="242"/>
      <c r="L36" s="249"/>
      <c r="M36" s="252">
        <v>1</v>
      </c>
      <c r="N36" s="511"/>
      <c r="O36" s="511"/>
      <c r="P36" s="511"/>
      <c r="Q36" s="369"/>
      <c r="R36" s="369"/>
      <c r="S36" s="369"/>
      <c r="T36" s="369"/>
      <c r="U36" s="24"/>
      <c r="V36" s="25"/>
      <c r="W36" s="25"/>
      <c r="X36" s="24"/>
      <c r="Y36" s="25"/>
      <c r="Z36" s="25"/>
      <c r="AA36" s="295"/>
      <c r="AC36" s="252">
        <v>1</v>
      </c>
      <c r="AE36" s="41"/>
      <c r="AF36" s="41"/>
    </row>
    <row r="37" spans="1:32" s="128" customFormat="1" x14ac:dyDescent="0.2">
      <c r="A37" s="246">
        <v>2</v>
      </c>
      <c r="B37" s="128" t="s">
        <v>1724</v>
      </c>
      <c r="C37" s="175"/>
      <c r="D37" s="175"/>
      <c r="E37" s="232"/>
      <c r="F37" s="242"/>
      <c r="G37" s="257">
        <v>1</v>
      </c>
      <c r="H37" s="244">
        <v>1</v>
      </c>
      <c r="I37" s="244"/>
      <c r="J37" s="250">
        <v>1</v>
      </c>
      <c r="K37" s="242">
        <v>3</v>
      </c>
      <c r="L37" s="249"/>
      <c r="M37" s="252">
        <v>1</v>
      </c>
      <c r="N37" s="511"/>
      <c r="O37" s="511"/>
      <c r="P37" s="511"/>
      <c r="Q37" s="369">
        <v>1</v>
      </c>
      <c r="R37" s="380">
        <f>AVERAGE(R8:R26)</f>
        <v>0.87345029239766081</v>
      </c>
      <c r="S37" s="380"/>
      <c r="T37" s="380">
        <f>STDEV(R8:R26)/(SQRT(COUNT(R8:R26)))</f>
        <v>3.4870853528338415E-2</v>
      </c>
      <c r="U37" s="24"/>
      <c r="V37" s="25"/>
      <c r="W37" s="25"/>
      <c r="X37" s="24"/>
      <c r="Y37" s="25"/>
      <c r="Z37" s="25"/>
      <c r="AA37" s="295"/>
      <c r="AC37" s="252">
        <v>1</v>
      </c>
      <c r="AE37" s="41"/>
      <c r="AF37" s="41"/>
    </row>
    <row r="38" spans="1:32" s="128" customFormat="1" x14ac:dyDescent="0.2">
      <c r="A38" s="246"/>
      <c r="B38" s="128" t="s">
        <v>1725</v>
      </c>
      <c r="C38" s="175"/>
      <c r="D38" s="175"/>
      <c r="E38" s="232"/>
      <c r="F38" s="242"/>
      <c r="G38" s="257"/>
      <c r="H38" s="244"/>
      <c r="I38" s="244"/>
      <c r="J38" s="250"/>
      <c r="K38" s="242"/>
      <c r="L38" s="249"/>
      <c r="M38" s="252">
        <v>1</v>
      </c>
      <c r="N38" s="511"/>
      <c r="O38" s="511"/>
      <c r="P38" s="511"/>
      <c r="Q38" s="369"/>
      <c r="R38" s="380"/>
      <c r="S38" s="380"/>
      <c r="T38" s="380"/>
      <c r="U38" s="24"/>
      <c r="V38" s="25"/>
      <c r="W38" s="25"/>
      <c r="X38" s="24"/>
      <c r="Y38" s="25"/>
      <c r="Z38" s="25"/>
      <c r="AA38" s="295"/>
      <c r="AC38" s="252">
        <v>1</v>
      </c>
      <c r="AE38" s="41"/>
      <c r="AF38" s="41"/>
    </row>
    <row r="39" spans="1:32" s="128" customFormat="1" x14ac:dyDescent="0.2">
      <c r="A39" s="246"/>
      <c r="B39" s="128" t="s">
        <v>1762</v>
      </c>
      <c r="C39" s="175"/>
      <c r="D39" s="175"/>
      <c r="E39" s="232"/>
      <c r="F39" s="242"/>
      <c r="G39" s="257"/>
      <c r="H39" s="244"/>
      <c r="I39" s="244"/>
      <c r="J39" s="250"/>
      <c r="K39" s="242"/>
      <c r="L39" s="249"/>
      <c r="M39" s="252">
        <v>1</v>
      </c>
      <c r="N39" s="511"/>
      <c r="O39" s="511"/>
      <c r="P39" s="511"/>
      <c r="Q39" s="369"/>
      <c r="R39" s="380"/>
      <c r="S39" s="380"/>
      <c r="T39" s="380"/>
      <c r="U39" s="24"/>
      <c r="V39" s="25"/>
      <c r="W39" s="25"/>
      <c r="X39" s="24"/>
      <c r="Y39" s="25"/>
      <c r="Z39" s="25"/>
      <c r="AA39" s="295"/>
      <c r="AC39" s="252">
        <v>1</v>
      </c>
      <c r="AE39" s="41"/>
      <c r="AF39" s="41"/>
    </row>
    <row r="40" spans="1:32" s="128" customFormat="1" x14ac:dyDescent="0.2">
      <c r="A40" s="246"/>
      <c r="B40" s="128" t="s">
        <v>1685</v>
      </c>
      <c r="C40" s="175"/>
      <c r="D40" s="175"/>
      <c r="E40" s="232"/>
      <c r="F40" s="242"/>
      <c r="G40" s="257"/>
      <c r="H40" s="244">
        <v>1</v>
      </c>
      <c r="I40" s="244"/>
      <c r="J40" s="250">
        <v>1</v>
      </c>
      <c r="K40" s="242">
        <v>6</v>
      </c>
      <c r="L40" s="249"/>
      <c r="M40" s="252">
        <v>1</v>
      </c>
      <c r="N40" s="511"/>
      <c r="O40" s="511"/>
      <c r="P40" s="511"/>
      <c r="Q40" s="369">
        <v>0.67</v>
      </c>
      <c r="R40" s="380"/>
      <c r="S40" s="380"/>
      <c r="T40" s="380"/>
      <c r="U40" s="24"/>
      <c r="V40" s="25"/>
      <c r="W40" s="25"/>
      <c r="X40" s="24"/>
      <c r="Y40" s="25"/>
      <c r="Z40" s="25"/>
      <c r="AA40" s="295"/>
      <c r="AC40" s="252">
        <v>1</v>
      </c>
      <c r="AE40" s="41"/>
      <c r="AF40" s="41"/>
    </row>
    <row r="41" spans="1:32" s="128" customFormat="1" x14ac:dyDescent="0.2">
      <c r="A41" s="246"/>
      <c r="B41" s="128" t="s">
        <v>1686</v>
      </c>
      <c r="C41" s="175"/>
      <c r="D41" s="175"/>
      <c r="E41" s="232"/>
      <c r="F41" s="242"/>
      <c r="G41" s="257"/>
      <c r="H41" s="244"/>
      <c r="I41" s="244"/>
      <c r="J41" s="250"/>
      <c r="K41" s="242"/>
      <c r="L41" s="249"/>
      <c r="M41" s="252">
        <v>1</v>
      </c>
      <c r="N41" s="511"/>
      <c r="O41" s="511"/>
      <c r="P41" s="511"/>
      <c r="Q41" s="369"/>
      <c r="R41" s="380"/>
      <c r="S41" s="380"/>
      <c r="T41" s="380"/>
      <c r="U41" s="24"/>
      <c r="V41" s="25"/>
      <c r="W41" s="25"/>
      <c r="X41" s="24"/>
      <c r="Y41" s="25"/>
      <c r="Z41" s="25"/>
      <c r="AA41" s="295"/>
      <c r="AC41" s="252">
        <v>1</v>
      </c>
      <c r="AE41" s="41"/>
      <c r="AF41" s="41"/>
    </row>
    <row r="42" spans="1:32" s="128" customFormat="1" x14ac:dyDescent="0.2">
      <c r="A42" s="246"/>
      <c r="B42" s="128" t="s">
        <v>1687</v>
      </c>
      <c r="C42" s="175"/>
      <c r="D42" s="175"/>
      <c r="E42" s="232"/>
      <c r="F42" s="242"/>
      <c r="G42" s="257"/>
      <c r="H42" s="244"/>
      <c r="I42" s="244"/>
      <c r="J42" s="250"/>
      <c r="K42" s="242"/>
      <c r="L42" s="249"/>
      <c r="M42" s="252">
        <v>0</v>
      </c>
      <c r="N42" s="511"/>
      <c r="O42" s="511"/>
      <c r="P42" s="511"/>
      <c r="Q42" s="369"/>
      <c r="R42" s="380"/>
      <c r="S42" s="380"/>
      <c r="T42" s="380"/>
      <c r="U42" s="24"/>
      <c r="V42" s="25"/>
      <c r="W42" s="25"/>
      <c r="X42" s="24"/>
      <c r="Y42" s="25"/>
      <c r="Z42" s="25"/>
      <c r="AA42" s="295"/>
      <c r="AC42" s="252">
        <v>0</v>
      </c>
      <c r="AE42" s="41"/>
      <c r="AF42" s="41"/>
    </row>
    <row r="43" spans="1:32" s="128" customFormat="1" x14ac:dyDescent="0.2">
      <c r="A43" s="246"/>
      <c r="B43" s="128" t="s">
        <v>1726</v>
      </c>
      <c r="C43" s="175"/>
      <c r="D43" s="175"/>
      <c r="E43" s="232"/>
      <c r="F43" s="242"/>
      <c r="G43" s="257"/>
      <c r="H43" s="244"/>
      <c r="I43" s="244"/>
      <c r="J43" s="250"/>
      <c r="K43" s="242"/>
      <c r="L43" s="249"/>
      <c r="M43" s="252">
        <v>1</v>
      </c>
      <c r="N43" s="511"/>
      <c r="O43" s="511"/>
      <c r="P43" s="511"/>
      <c r="Q43" s="369"/>
      <c r="R43" s="380"/>
      <c r="S43" s="380"/>
      <c r="T43" s="380"/>
      <c r="U43" s="24"/>
      <c r="V43" s="25"/>
      <c r="W43" s="25"/>
      <c r="X43" s="24"/>
      <c r="Y43" s="25"/>
      <c r="Z43" s="25"/>
      <c r="AA43" s="295"/>
      <c r="AC43" s="252">
        <v>1</v>
      </c>
      <c r="AE43" s="41"/>
      <c r="AF43" s="41"/>
    </row>
    <row r="44" spans="1:32" s="128" customFormat="1" x14ac:dyDescent="0.2">
      <c r="A44" s="246"/>
      <c r="B44" s="128" t="s">
        <v>1727</v>
      </c>
      <c r="C44" s="175"/>
      <c r="D44" s="175"/>
      <c r="E44" s="232"/>
      <c r="F44" s="242"/>
      <c r="G44" s="257"/>
      <c r="H44" s="244"/>
      <c r="I44" s="244"/>
      <c r="J44" s="250"/>
      <c r="K44" s="242"/>
      <c r="L44" s="249"/>
      <c r="M44" s="252">
        <v>1</v>
      </c>
      <c r="N44" s="511"/>
      <c r="O44" s="511"/>
      <c r="P44" s="511"/>
      <c r="Q44" s="369"/>
      <c r="R44" s="380"/>
      <c r="S44" s="380"/>
      <c r="T44" s="380"/>
      <c r="U44" s="24"/>
      <c r="V44" s="25"/>
      <c r="W44" s="25"/>
      <c r="X44" s="24"/>
      <c r="Y44" s="25"/>
      <c r="Z44" s="25"/>
      <c r="AA44" s="295"/>
      <c r="AC44" s="252">
        <v>1</v>
      </c>
      <c r="AE44" s="41"/>
      <c r="AF44" s="41"/>
    </row>
    <row r="45" spans="1:32" s="128" customFormat="1" x14ac:dyDescent="0.2">
      <c r="A45" s="246"/>
      <c r="B45" s="128" t="s">
        <v>1728</v>
      </c>
      <c r="C45" s="175"/>
      <c r="D45" s="175"/>
      <c r="E45" s="232"/>
      <c r="F45" s="242"/>
      <c r="G45" s="257"/>
      <c r="H45" s="244"/>
      <c r="I45" s="244"/>
      <c r="J45" s="250"/>
      <c r="K45" s="242"/>
      <c r="L45" s="249"/>
      <c r="M45" s="252">
        <v>1</v>
      </c>
      <c r="N45" s="511"/>
      <c r="O45" s="511"/>
      <c r="P45" s="511"/>
      <c r="Q45" s="369"/>
      <c r="R45" s="380"/>
      <c r="S45" s="380"/>
      <c r="T45" s="380"/>
      <c r="U45" s="24"/>
      <c r="V45" s="25"/>
      <c r="W45" s="25" t="s">
        <v>224</v>
      </c>
      <c r="X45" s="24"/>
      <c r="Y45" s="25"/>
      <c r="Z45" s="25"/>
      <c r="AA45" s="295"/>
      <c r="AC45" s="252">
        <v>1</v>
      </c>
      <c r="AE45" s="41"/>
      <c r="AF45" s="41"/>
    </row>
    <row r="46" spans="1:32" s="128" customFormat="1" x14ac:dyDescent="0.2">
      <c r="A46" s="246"/>
      <c r="B46" s="128" t="s">
        <v>1729</v>
      </c>
      <c r="C46" s="175"/>
      <c r="D46" s="175"/>
      <c r="E46" s="232"/>
      <c r="F46" s="242"/>
      <c r="G46" s="257"/>
      <c r="H46" s="244">
        <v>1</v>
      </c>
      <c r="I46" s="244"/>
      <c r="J46" s="250">
        <v>1</v>
      </c>
      <c r="K46" s="242">
        <v>3</v>
      </c>
      <c r="L46" s="249"/>
      <c r="M46" s="252">
        <v>1</v>
      </c>
      <c r="N46" s="511"/>
      <c r="O46" s="511"/>
      <c r="P46" s="511"/>
      <c r="Q46" s="369">
        <v>1</v>
      </c>
      <c r="R46" s="380"/>
      <c r="S46" s="380"/>
      <c r="T46" s="380"/>
      <c r="U46" s="24"/>
      <c r="V46" s="25"/>
      <c r="W46" s="25"/>
      <c r="X46" s="24"/>
      <c r="Y46" s="25"/>
      <c r="Z46" s="25"/>
      <c r="AA46" s="295"/>
      <c r="AC46" s="252">
        <v>1</v>
      </c>
      <c r="AE46" s="41"/>
      <c r="AF46" s="41"/>
    </row>
    <row r="47" spans="1:32" s="128" customFormat="1" x14ac:dyDescent="0.2">
      <c r="A47" s="246"/>
      <c r="B47" s="128" t="s">
        <v>1730</v>
      </c>
      <c r="C47" s="175"/>
      <c r="D47" s="175"/>
      <c r="E47" s="232"/>
      <c r="F47" s="242"/>
      <c r="G47" s="257"/>
      <c r="H47" s="244"/>
      <c r="I47" s="244"/>
      <c r="J47" s="250"/>
      <c r="K47" s="242"/>
      <c r="L47" s="249"/>
      <c r="M47" s="252">
        <v>1</v>
      </c>
      <c r="N47" s="511"/>
      <c r="O47" s="511"/>
      <c r="P47" s="511"/>
      <c r="Q47" s="369"/>
      <c r="R47" s="380"/>
      <c r="S47" s="380"/>
      <c r="T47" s="380"/>
      <c r="U47" s="24"/>
      <c r="V47" s="25"/>
      <c r="W47" s="25"/>
      <c r="X47" s="24"/>
      <c r="Y47" s="25"/>
      <c r="Z47" s="25"/>
      <c r="AA47" s="295"/>
      <c r="AC47" s="252">
        <v>1</v>
      </c>
      <c r="AE47" s="41"/>
      <c r="AF47" s="41"/>
    </row>
    <row r="48" spans="1:32" s="128" customFormat="1" x14ac:dyDescent="0.2">
      <c r="A48" s="246"/>
      <c r="B48" s="128" t="s">
        <v>1731</v>
      </c>
      <c r="C48" s="175"/>
      <c r="D48" s="175"/>
      <c r="E48" s="232"/>
      <c r="F48" s="242"/>
      <c r="G48" s="257"/>
      <c r="H48" s="244"/>
      <c r="I48" s="244"/>
      <c r="J48" s="250"/>
      <c r="K48" s="242"/>
      <c r="L48" s="249"/>
      <c r="M48" s="252">
        <v>1</v>
      </c>
      <c r="N48" s="511"/>
      <c r="O48" s="511"/>
      <c r="P48" s="511"/>
      <c r="Q48" s="369"/>
      <c r="R48" s="380"/>
      <c r="S48" s="380"/>
      <c r="T48" s="380"/>
      <c r="U48" s="24"/>
      <c r="V48" s="25"/>
      <c r="W48" s="25"/>
      <c r="X48" s="24"/>
      <c r="Y48" s="25"/>
      <c r="Z48" s="25"/>
      <c r="AA48" s="295"/>
      <c r="AC48" s="252">
        <v>1</v>
      </c>
      <c r="AE48" s="41"/>
      <c r="AF48" s="41"/>
    </row>
    <row r="49" spans="1:32" s="128" customFormat="1" x14ac:dyDescent="0.2">
      <c r="A49" s="246"/>
      <c r="B49" s="128" t="s">
        <v>1688</v>
      </c>
      <c r="C49" s="175"/>
      <c r="D49" s="175"/>
      <c r="E49" s="232"/>
      <c r="F49" s="242"/>
      <c r="G49" s="257"/>
      <c r="H49" s="244">
        <v>1</v>
      </c>
      <c r="I49" s="244"/>
      <c r="J49" s="250">
        <v>1</v>
      </c>
      <c r="K49" s="730">
        <v>3</v>
      </c>
      <c r="L49" s="249"/>
      <c r="M49" s="252">
        <v>1</v>
      </c>
      <c r="N49" s="511"/>
      <c r="O49" s="511"/>
      <c r="P49" s="511"/>
      <c r="Q49" s="369">
        <v>1</v>
      </c>
      <c r="R49" s="380"/>
      <c r="S49" s="380"/>
      <c r="T49" s="380"/>
      <c r="U49" s="24"/>
      <c r="V49" s="25"/>
      <c r="W49" s="25"/>
      <c r="X49" s="24"/>
      <c r="Y49" s="25"/>
      <c r="Z49" s="25"/>
      <c r="AA49" s="295"/>
      <c r="AC49" s="252">
        <v>1</v>
      </c>
      <c r="AE49" s="41"/>
      <c r="AF49" s="41"/>
    </row>
    <row r="50" spans="1:32" s="128" customFormat="1" x14ac:dyDescent="0.2">
      <c r="A50" s="246"/>
      <c r="B50" s="128" t="s">
        <v>1689</v>
      </c>
      <c r="C50" s="175"/>
      <c r="D50" s="175"/>
      <c r="E50" s="232"/>
      <c r="F50" s="242"/>
      <c r="G50" s="257"/>
      <c r="H50" s="244"/>
      <c r="I50" s="244"/>
      <c r="J50" s="250"/>
      <c r="K50" s="242"/>
      <c r="L50" s="249"/>
      <c r="M50" s="252">
        <v>1</v>
      </c>
      <c r="N50" s="511"/>
      <c r="O50" s="511"/>
      <c r="P50" s="511"/>
      <c r="Q50" s="369"/>
      <c r="R50" s="380"/>
      <c r="S50" s="380"/>
      <c r="T50" s="380"/>
      <c r="U50" s="24"/>
      <c r="V50" s="25"/>
      <c r="W50" s="25"/>
      <c r="X50" s="24"/>
      <c r="Y50" s="25"/>
      <c r="Z50" s="25"/>
      <c r="AA50" s="295"/>
      <c r="AC50" s="252">
        <v>1</v>
      </c>
      <c r="AE50" s="41"/>
      <c r="AF50" s="41"/>
    </row>
    <row r="51" spans="1:32" s="128" customFormat="1" x14ac:dyDescent="0.2">
      <c r="A51" s="246"/>
      <c r="B51" s="128" t="s">
        <v>1763</v>
      </c>
      <c r="C51" s="175"/>
      <c r="D51" s="175"/>
      <c r="E51" s="232"/>
      <c r="F51" s="242"/>
      <c r="G51" s="257"/>
      <c r="H51" s="244"/>
      <c r="I51" s="244"/>
      <c r="J51" s="250"/>
      <c r="K51" s="242"/>
      <c r="L51" s="249"/>
      <c r="M51" s="252">
        <v>1</v>
      </c>
      <c r="N51" s="511"/>
      <c r="O51" s="511"/>
      <c r="P51" s="511"/>
      <c r="Q51" s="369"/>
      <c r="R51" s="380"/>
      <c r="S51" s="380"/>
      <c r="T51" s="380"/>
      <c r="U51" s="24"/>
      <c r="V51" s="25"/>
      <c r="W51" s="25"/>
      <c r="X51" s="24"/>
      <c r="Y51" s="25"/>
      <c r="Z51" s="25"/>
      <c r="AA51" s="295"/>
      <c r="AC51" s="252">
        <v>1</v>
      </c>
      <c r="AE51" s="41"/>
      <c r="AF51" s="41"/>
    </row>
    <row r="52" spans="1:32" s="128" customFormat="1" x14ac:dyDescent="0.2">
      <c r="A52" s="246"/>
      <c r="B52" s="128" t="s">
        <v>952</v>
      </c>
      <c r="C52" s="175"/>
      <c r="D52" s="175"/>
      <c r="E52" s="232"/>
      <c r="F52" s="242"/>
      <c r="G52" s="257"/>
      <c r="H52" s="244">
        <v>1</v>
      </c>
      <c r="I52" s="244"/>
      <c r="J52" s="250">
        <v>1</v>
      </c>
      <c r="K52" s="242">
        <v>1</v>
      </c>
      <c r="L52" s="249"/>
      <c r="M52" s="252">
        <v>1</v>
      </c>
      <c r="N52" s="511"/>
      <c r="O52" s="511"/>
      <c r="P52" s="511"/>
      <c r="Q52" s="369">
        <v>1</v>
      </c>
      <c r="R52" s="380"/>
      <c r="S52" s="380"/>
      <c r="T52" s="380"/>
      <c r="U52" s="24"/>
      <c r="V52" s="25"/>
      <c r="W52" s="25"/>
      <c r="X52" s="24"/>
      <c r="Y52" s="25"/>
      <c r="Z52" s="25"/>
      <c r="AA52" s="295"/>
      <c r="AC52" s="252">
        <v>1</v>
      </c>
      <c r="AE52" s="41"/>
      <c r="AF52" s="41"/>
    </row>
    <row r="53" spans="1:32" s="128" customFormat="1" x14ac:dyDescent="0.2">
      <c r="A53" s="246"/>
      <c r="B53" s="128" t="s">
        <v>953</v>
      </c>
      <c r="C53" s="175"/>
      <c r="D53" s="175"/>
      <c r="E53" s="232"/>
      <c r="F53" s="242"/>
      <c r="G53" s="253"/>
      <c r="H53" s="244">
        <v>1</v>
      </c>
      <c r="I53" s="244"/>
      <c r="J53" s="250">
        <v>1</v>
      </c>
      <c r="K53" s="242">
        <v>2</v>
      </c>
      <c r="L53" s="249"/>
      <c r="M53" s="252">
        <v>1</v>
      </c>
      <c r="N53" s="511"/>
      <c r="O53" s="511"/>
      <c r="P53" s="511"/>
      <c r="Q53" s="369">
        <f>2/K53</f>
        <v>1</v>
      </c>
      <c r="R53" s="369"/>
      <c r="S53" s="369"/>
      <c r="T53" s="369"/>
      <c r="U53" s="24"/>
      <c r="V53" s="25"/>
      <c r="W53" s="25"/>
      <c r="X53" s="24"/>
      <c r="Y53" s="25"/>
      <c r="Z53" s="25"/>
      <c r="AA53" s="295"/>
      <c r="AC53" s="252">
        <v>1</v>
      </c>
      <c r="AE53" s="41"/>
      <c r="AF53" s="41"/>
    </row>
    <row r="54" spans="1:32" s="128" customFormat="1" x14ac:dyDescent="0.2">
      <c r="A54" s="246"/>
      <c r="B54" s="128" t="s">
        <v>954</v>
      </c>
      <c r="C54" s="175"/>
      <c r="D54" s="175"/>
      <c r="E54" s="232"/>
      <c r="F54" s="242"/>
      <c r="G54" s="253"/>
      <c r="H54" s="244"/>
      <c r="I54" s="244"/>
      <c r="J54" s="250"/>
      <c r="K54" s="242"/>
      <c r="L54" s="249"/>
      <c r="M54" s="252">
        <v>1</v>
      </c>
      <c r="N54" s="511"/>
      <c r="O54" s="511"/>
      <c r="P54" s="511"/>
      <c r="Q54" s="369"/>
      <c r="R54" s="369"/>
      <c r="S54" s="369"/>
      <c r="T54" s="369"/>
      <c r="U54" s="24"/>
      <c r="V54" s="25"/>
      <c r="W54" s="25"/>
      <c r="X54" s="24"/>
      <c r="Y54" s="25"/>
      <c r="Z54" s="25"/>
      <c r="AA54" s="295"/>
      <c r="AC54" s="252">
        <v>1</v>
      </c>
      <c r="AE54" s="41"/>
      <c r="AF54" s="41"/>
    </row>
    <row r="55" spans="1:32" s="128" customFormat="1" x14ac:dyDescent="0.2">
      <c r="A55" s="246"/>
      <c r="B55" s="128" t="s">
        <v>955</v>
      </c>
      <c r="C55" s="175"/>
      <c r="D55" s="175"/>
      <c r="E55" s="232"/>
      <c r="F55" s="242"/>
      <c r="G55" s="253"/>
      <c r="H55" s="244">
        <v>1</v>
      </c>
      <c r="I55" s="244"/>
      <c r="J55" s="250">
        <v>1</v>
      </c>
      <c r="K55" s="242">
        <v>3</v>
      </c>
      <c r="L55" s="249"/>
      <c r="M55" s="252">
        <v>1</v>
      </c>
      <c r="N55" s="511"/>
      <c r="O55" s="511"/>
      <c r="P55" s="511"/>
      <c r="Q55" s="369">
        <f>2/K55</f>
        <v>0.66666666666666663</v>
      </c>
      <c r="R55" s="369"/>
      <c r="S55" s="369"/>
      <c r="T55" s="369"/>
      <c r="U55" s="24"/>
      <c r="V55" s="25"/>
      <c r="W55" s="25"/>
      <c r="X55" s="24"/>
      <c r="Y55" s="25"/>
      <c r="Z55" s="25"/>
      <c r="AA55" s="295"/>
      <c r="AC55" s="252">
        <v>1</v>
      </c>
      <c r="AE55" s="41"/>
      <c r="AF55" s="41"/>
    </row>
    <row r="56" spans="1:32" s="128" customFormat="1" x14ac:dyDescent="0.2">
      <c r="A56" s="246"/>
      <c r="B56" s="128" t="s">
        <v>956</v>
      </c>
      <c r="C56" s="175"/>
      <c r="D56" s="175"/>
      <c r="E56" s="232"/>
      <c r="F56" s="242"/>
      <c r="G56" s="253"/>
      <c r="H56" s="244"/>
      <c r="I56" s="244"/>
      <c r="J56" s="250"/>
      <c r="K56" s="242"/>
      <c r="L56" s="249"/>
      <c r="M56" s="252">
        <v>0</v>
      </c>
      <c r="N56" s="511"/>
      <c r="O56" s="511"/>
      <c r="P56" s="511"/>
      <c r="Q56" s="369"/>
      <c r="R56" s="369"/>
      <c r="S56" s="369"/>
      <c r="T56" s="369"/>
      <c r="U56" s="24"/>
      <c r="V56" s="25"/>
      <c r="W56" s="25"/>
      <c r="X56" s="24"/>
      <c r="Y56" s="25"/>
      <c r="Z56" s="25"/>
      <c r="AA56" s="295"/>
      <c r="AC56" s="252">
        <v>0</v>
      </c>
      <c r="AE56" s="41"/>
      <c r="AF56" s="41"/>
    </row>
    <row r="57" spans="1:32" s="128" customFormat="1" x14ac:dyDescent="0.2">
      <c r="A57" s="246"/>
      <c r="B57" s="128" t="s">
        <v>957</v>
      </c>
      <c r="C57" s="175"/>
      <c r="D57" s="175"/>
      <c r="E57" s="232"/>
      <c r="F57" s="242"/>
      <c r="G57" s="253"/>
      <c r="H57" s="244"/>
      <c r="I57" s="244"/>
      <c r="J57" s="250"/>
      <c r="K57" s="242"/>
      <c r="L57" s="249"/>
      <c r="M57" s="252">
        <v>1</v>
      </c>
      <c r="N57" s="511"/>
      <c r="O57" s="511"/>
      <c r="P57" s="511"/>
      <c r="Q57" s="369"/>
      <c r="R57" s="369"/>
      <c r="S57" s="369"/>
      <c r="T57" s="369"/>
      <c r="U57" s="24"/>
      <c r="V57" s="25"/>
      <c r="W57" s="25"/>
      <c r="X57" s="24"/>
      <c r="Y57" s="25"/>
      <c r="Z57" s="25"/>
      <c r="AA57" s="295"/>
      <c r="AC57" s="252">
        <v>1</v>
      </c>
      <c r="AE57" s="41"/>
      <c r="AF57" s="41"/>
    </row>
    <row r="58" spans="1:32" s="124" customFormat="1" x14ac:dyDescent="0.2">
      <c r="A58" s="246">
        <v>3</v>
      </c>
      <c r="B58" s="128" t="s">
        <v>1732</v>
      </c>
      <c r="C58" s="175" t="s">
        <v>27</v>
      </c>
      <c r="D58" s="175"/>
      <c r="E58" s="232"/>
      <c r="F58" s="242"/>
      <c r="G58" s="257">
        <v>1</v>
      </c>
      <c r="H58" s="244">
        <v>1</v>
      </c>
      <c r="I58" s="244"/>
      <c r="J58" s="250">
        <v>1</v>
      </c>
      <c r="K58" s="242">
        <v>6</v>
      </c>
      <c r="L58" s="249"/>
      <c r="M58" s="252">
        <v>1</v>
      </c>
      <c r="N58" s="511"/>
      <c r="O58" s="511"/>
      <c r="P58" s="511"/>
      <c r="Q58" s="369">
        <f>SUM(M58:M63)/K58</f>
        <v>1</v>
      </c>
      <c r="R58" s="369"/>
      <c r="S58" s="369"/>
      <c r="T58" s="369"/>
      <c r="U58" s="24" t="s">
        <v>27</v>
      </c>
      <c r="V58" s="25"/>
      <c r="W58" s="25" t="s">
        <v>234</v>
      </c>
      <c r="X58" s="24" t="s">
        <v>92</v>
      </c>
      <c r="Y58" s="25" t="s">
        <v>27</v>
      </c>
      <c r="Z58" s="25"/>
      <c r="AA58" s="296"/>
      <c r="AC58" s="252">
        <v>1</v>
      </c>
      <c r="AE58" s="41"/>
      <c r="AF58" s="41"/>
    </row>
    <row r="59" spans="1:32" s="124" customFormat="1" x14ac:dyDescent="0.2">
      <c r="A59" s="246"/>
      <c r="B59" s="128" t="s">
        <v>1733</v>
      </c>
      <c r="C59" s="175"/>
      <c r="D59" s="175"/>
      <c r="E59" s="232"/>
      <c r="F59" s="242"/>
      <c r="G59" s="257"/>
      <c r="H59" s="244"/>
      <c r="I59" s="244"/>
      <c r="J59" s="250"/>
      <c r="K59" s="242"/>
      <c r="L59" s="249"/>
      <c r="M59" s="252">
        <v>1</v>
      </c>
      <c r="N59" s="511"/>
      <c r="O59" s="511"/>
      <c r="P59" s="511"/>
      <c r="Q59" s="369"/>
      <c r="R59" s="369"/>
      <c r="S59" s="369"/>
      <c r="T59" s="369"/>
      <c r="U59" s="24"/>
      <c r="V59" s="25"/>
      <c r="W59" s="25"/>
      <c r="X59" s="24"/>
      <c r="Y59" s="25"/>
      <c r="Z59" s="25"/>
      <c r="AA59" s="296"/>
      <c r="AC59" s="252">
        <v>1</v>
      </c>
      <c r="AE59" s="41"/>
      <c r="AF59" s="41"/>
    </row>
    <row r="60" spans="1:32" s="124" customFormat="1" x14ac:dyDescent="0.2">
      <c r="A60" s="246"/>
      <c r="B60" s="128" t="s">
        <v>1734</v>
      </c>
      <c r="C60" s="175"/>
      <c r="D60" s="175"/>
      <c r="E60" s="232"/>
      <c r="F60" s="242"/>
      <c r="G60" s="257"/>
      <c r="H60" s="244"/>
      <c r="I60" s="244"/>
      <c r="J60" s="250"/>
      <c r="K60" s="242"/>
      <c r="L60" s="249"/>
      <c r="M60" s="252">
        <v>1</v>
      </c>
      <c r="N60" s="511"/>
      <c r="O60" s="511"/>
      <c r="P60" s="511"/>
      <c r="Q60" s="369"/>
      <c r="R60" s="369"/>
      <c r="S60" s="369"/>
      <c r="T60" s="369"/>
      <c r="U60" s="24"/>
      <c r="V60" s="25"/>
      <c r="W60" s="25"/>
      <c r="X60" s="24"/>
      <c r="Y60" s="25"/>
      <c r="Z60" s="25"/>
      <c r="AA60" s="296"/>
      <c r="AC60" s="252">
        <v>1</v>
      </c>
      <c r="AE60" s="41"/>
      <c r="AF60" s="41"/>
    </row>
    <row r="61" spans="1:32" s="124" customFormat="1" x14ac:dyDescent="0.2">
      <c r="A61" s="246"/>
      <c r="B61" s="128" t="s">
        <v>958</v>
      </c>
      <c r="C61" s="175"/>
      <c r="D61" s="175"/>
      <c r="E61" s="232"/>
      <c r="F61" s="242"/>
      <c r="G61" s="257"/>
      <c r="H61" s="244"/>
      <c r="I61" s="244"/>
      <c r="J61" s="250"/>
      <c r="K61" s="242"/>
      <c r="L61" s="249"/>
      <c r="M61" s="252">
        <v>1</v>
      </c>
      <c r="N61" s="511"/>
      <c r="O61" s="511"/>
      <c r="P61" s="511"/>
      <c r="Q61" s="369"/>
      <c r="R61" s="369"/>
      <c r="S61" s="369"/>
      <c r="T61" s="369"/>
      <c r="U61" s="24"/>
      <c r="V61" s="25"/>
      <c r="W61" s="25"/>
      <c r="X61" s="24"/>
      <c r="Y61" s="25"/>
      <c r="Z61" s="25"/>
      <c r="AA61" s="296"/>
      <c r="AC61" s="252">
        <v>1</v>
      </c>
      <c r="AE61" s="41"/>
      <c r="AF61" s="41"/>
    </row>
    <row r="62" spans="1:32" s="124" customFormat="1" x14ac:dyDescent="0.2">
      <c r="A62" s="246"/>
      <c r="B62" s="128" t="s">
        <v>959</v>
      </c>
      <c r="C62" s="175" t="s">
        <v>960</v>
      </c>
      <c r="D62" s="175"/>
      <c r="E62" s="232"/>
      <c r="F62" s="242"/>
      <c r="G62" s="253"/>
      <c r="H62" s="244"/>
      <c r="I62" s="244"/>
      <c r="J62" s="250"/>
      <c r="K62" s="242"/>
      <c r="L62" s="249"/>
      <c r="M62" s="252">
        <v>1</v>
      </c>
      <c r="N62" s="511"/>
      <c r="O62" s="511"/>
      <c r="P62" s="511"/>
      <c r="Q62" s="369"/>
      <c r="R62" s="369"/>
      <c r="S62" s="369"/>
      <c r="T62" s="369"/>
      <c r="U62" s="24"/>
      <c r="V62" s="25"/>
      <c r="W62" s="25" t="s">
        <v>27</v>
      </c>
      <c r="X62" s="24"/>
      <c r="Y62" s="25"/>
      <c r="Z62" s="25"/>
      <c r="AA62" s="296"/>
      <c r="AC62" s="252">
        <v>1</v>
      </c>
      <c r="AE62" s="41"/>
      <c r="AF62" s="41"/>
    </row>
    <row r="63" spans="1:32" s="124" customFormat="1" x14ac:dyDescent="0.2">
      <c r="A63" s="246"/>
      <c r="B63" s="128" t="s">
        <v>961</v>
      </c>
      <c r="C63" s="254" t="s">
        <v>27</v>
      </c>
      <c r="D63" s="175" t="s">
        <v>27</v>
      </c>
      <c r="E63" s="232"/>
      <c r="F63" s="242"/>
      <c r="G63" s="253"/>
      <c r="H63" s="244"/>
      <c r="I63" s="244"/>
      <c r="J63" s="250"/>
      <c r="K63" s="242"/>
      <c r="L63" s="249"/>
      <c r="M63" s="252">
        <v>1</v>
      </c>
      <c r="N63" s="511"/>
      <c r="O63" s="511"/>
      <c r="P63" s="511"/>
      <c r="Q63" s="369"/>
      <c r="R63" s="369"/>
      <c r="S63" s="369"/>
      <c r="T63" s="369"/>
      <c r="U63" s="24" t="s">
        <v>27</v>
      </c>
      <c r="V63" s="25"/>
      <c r="W63" s="25"/>
      <c r="X63" s="24" t="s">
        <v>92</v>
      </c>
      <c r="Y63" s="25" t="s">
        <v>27</v>
      </c>
      <c r="Z63" s="25"/>
      <c r="AA63" s="296"/>
      <c r="AC63" s="252">
        <v>1</v>
      </c>
      <c r="AE63" s="41"/>
      <c r="AF63" s="41"/>
    </row>
    <row r="64" spans="1:32" s="128" customFormat="1" x14ac:dyDescent="0.2">
      <c r="A64" s="246" t="s">
        <v>27</v>
      </c>
      <c r="B64" s="128" t="s">
        <v>962</v>
      </c>
      <c r="C64" s="175"/>
      <c r="D64" s="175"/>
      <c r="E64" s="232"/>
      <c r="F64" s="242"/>
      <c r="G64" s="253"/>
      <c r="H64" s="244">
        <v>1</v>
      </c>
      <c r="I64" s="244"/>
      <c r="J64" s="250">
        <v>1</v>
      </c>
      <c r="K64" s="242">
        <v>9</v>
      </c>
      <c r="L64" s="249"/>
      <c r="M64" s="252">
        <v>0</v>
      </c>
      <c r="N64" s="511"/>
      <c r="O64" s="511"/>
      <c r="P64" s="511"/>
      <c r="Q64" s="369">
        <f>SUM(M64:M72)/K64</f>
        <v>0.66666666666666663</v>
      </c>
      <c r="R64" s="369"/>
      <c r="S64" s="369"/>
      <c r="T64" s="369"/>
      <c r="U64" s="24"/>
      <c r="V64" s="25"/>
      <c r="W64" s="25"/>
      <c r="X64" s="24"/>
      <c r="Y64" s="25"/>
      <c r="Z64" s="25"/>
      <c r="AA64" s="295"/>
      <c r="AC64" s="252">
        <v>0</v>
      </c>
      <c r="AE64" s="41"/>
      <c r="AF64" s="41"/>
    </row>
    <row r="65" spans="1:32" s="128" customFormat="1" x14ac:dyDescent="0.2">
      <c r="A65" s="246"/>
      <c r="B65" s="128" t="s">
        <v>963</v>
      </c>
      <c r="C65" s="175"/>
      <c r="D65" s="175"/>
      <c r="E65" s="232"/>
      <c r="F65" s="242"/>
      <c r="G65" s="253"/>
      <c r="H65" s="244"/>
      <c r="I65" s="244"/>
      <c r="J65" s="250"/>
      <c r="K65" s="242"/>
      <c r="L65" s="249"/>
      <c r="M65" s="252">
        <v>0</v>
      </c>
      <c r="N65" s="511"/>
      <c r="O65" s="511"/>
      <c r="P65" s="511"/>
      <c r="Q65" s="369"/>
      <c r="R65" s="369"/>
      <c r="S65" s="369"/>
      <c r="T65" s="369"/>
      <c r="U65" s="24"/>
      <c r="V65" s="25"/>
      <c r="W65" s="25"/>
      <c r="X65" s="24"/>
      <c r="Y65" s="25"/>
      <c r="Z65" s="25"/>
      <c r="AA65" s="295"/>
      <c r="AC65" s="252">
        <v>0</v>
      </c>
      <c r="AE65" s="41"/>
      <c r="AF65" s="41"/>
    </row>
    <row r="66" spans="1:32" s="128" customFormat="1" x14ac:dyDescent="0.2">
      <c r="A66" s="246"/>
      <c r="B66" s="128" t="s">
        <v>964</v>
      </c>
      <c r="C66" s="175"/>
      <c r="D66" s="175" t="s">
        <v>938</v>
      </c>
      <c r="E66" s="232"/>
      <c r="F66" s="242"/>
      <c r="G66" s="253"/>
      <c r="H66" s="244"/>
      <c r="I66" s="244"/>
      <c r="J66" s="250"/>
      <c r="K66" s="249"/>
      <c r="L66" s="249"/>
      <c r="M66" s="252">
        <v>1</v>
      </c>
      <c r="N66" s="511"/>
      <c r="O66" s="511"/>
      <c r="P66" s="511"/>
      <c r="Q66" s="369"/>
      <c r="R66" s="369"/>
      <c r="S66" s="369"/>
      <c r="T66" s="369"/>
      <c r="U66" s="24"/>
      <c r="V66" s="25" t="s">
        <v>93</v>
      </c>
      <c r="W66" s="25"/>
      <c r="X66" s="24"/>
      <c r="Y66" s="25" t="s">
        <v>93</v>
      </c>
      <c r="Z66" s="25"/>
      <c r="AA66" s="295">
        <v>1</v>
      </c>
      <c r="AC66" s="252">
        <v>1</v>
      </c>
      <c r="AE66" s="41"/>
      <c r="AF66" s="41"/>
    </row>
    <row r="67" spans="1:32" s="128" customFormat="1" x14ac:dyDescent="0.2">
      <c r="A67" s="246"/>
      <c r="B67" s="128" t="s">
        <v>965</v>
      </c>
      <c r="C67" s="175"/>
      <c r="D67" s="175"/>
      <c r="E67" s="232"/>
      <c r="F67" s="242"/>
      <c r="G67" s="253"/>
      <c r="H67" s="244"/>
      <c r="I67" s="244"/>
      <c r="J67" s="250"/>
      <c r="K67" s="249"/>
      <c r="L67" s="249"/>
      <c r="M67" s="252">
        <v>0</v>
      </c>
      <c r="N67" s="511"/>
      <c r="O67" s="511"/>
      <c r="P67" s="511"/>
      <c r="Q67" s="369"/>
      <c r="R67" s="369"/>
      <c r="S67" s="369"/>
      <c r="T67" s="369"/>
      <c r="U67" s="24"/>
      <c r="V67" s="25"/>
      <c r="W67" s="25"/>
      <c r="X67" s="24"/>
      <c r="Y67" s="25"/>
      <c r="Z67" s="25"/>
      <c r="AA67" s="295">
        <v>1</v>
      </c>
      <c r="AC67" s="252">
        <v>0</v>
      </c>
      <c r="AE67" s="41"/>
      <c r="AF67" s="41"/>
    </row>
    <row r="68" spans="1:32" s="128" customFormat="1" x14ac:dyDescent="0.2">
      <c r="A68" s="246"/>
      <c r="B68" s="128" t="s">
        <v>1735</v>
      </c>
      <c r="C68" s="175"/>
      <c r="D68" s="175"/>
      <c r="E68" s="232"/>
      <c r="F68" s="242"/>
      <c r="G68" s="253"/>
      <c r="H68" s="244"/>
      <c r="I68" s="244"/>
      <c r="J68" s="250"/>
      <c r="K68" s="249"/>
      <c r="L68" s="249"/>
      <c r="M68" s="252">
        <v>1</v>
      </c>
      <c r="N68" s="511"/>
      <c r="O68" s="511"/>
      <c r="P68" s="511"/>
      <c r="Q68" s="369"/>
      <c r="R68" s="369"/>
      <c r="S68" s="369"/>
      <c r="T68" s="369"/>
      <c r="U68" s="24"/>
      <c r="V68" s="25"/>
      <c r="W68" s="25"/>
      <c r="X68" s="24"/>
      <c r="Y68" s="25"/>
      <c r="Z68" s="25"/>
      <c r="AA68" s="295"/>
      <c r="AC68" s="252">
        <v>1</v>
      </c>
      <c r="AE68" s="41"/>
      <c r="AF68" s="41"/>
    </row>
    <row r="69" spans="1:32" s="128" customFormat="1" x14ac:dyDescent="0.2">
      <c r="A69" s="246"/>
      <c r="B69" s="128" t="s">
        <v>1736</v>
      </c>
      <c r="C69" s="175"/>
      <c r="D69" s="175"/>
      <c r="E69" s="232"/>
      <c r="F69" s="242"/>
      <c r="G69" s="253"/>
      <c r="H69" s="244"/>
      <c r="I69" s="244"/>
      <c r="J69" s="250"/>
      <c r="K69" s="249"/>
      <c r="L69" s="249"/>
      <c r="M69" s="252">
        <v>1</v>
      </c>
      <c r="N69" s="511"/>
      <c r="O69" s="511"/>
      <c r="P69" s="511"/>
      <c r="Q69" s="369"/>
      <c r="R69" s="369"/>
      <c r="S69" s="369"/>
      <c r="T69" s="369"/>
      <c r="U69" s="24"/>
      <c r="V69" s="25"/>
      <c r="W69" s="25"/>
      <c r="X69" s="24"/>
      <c r="Y69" s="25"/>
      <c r="Z69" s="25"/>
      <c r="AA69" s="295"/>
      <c r="AC69" s="252">
        <v>1</v>
      </c>
      <c r="AE69" s="41"/>
      <c r="AF69" s="41"/>
    </row>
    <row r="70" spans="1:32" s="128" customFormat="1" x14ac:dyDescent="0.2">
      <c r="A70" s="246"/>
      <c r="B70" s="128" t="s">
        <v>1737</v>
      </c>
      <c r="C70" s="175"/>
      <c r="D70" s="175"/>
      <c r="E70" s="232"/>
      <c r="F70" s="242"/>
      <c r="G70" s="253"/>
      <c r="H70" s="244"/>
      <c r="I70" s="244"/>
      <c r="J70" s="250"/>
      <c r="K70" s="249"/>
      <c r="L70" s="249"/>
      <c r="M70" s="252">
        <v>1</v>
      </c>
      <c r="N70" s="511"/>
      <c r="O70" s="511"/>
      <c r="P70" s="511"/>
      <c r="Q70" s="369"/>
      <c r="R70" s="369"/>
      <c r="S70" s="369"/>
      <c r="T70" s="369"/>
      <c r="U70" s="24"/>
      <c r="V70" s="25"/>
      <c r="W70" s="25"/>
      <c r="X70" s="24"/>
      <c r="Y70" s="25"/>
      <c r="Z70" s="25"/>
      <c r="AA70" s="295"/>
      <c r="AC70" s="252">
        <v>1</v>
      </c>
      <c r="AE70" s="41"/>
      <c r="AF70" s="41"/>
    </row>
    <row r="71" spans="1:32" s="128" customFormat="1" x14ac:dyDescent="0.2">
      <c r="A71" s="246" t="s">
        <v>27</v>
      </c>
      <c r="B71" s="128" t="s">
        <v>966</v>
      </c>
      <c r="C71" s="175"/>
      <c r="D71" s="175"/>
      <c r="E71" s="232"/>
      <c r="F71" s="242"/>
      <c r="G71" s="253"/>
      <c r="H71" s="244"/>
      <c r="I71" s="244"/>
      <c r="J71" s="250"/>
      <c r="K71" s="249" t="s">
        <v>27</v>
      </c>
      <c r="L71" s="249"/>
      <c r="M71" s="252">
        <v>1</v>
      </c>
      <c r="N71" s="511"/>
      <c r="O71" s="511"/>
      <c r="P71" s="511"/>
      <c r="Q71" s="369" t="s">
        <v>27</v>
      </c>
      <c r="R71" s="369"/>
      <c r="S71" s="369"/>
      <c r="T71" s="369"/>
      <c r="U71" s="24"/>
      <c r="V71" s="25"/>
      <c r="W71" s="25"/>
      <c r="X71" s="24"/>
      <c r="Y71" s="25"/>
      <c r="Z71" s="25"/>
      <c r="AA71" s="295"/>
      <c r="AC71" s="252">
        <v>1</v>
      </c>
      <c r="AE71" s="41"/>
      <c r="AF71" s="41"/>
    </row>
    <row r="72" spans="1:32" s="128" customFormat="1" x14ac:dyDescent="0.2">
      <c r="A72" s="246"/>
      <c r="B72" s="128" t="s">
        <v>967</v>
      </c>
      <c r="C72" s="175"/>
      <c r="D72" s="175"/>
      <c r="E72" s="232"/>
      <c r="F72" s="242"/>
      <c r="G72" s="253"/>
      <c r="H72" s="244"/>
      <c r="I72" s="244"/>
      <c r="J72" s="250"/>
      <c r="K72" s="249"/>
      <c r="L72" s="249"/>
      <c r="M72" s="252">
        <v>1</v>
      </c>
      <c r="N72" s="511"/>
      <c r="O72" s="511"/>
      <c r="P72" s="511"/>
      <c r="Q72" s="369"/>
      <c r="R72" s="369"/>
      <c r="S72" s="369"/>
      <c r="T72" s="369"/>
      <c r="U72" s="24"/>
      <c r="V72" s="25"/>
      <c r="W72" s="25" t="s">
        <v>224</v>
      </c>
      <c r="X72" s="24"/>
      <c r="Y72" s="25"/>
      <c r="Z72" s="25"/>
      <c r="AA72" s="295"/>
      <c r="AC72" s="252">
        <v>1</v>
      </c>
      <c r="AE72" s="41"/>
      <c r="AF72" s="41"/>
    </row>
    <row r="73" spans="1:32" s="128" customFormat="1" x14ac:dyDescent="0.2">
      <c r="A73" s="246"/>
      <c r="B73" s="128" t="s">
        <v>968</v>
      </c>
      <c r="C73" s="175"/>
      <c r="D73" s="175"/>
      <c r="E73" s="232"/>
      <c r="F73" s="242"/>
      <c r="G73" s="253"/>
      <c r="H73" s="244">
        <v>1</v>
      </c>
      <c r="I73" s="244"/>
      <c r="J73" s="250">
        <v>1</v>
      </c>
      <c r="K73" s="249">
        <v>5</v>
      </c>
      <c r="L73" s="249"/>
      <c r="M73" s="252">
        <v>1</v>
      </c>
      <c r="N73" s="511"/>
      <c r="O73" s="511"/>
      <c r="P73" s="511"/>
      <c r="Q73" s="369">
        <f>SUM(M73:M77)/K73</f>
        <v>0.8</v>
      </c>
      <c r="R73" s="369"/>
      <c r="S73" s="369"/>
      <c r="T73" s="369"/>
      <c r="U73" s="24"/>
      <c r="V73" s="25"/>
      <c r="W73" s="25" t="s">
        <v>224</v>
      </c>
      <c r="X73" s="24"/>
      <c r="Y73" s="25"/>
      <c r="Z73" s="25"/>
      <c r="AA73" s="295"/>
      <c r="AC73" s="252">
        <v>1</v>
      </c>
      <c r="AE73" s="41"/>
      <c r="AF73" s="41"/>
    </row>
    <row r="74" spans="1:32" s="128" customFormat="1" x14ac:dyDescent="0.2">
      <c r="A74" s="246"/>
      <c r="B74" s="128" t="s">
        <v>969</v>
      </c>
      <c r="C74" s="175"/>
      <c r="D74" s="175"/>
      <c r="E74" s="232"/>
      <c r="F74" s="242"/>
      <c r="G74" s="253"/>
      <c r="H74" s="244"/>
      <c r="I74" s="244"/>
      <c r="J74" s="250"/>
      <c r="K74" s="249"/>
      <c r="L74" s="249"/>
      <c r="M74" s="252">
        <v>0</v>
      </c>
      <c r="N74" s="511"/>
      <c r="O74" s="511"/>
      <c r="P74" s="511"/>
      <c r="Q74" s="369"/>
      <c r="R74" s="369"/>
      <c r="S74" s="369"/>
      <c r="T74" s="369"/>
      <c r="U74" s="24"/>
      <c r="V74" s="25"/>
      <c r="W74" s="25"/>
      <c r="X74" s="24"/>
      <c r="Y74" s="25"/>
      <c r="Z74" s="25"/>
      <c r="AA74" s="295"/>
      <c r="AC74" s="252">
        <v>0</v>
      </c>
      <c r="AE74" s="41"/>
      <c r="AF74" s="41"/>
    </row>
    <row r="75" spans="1:32" s="124" customFormat="1" x14ac:dyDescent="0.2">
      <c r="A75" s="246"/>
      <c r="B75" s="128" t="s">
        <v>970</v>
      </c>
      <c r="C75" s="175"/>
      <c r="D75" s="175"/>
      <c r="E75" s="232"/>
      <c r="F75" s="242"/>
      <c r="G75" s="253"/>
      <c r="H75" s="244"/>
      <c r="I75" s="244"/>
      <c r="J75" s="250"/>
      <c r="K75" s="249" t="s">
        <v>27</v>
      </c>
      <c r="L75" s="249"/>
      <c r="M75" s="252">
        <v>1</v>
      </c>
      <c r="N75" s="511"/>
      <c r="O75" s="511"/>
      <c r="P75" s="511"/>
      <c r="Q75" s="369" t="s">
        <v>27</v>
      </c>
      <c r="R75" s="369"/>
      <c r="S75" s="369"/>
      <c r="T75" s="369"/>
      <c r="U75" s="24"/>
      <c r="V75" s="25"/>
      <c r="W75" s="25"/>
      <c r="X75" s="24"/>
      <c r="Y75" s="25"/>
      <c r="Z75" s="25"/>
      <c r="AA75" s="296"/>
      <c r="AC75" s="252">
        <v>1</v>
      </c>
      <c r="AE75" s="41"/>
      <c r="AF75" s="41"/>
    </row>
    <row r="76" spans="1:32" s="124" customFormat="1" x14ac:dyDescent="0.2">
      <c r="A76" s="246"/>
      <c r="B76" s="128" t="s">
        <v>971</v>
      </c>
      <c r="C76" s="175"/>
      <c r="D76" s="175"/>
      <c r="E76" s="232"/>
      <c r="F76" s="242"/>
      <c r="G76" s="253"/>
      <c r="H76" s="244"/>
      <c r="I76" s="244"/>
      <c r="J76" s="250"/>
      <c r="K76" s="249"/>
      <c r="L76" s="249"/>
      <c r="M76" s="252">
        <v>1</v>
      </c>
      <c r="N76" s="511"/>
      <c r="O76" s="511"/>
      <c r="P76" s="511"/>
      <c r="Q76" s="369"/>
      <c r="R76" s="369"/>
      <c r="S76" s="369"/>
      <c r="T76" s="369"/>
      <c r="U76" s="24"/>
      <c r="V76" s="25"/>
      <c r="W76" s="25"/>
      <c r="X76" s="24"/>
      <c r="Y76" s="25"/>
      <c r="Z76" s="25"/>
      <c r="AA76" s="296"/>
      <c r="AC76" s="252">
        <v>1</v>
      </c>
      <c r="AE76" s="41"/>
      <c r="AF76" s="41"/>
    </row>
    <row r="77" spans="1:32" s="124" customFormat="1" x14ac:dyDescent="0.2">
      <c r="A77" s="246"/>
      <c r="B77" s="128" t="s">
        <v>972</v>
      </c>
      <c r="C77" s="254" t="s">
        <v>973</v>
      </c>
      <c r="D77" s="175" t="s">
        <v>938</v>
      </c>
      <c r="E77" s="232"/>
      <c r="F77" s="242"/>
      <c r="G77" s="253"/>
      <c r="H77" s="244"/>
      <c r="I77" s="244"/>
      <c r="J77" s="250"/>
      <c r="K77" s="249"/>
      <c r="L77" s="249"/>
      <c r="M77" s="252">
        <v>1</v>
      </c>
      <c r="N77" s="511"/>
      <c r="O77" s="511"/>
      <c r="P77" s="511"/>
      <c r="Q77" s="369"/>
      <c r="R77" s="369"/>
      <c r="S77" s="369"/>
      <c r="T77" s="369"/>
      <c r="U77" s="24"/>
      <c r="V77" s="25"/>
      <c r="W77" s="25"/>
      <c r="X77" s="24"/>
      <c r="Y77" s="25"/>
      <c r="Z77" s="25"/>
      <c r="AA77" s="296"/>
      <c r="AC77" s="252">
        <v>1</v>
      </c>
      <c r="AE77" s="41"/>
      <c r="AF77" s="41"/>
    </row>
    <row r="78" spans="1:32" s="23" customFormat="1" x14ac:dyDescent="0.2">
      <c r="A78" s="61"/>
      <c r="B78" s="23" t="s">
        <v>974</v>
      </c>
      <c r="C78" s="254" t="s">
        <v>973</v>
      </c>
      <c r="D78" s="175" t="s">
        <v>938</v>
      </c>
      <c r="E78" s="232"/>
      <c r="F78" s="166"/>
      <c r="G78" s="143"/>
      <c r="H78" s="258">
        <v>1</v>
      </c>
      <c r="I78" s="258"/>
      <c r="J78" s="258">
        <v>1</v>
      </c>
      <c r="K78" s="166">
        <v>5</v>
      </c>
      <c r="L78" s="166"/>
      <c r="M78" s="252">
        <v>0</v>
      </c>
      <c r="N78" s="511"/>
      <c r="O78" s="511"/>
      <c r="P78" s="511"/>
      <c r="Q78" s="369">
        <f>SUM(M78:M82)/K78</f>
        <v>0.6</v>
      </c>
      <c r="R78" s="369"/>
      <c r="S78" s="369"/>
      <c r="T78" s="369"/>
      <c r="U78" s="24"/>
      <c r="V78" s="25"/>
      <c r="W78" s="25"/>
      <c r="X78" s="24"/>
      <c r="Y78" s="25"/>
      <c r="Z78" s="25"/>
      <c r="AA78" s="295"/>
      <c r="AC78" s="252">
        <v>0</v>
      </c>
      <c r="AE78" s="41"/>
      <c r="AF78" s="41"/>
    </row>
    <row r="79" spans="1:32" s="23" customFormat="1" x14ac:dyDescent="0.2">
      <c r="A79" s="61"/>
      <c r="B79" s="23" t="s">
        <v>975</v>
      </c>
      <c r="C79" s="165"/>
      <c r="D79" s="165"/>
      <c r="E79" s="232"/>
      <c r="F79" s="166"/>
      <c r="G79" s="143"/>
      <c r="H79" s="258"/>
      <c r="I79" s="258"/>
      <c r="J79" s="258"/>
      <c r="K79" s="166"/>
      <c r="L79" s="166"/>
      <c r="M79" s="252">
        <v>1</v>
      </c>
      <c r="N79" s="511"/>
      <c r="O79" s="511"/>
      <c r="P79" s="511"/>
      <c r="Q79" s="369"/>
      <c r="R79" s="369"/>
      <c r="S79" s="369"/>
      <c r="T79" s="369"/>
      <c r="U79" s="24"/>
      <c r="V79" s="25"/>
      <c r="W79" s="25"/>
      <c r="X79" s="24"/>
      <c r="Y79" s="25"/>
      <c r="Z79" s="25"/>
      <c r="AA79" s="295">
        <v>1</v>
      </c>
      <c r="AC79" s="252">
        <v>1</v>
      </c>
      <c r="AE79" s="41"/>
      <c r="AF79" s="41"/>
    </row>
    <row r="80" spans="1:32" s="23" customFormat="1" x14ac:dyDescent="0.2">
      <c r="A80" s="61"/>
      <c r="B80" s="23" t="s">
        <v>976</v>
      </c>
      <c r="C80" s="165"/>
      <c r="D80" s="165"/>
      <c r="E80" s="232"/>
      <c r="F80" s="166"/>
      <c r="G80" s="143"/>
      <c r="H80" s="258"/>
      <c r="I80" s="258"/>
      <c r="J80" s="258"/>
      <c r="K80" s="166" t="s">
        <v>27</v>
      </c>
      <c r="L80" s="166"/>
      <c r="M80" s="252">
        <v>1</v>
      </c>
      <c r="N80" s="511"/>
      <c r="O80" s="511"/>
      <c r="P80" s="511"/>
      <c r="Q80" s="369" t="s">
        <v>27</v>
      </c>
      <c r="R80" s="369"/>
      <c r="S80" s="369"/>
      <c r="T80" s="369"/>
      <c r="U80" s="24"/>
      <c r="V80" s="25"/>
      <c r="W80" s="25"/>
      <c r="X80" s="24"/>
      <c r="Y80" s="25"/>
      <c r="Z80" s="25"/>
      <c r="AA80" s="295">
        <v>1</v>
      </c>
      <c r="AC80" s="252">
        <v>1</v>
      </c>
      <c r="AE80" s="41"/>
      <c r="AF80" s="41"/>
    </row>
    <row r="81" spans="1:35" s="23" customFormat="1" x14ac:dyDescent="0.2">
      <c r="A81" s="61"/>
      <c r="B81" s="23" t="s">
        <v>977</v>
      </c>
      <c r="C81" s="165"/>
      <c r="D81" s="165"/>
      <c r="E81" s="232"/>
      <c r="F81" s="166"/>
      <c r="G81" s="143"/>
      <c r="H81" s="258"/>
      <c r="I81" s="258"/>
      <c r="J81" s="258"/>
      <c r="K81" s="166"/>
      <c r="L81" s="166"/>
      <c r="M81" s="252">
        <v>1</v>
      </c>
      <c r="N81" s="511"/>
      <c r="O81" s="511"/>
      <c r="P81" s="511"/>
      <c r="Q81" s="369"/>
      <c r="R81" s="369"/>
      <c r="S81" s="369"/>
      <c r="T81" s="369"/>
      <c r="U81" s="24"/>
      <c r="V81" s="25"/>
      <c r="W81" s="25"/>
      <c r="X81" s="24"/>
      <c r="Y81" s="25"/>
      <c r="Z81" s="25"/>
      <c r="AA81" s="295"/>
      <c r="AC81" s="252">
        <v>1</v>
      </c>
      <c r="AE81" s="41"/>
      <c r="AF81" s="41"/>
    </row>
    <row r="82" spans="1:35" s="23" customFormat="1" x14ac:dyDescent="0.2">
      <c r="A82" s="61"/>
      <c r="B82" s="23" t="s">
        <v>978</v>
      </c>
      <c r="C82" s="165"/>
      <c r="D82" s="165"/>
      <c r="E82" s="232"/>
      <c r="F82" s="166"/>
      <c r="G82" s="143"/>
      <c r="H82" s="258"/>
      <c r="I82" s="258"/>
      <c r="J82" s="258"/>
      <c r="K82" s="166"/>
      <c r="L82" s="166"/>
      <c r="M82" s="252">
        <v>0</v>
      </c>
      <c r="N82" s="511"/>
      <c r="O82" s="511"/>
      <c r="P82" s="511"/>
      <c r="Q82" s="369"/>
      <c r="R82" s="369"/>
      <c r="S82" s="369"/>
      <c r="T82" s="369"/>
      <c r="U82" s="24"/>
      <c r="V82" s="25"/>
      <c r="W82" s="25"/>
      <c r="X82" s="24"/>
      <c r="Y82" s="25"/>
      <c r="Z82" s="25"/>
      <c r="AA82" s="295"/>
      <c r="AC82" s="252">
        <v>0</v>
      </c>
      <c r="AE82" s="41"/>
      <c r="AF82" s="41"/>
    </row>
    <row r="83" spans="1:35" s="124" customFormat="1" x14ac:dyDescent="0.2">
      <c r="A83" s="246"/>
      <c r="B83" s="128" t="s">
        <v>979</v>
      </c>
      <c r="C83" s="175"/>
      <c r="D83" s="175"/>
      <c r="E83" s="232"/>
      <c r="F83" s="242"/>
      <c r="G83" s="253"/>
      <c r="H83" s="244">
        <v>1</v>
      </c>
      <c r="I83" s="244"/>
      <c r="J83" s="250">
        <v>1</v>
      </c>
      <c r="K83" s="249">
        <v>5</v>
      </c>
      <c r="L83" s="249"/>
      <c r="M83" s="255">
        <v>1</v>
      </c>
      <c r="N83" s="512"/>
      <c r="O83" s="512"/>
      <c r="P83" s="512"/>
      <c r="Q83" s="369">
        <f>SUM(M83:M87)/K83</f>
        <v>1</v>
      </c>
      <c r="R83" s="369"/>
      <c r="S83" s="369"/>
      <c r="T83" s="369"/>
      <c r="U83" s="24"/>
      <c r="V83" s="25"/>
      <c r="W83" s="25"/>
      <c r="X83" s="24"/>
      <c r="Y83" s="25"/>
      <c r="Z83" s="25"/>
      <c r="AA83" s="296"/>
      <c r="AB83" s="23"/>
      <c r="AC83" s="255">
        <v>1</v>
      </c>
      <c r="AD83" s="23"/>
      <c r="AE83" s="41"/>
      <c r="AF83" s="41"/>
      <c r="AG83" s="23"/>
      <c r="AH83" s="23"/>
      <c r="AI83" s="23"/>
    </row>
    <row r="84" spans="1:35" s="124" customFormat="1" x14ac:dyDescent="0.2">
      <c r="A84" s="246"/>
      <c r="B84" s="128" t="s">
        <v>980</v>
      </c>
      <c r="C84" s="175"/>
      <c r="D84" s="175"/>
      <c r="E84" s="232"/>
      <c r="F84" s="242"/>
      <c r="G84" s="253"/>
      <c r="H84" s="244"/>
      <c r="I84" s="244"/>
      <c r="J84" s="250"/>
      <c r="K84" s="249"/>
      <c r="L84" s="249"/>
      <c r="M84" s="255">
        <v>1</v>
      </c>
      <c r="N84" s="512"/>
      <c r="O84" s="512"/>
      <c r="P84" s="512"/>
      <c r="Q84" s="369"/>
      <c r="R84" s="369"/>
      <c r="S84" s="369"/>
      <c r="T84" s="369"/>
      <c r="U84" s="24"/>
      <c r="V84" s="25"/>
      <c r="W84" s="25"/>
      <c r="X84" s="24"/>
      <c r="Y84" s="25"/>
      <c r="Z84" s="25"/>
      <c r="AA84" s="296"/>
      <c r="AB84" s="23"/>
      <c r="AC84" s="255">
        <v>1</v>
      </c>
      <c r="AD84" s="23"/>
      <c r="AE84" s="41"/>
      <c r="AF84" s="41"/>
      <c r="AG84" s="23"/>
      <c r="AH84" s="23"/>
      <c r="AI84" s="23"/>
    </row>
    <row r="85" spans="1:35" s="124" customFormat="1" x14ac:dyDescent="0.2">
      <c r="A85" s="246"/>
      <c r="B85" s="128" t="s">
        <v>981</v>
      </c>
      <c r="C85" s="175"/>
      <c r="D85" s="175"/>
      <c r="E85" s="232"/>
      <c r="F85" s="242"/>
      <c r="G85" s="253"/>
      <c r="H85" s="244"/>
      <c r="I85" s="244"/>
      <c r="J85" s="250"/>
      <c r="K85" s="249"/>
      <c r="L85" s="249"/>
      <c r="M85" s="255">
        <v>1</v>
      </c>
      <c r="N85" s="512"/>
      <c r="O85" s="512"/>
      <c r="P85" s="512"/>
      <c r="Q85" s="369"/>
      <c r="R85" s="369"/>
      <c r="S85" s="369"/>
      <c r="T85" s="369"/>
      <c r="U85" s="24"/>
      <c r="V85" s="25"/>
      <c r="W85" s="25"/>
      <c r="X85" s="24"/>
      <c r="Y85" s="25"/>
      <c r="Z85" s="25"/>
      <c r="AA85" s="296"/>
      <c r="AB85" s="23"/>
      <c r="AC85" s="255">
        <v>1</v>
      </c>
      <c r="AD85" s="23"/>
      <c r="AE85" s="41"/>
      <c r="AF85" s="41"/>
      <c r="AG85" s="23"/>
      <c r="AH85" s="23"/>
      <c r="AI85" s="23"/>
    </row>
    <row r="86" spans="1:35" s="128" customFormat="1" x14ac:dyDescent="0.2">
      <c r="A86" s="246"/>
      <c r="B86" s="128" t="s">
        <v>982</v>
      </c>
      <c r="C86" s="175"/>
      <c r="D86" s="175"/>
      <c r="E86" s="232"/>
      <c r="F86" s="242"/>
      <c r="G86" s="253"/>
      <c r="H86" s="244"/>
      <c r="I86" s="244"/>
      <c r="J86" s="250"/>
      <c r="K86" s="249" t="s">
        <v>27</v>
      </c>
      <c r="L86" s="249"/>
      <c r="M86" s="252">
        <v>1</v>
      </c>
      <c r="N86" s="511"/>
      <c r="O86" s="511"/>
      <c r="P86" s="511"/>
      <c r="Q86" s="369"/>
      <c r="R86" s="369"/>
      <c r="S86" s="369"/>
      <c r="T86" s="369"/>
      <c r="U86" s="24"/>
      <c r="V86" s="25"/>
      <c r="W86" s="25"/>
      <c r="X86" s="24"/>
      <c r="Y86" s="25"/>
      <c r="Z86" s="25"/>
      <c r="AA86" s="296"/>
      <c r="AB86" s="23"/>
      <c r="AC86" s="252">
        <v>1</v>
      </c>
      <c r="AD86" s="23"/>
      <c r="AE86" s="41"/>
      <c r="AF86" s="41"/>
      <c r="AG86" s="23"/>
      <c r="AH86" s="23"/>
      <c r="AI86" s="23"/>
    </row>
    <row r="87" spans="1:35" s="128" customFormat="1" x14ac:dyDescent="0.2">
      <c r="A87" s="246"/>
      <c r="B87" s="128" t="s">
        <v>983</v>
      </c>
      <c r="C87" s="175"/>
      <c r="D87" s="175"/>
      <c r="E87" s="232"/>
      <c r="F87" s="242"/>
      <c r="G87" s="253"/>
      <c r="H87" s="244"/>
      <c r="I87" s="244"/>
      <c r="J87" s="250"/>
      <c r="K87" s="249"/>
      <c r="L87" s="249"/>
      <c r="M87" s="252">
        <v>1</v>
      </c>
      <c r="N87" s="511"/>
      <c r="O87" s="511"/>
      <c r="P87" s="511"/>
      <c r="Q87" s="369"/>
      <c r="R87" s="369"/>
      <c r="S87" s="369"/>
      <c r="T87" s="369"/>
      <c r="U87" s="24"/>
      <c r="V87" s="25"/>
      <c r="W87" s="25"/>
      <c r="X87" s="24"/>
      <c r="Y87" s="25"/>
      <c r="Z87" s="25"/>
      <c r="AA87" s="296"/>
      <c r="AB87" s="23"/>
      <c r="AC87" s="252">
        <v>1</v>
      </c>
      <c r="AD87" s="23"/>
      <c r="AE87" s="41"/>
      <c r="AF87" s="41"/>
      <c r="AG87" s="23"/>
      <c r="AH87" s="23"/>
      <c r="AI87" s="23"/>
    </row>
    <row r="88" spans="1:35" s="124" customFormat="1" x14ac:dyDescent="0.2">
      <c r="A88" s="246"/>
      <c r="B88" s="128" t="s">
        <v>984</v>
      </c>
      <c r="C88" s="175"/>
      <c r="D88" s="175"/>
      <c r="E88" s="232"/>
      <c r="F88" s="242"/>
      <c r="G88" s="253"/>
      <c r="H88" s="244">
        <v>1</v>
      </c>
      <c r="I88" s="244"/>
      <c r="J88" s="250">
        <v>1</v>
      </c>
      <c r="K88" s="249">
        <v>3</v>
      </c>
      <c r="L88" s="249"/>
      <c r="M88" s="255">
        <v>1</v>
      </c>
      <c r="N88" s="512"/>
      <c r="O88" s="512"/>
      <c r="P88" s="512"/>
      <c r="Q88" s="369">
        <f>3/K88</f>
        <v>1</v>
      </c>
      <c r="R88" s="369"/>
      <c r="S88" s="369"/>
      <c r="T88" s="369"/>
      <c r="U88" s="24"/>
      <c r="V88" s="25"/>
      <c r="W88" s="25"/>
      <c r="X88" s="24"/>
      <c r="Y88" s="25"/>
      <c r="Z88" s="25"/>
      <c r="AA88" s="296"/>
      <c r="AB88" s="23"/>
      <c r="AC88" s="255">
        <v>1</v>
      </c>
      <c r="AD88" s="23"/>
      <c r="AE88" s="41"/>
      <c r="AF88" s="41"/>
      <c r="AG88" s="23"/>
      <c r="AH88" s="23"/>
      <c r="AI88" s="23"/>
    </row>
    <row r="89" spans="1:35" s="124" customFormat="1" x14ac:dyDescent="0.2">
      <c r="A89" s="246"/>
      <c r="B89" s="128" t="s">
        <v>985</v>
      </c>
      <c r="C89" s="175"/>
      <c r="D89" s="175"/>
      <c r="E89" s="232"/>
      <c r="F89" s="242"/>
      <c r="G89" s="253"/>
      <c r="H89" s="244"/>
      <c r="I89" s="244"/>
      <c r="J89" s="250"/>
      <c r="K89" s="249"/>
      <c r="L89" s="249"/>
      <c r="M89" s="255">
        <v>1</v>
      </c>
      <c r="N89" s="512"/>
      <c r="O89" s="512"/>
      <c r="P89" s="512"/>
      <c r="Q89" s="369"/>
      <c r="R89" s="369"/>
      <c r="S89" s="369"/>
      <c r="T89" s="369"/>
      <c r="U89" s="24"/>
      <c r="V89" s="25"/>
      <c r="W89" s="25"/>
      <c r="X89" s="24"/>
      <c r="Y89" s="25"/>
      <c r="Z89" s="25"/>
      <c r="AA89" s="296"/>
      <c r="AB89" s="23"/>
      <c r="AC89" s="255">
        <v>1</v>
      </c>
      <c r="AD89" s="23"/>
      <c r="AE89" s="41"/>
      <c r="AF89" s="41"/>
      <c r="AG89" s="23"/>
      <c r="AH89" s="23"/>
      <c r="AI89" s="23"/>
    </row>
    <row r="90" spans="1:35" s="124" customFormat="1" x14ac:dyDescent="0.2">
      <c r="A90" s="246"/>
      <c r="B90" s="128" t="s">
        <v>986</v>
      </c>
      <c r="C90" s="175"/>
      <c r="D90" s="175"/>
      <c r="E90" s="232"/>
      <c r="F90" s="242"/>
      <c r="G90" s="253"/>
      <c r="H90" s="244"/>
      <c r="I90" s="244"/>
      <c r="J90" s="250"/>
      <c r="K90" s="249"/>
      <c r="L90" s="249"/>
      <c r="M90" s="255">
        <v>1</v>
      </c>
      <c r="N90" s="512"/>
      <c r="O90" s="512"/>
      <c r="P90" s="512"/>
      <c r="Q90" s="369"/>
      <c r="R90" s="369"/>
      <c r="S90" s="369"/>
      <c r="T90" s="369"/>
      <c r="U90" s="24"/>
      <c r="V90" s="25"/>
      <c r="W90" s="25"/>
      <c r="X90" s="24"/>
      <c r="Y90" s="25"/>
      <c r="Z90" s="25"/>
      <c r="AA90" s="296"/>
      <c r="AB90" s="23"/>
      <c r="AC90" s="255">
        <v>1</v>
      </c>
      <c r="AD90" s="23"/>
      <c r="AE90" s="41"/>
      <c r="AF90" s="41"/>
      <c r="AG90" s="23"/>
      <c r="AH90" s="23"/>
      <c r="AI90" s="23"/>
    </row>
    <row r="91" spans="1:35" s="286" customFormat="1" x14ac:dyDescent="0.2">
      <c r="A91" s="286" t="s">
        <v>21</v>
      </c>
      <c r="B91" s="286" t="s">
        <v>22</v>
      </c>
      <c r="C91" s="287"/>
      <c r="D91" s="287"/>
      <c r="E91" s="288"/>
      <c r="F91" s="287">
        <v>3</v>
      </c>
      <c r="G91" s="289">
        <f>SUM(G92:G139)/F91</f>
        <v>1</v>
      </c>
      <c r="H91" s="292">
        <f>SUM(H92:H139)</f>
        <v>11</v>
      </c>
      <c r="I91" s="294">
        <f>SUM(J92:J139)/H91</f>
        <v>0.90909090909090906</v>
      </c>
      <c r="J91" s="292">
        <f>SUM(J92:J139)</f>
        <v>10</v>
      </c>
      <c r="K91" s="292">
        <f>SUM(K92:K139)</f>
        <v>49</v>
      </c>
      <c r="L91" s="291">
        <f>SUM(M92:M139)/K91</f>
        <v>0.75510204081632648</v>
      </c>
      <c r="M91" s="292">
        <f>SUM(M92:M139)</f>
        <v>37</v>
      </c>
      <c r="N91" s="513"/>
      <c r="O91" s="513"/>
      <c r="P91" s="513"/>
      <c r="Q91" s="373">
        <f>((Q92*K92)+(Q98*K98)+(Q103*K103)+(Q105*K105)+(Q108*K108)+(Q114*K114)+(Q117*K117)+(Q123*K123)+(Q129*K129)+(Q136*K136)+(Q139*K139))/K91</f>
        <v>0.77551020408163263</v>
      </c>
      <c r="R91" s="373"/>
      <c r="S91" s="373">
        <f>_xlfn.STDEV.P(R92:R102)</f>
        <v>0.31411095519288346</v>
      </c>
      <c r="T91" s="373">
        <f>+T103</f>
        <v>9.9330605642060602E-2</v>
      </c>
      <c r="U91" s="543">
        <f>COUNTA(U92:U140)</f>
        <v>1</v>
      </c>
      <c r="V91" s="543">
        <f t="shared" ref="V91:W91" si="2">COUNTA(V92:V140)</f>
        <v>1</v>
      </c>
      <c r="W91" s="543">
        <f t="shared" si="2"/>
        <v>0</v>
      </c>
      <c r="X91" s="543">
        <f>COUNTA(X92:X140)</f>
        <v>0</v>
      </c>
      <c r="Y91" s="543">
        <f>COUNTA(Y92:Y140)</f>
        <v>0</v>
      </c>
      <c r="Z91" s="543">
        <f>COUNTA(Z92:Z140)</f>
        <v>0</v>
      </c>
      <c r="AA91" s="316">
        <f>SUM(AA92:AA134)/K91</f>
        <v>8.1632653061224483E-2</v>
      </c>
      <c r="AC91" s="199">
        <v>1</v>
      </c>
      <c r="AD91" s="284">
        <f>+U91/M91</f>
        <v>2.7027027027027029E-2</v>
      </c>
      <c r="AE91" s="293"/>
      <c r="AF91" s="293"/>
    </row>
    <row r="92" spans="1:35" s="128" customFormat="1" x14ac:dyDescent="0.2">
      <c r="A92" s="246">
        <v>1</v>
      </c>
      <c r="B92" s="128" t="s">
        <v>987</v>
      </c>
      <c r="C92" s="168" t="s">
        <v>126</v>
      </c>
      <c r="D92" s="175"/>
      <c r="E92" s="232"/>
      <c r="F92" s="242">
        <v>1</v>
      </c>
      <c r="G92" s="251">
        <v>1</v>
      </c>
      <c r="H92" s="244">
        <v>1</v>
      </c>
      <c r="I92" s="244"/>
      <c r="J92" s="250">
        <v>1</v>
      </c>
      <c r="K92" s="242">
        <v>6</v>
      </c>
      <c r="L92" s="242"/>
      <c r="M92" s="199">
        <v>1</v>
      </c>
      <c r="N92" s="614">
        <f>AVERAGE(M92:M140)</f>
        <v>0.77551020408163263</v>
      </c>
      <c r="O92" s="614">
        <f>_xlfn.STDEV.S(M92:M140)</f>
        <v>0.42156979070537554</v>
      </c>
      <c r="P92" s="615">
        <f>STDEV(M92:M140)/(SQRT(COUNT(M92:M140)))</f>
        <v>6.0224255815053647E-2</v>
      </c>
      <c r="Q92" s="369">
        <v>1</v>
      </c>
      <c r="R92" s="369">
        <f>+Q92</f>
        <v>1</v>
      </c>
      <c r="S92" s="369"/>
      <c r="T92" s="369"/>
      <c r="U92" s="24"/>
      <c r="V92" s="25"/>
      <c r="W92" s="25"/>
      <c r="X92" s="24"/>
      <c r="Y92" s="25"/>
      <c r="Z92" s="25"/>
      <c r="AA92" s="297">
        <v>0</v>
      </c>
      <c r="AC92" s="199">
        <v>1</v>
      </c>
      <c r="AE92" s="41"/>
      <c r="AF92" s="41"/>
    </row>
    <row r="93" spans="1:35" s="128" customFormat="1" x14ac:dyDescent="0.2">
      <c r="A93" s="246"/>
      <c r="B93" s="128" t="s">
        <v>988</v>
      </c>
      <c r="C93" s="175"/>
      <c r="D93" s="175"/>
      <c r="E93" s="232"/>
      <c r="F93" s="242"/>
      <c r="G93" s="247"/>
      <c r="H93" s="244"/>
      <c r="I93" s="244"/>
      <c r="J93" s="248"/>
      <c r="K93" s="249"/>
      <c r="L93" s="249"/>
      <c r="M93" s="199">
        <v>1</v>
      </c>
      <c r="N93" s="511"/>
      <c r="O93" s="511"/>
      <c r="P93" s="511"/>
      <c r="Q93" s="369"/>
      <c r="R93" s="369">
        <f>+Q98</f>
        <v>0.6</v>
      </c>
      <c r="S93" s="369"/>
      <c r="T93" s="369"/>
      <c r="U93" s="24"/>
      <c r="V93" s="25"/>
      <c r="W93" s="25"/>
      <c r="X93" s="24"/>
      <c r="Y93" s="25"/>
      <c r="Z93" s="25"/>
      <c r="AA93" s="297">
        <v>0</v>
      </c>
      <c r="AC93" s="199">
        <v>1</v>
      </c>
      <c r="AE93" s="41"/>
      <c r="AF93" s="41"/>
    </row>
    <row r="94" spans="1:35" s="128" customFormat="1" x14ac:dyDescent="0.2">
      <c r="A94" s="246"/>
      <c r="B94" s="128" t="s">
        <v>989</v>
      </c>
      <c r="C94" s="175"/>
      <c r="D94" s="175"/>
      <c r="E94" s="232"/>
      <c r="F94" s="242"/>
      <c r="G94" s="247"/>
      <c r="H94" s="244"/>
      <c r="I94" s="244"/>
      <c r="J94" s="248"/>
      <c r="K94" s="249"/>
      <c r="L94" s="249"/>
      <c r="M94" s="199">
        <v>1</v>
      </c>
      <c r="N94" s="511"/>
      <c r="O94" s="511"/>
      <c r="P94" s="511"/>
      <c r="Q94" s="369"/>
      <c r="R94" s="369">
        <f>+Q103</f>
        <v>0</v>
      </c>
      <c r="S94" s="369"/>
      <c r="T94" s="369"/>
      <c r="U94" s="24"/>
      <c r="V94" s="25" t="s">
        <v>93</v>
      </c>
      <c r="W94" s="25"/>
      <c r="X94" s="24"/>
      <c r="Y94" s="25"/>
      <c r="Z94" s="25"/>
      <c r="AA94" s="297">
        <v>1</v>
      </c>
      <c r="AC94" s="199">
        <v>1</v>
      </c>
      <c r="AE94" s="41"/>
      <c r="AF94" s="41"/>
    </row>
    <row r="95" spans="1:35" s="128" customFormat="1" x14ac:dyDescent="0.2">
      <c r="A95" s="246"/>
      <c r="B95" s="128" t="s">
        <v>990</v>
      </c>
      <c r="C95" s="175"/>
      <c r="D95" s="175"/>
      <c r="E95" s="232"/>
      <c r="F95" s="242"/>
      <c r="G95" s="247"/>
      <c r="H95" s="244"/>
      <c r="I95" s="244"/>
      <c r="J95" s="248"/>
      <c r="K95" s="242" t="s">
        <v>27</v>
      </c>
      <c r="L95" s="249"/>
      <c r="M95" s="199">
        <v>1</v>
      </c>
      <c r="N95" s="511"/>
      <c r="O95" s="511"/>
      <c r="P95" s="511"/>
      <c r="Q95" s="369" t="s">
        <v>27</v>
      </c>
      <c r="R95" s="369">
        <f>+Q105</f>
        <v>0.33333333333333331</v>
      </c>
      <c r="S95" s="369"/>
      <c r="T95" s="369"/>
      <c r="U95" s="24"/>
      <c r="V95" s="25"/>
      <c r="W95" s="25"/>
      <c r="X95" s="24"/>
      <c r="Y95" s="25"/>
      <c r="Z95" s="25"/>
      <c r="AA95" s="297"/>
      <c r="AC95" s="199">
        <v>1</v>
      </c>
      <c r="AE95" s="41"/>
      <c r="AF95" s="41"/>
    </row>
    <row r="96" spans="1:35" s="128" customFormat="1" x14ac:dyDescent="0.2">
      <c r="A96" s="246"/>
      <c r="B96" s="128" t="s">
        <v>991</v>
      </c>
      <c r="C96" s="175"/>
      <c r="D96" s="175"/>
      <c r="E96" s="232"/>
      <c r="F96" s="242"/>
      <c r="G96" s="247"/>
      <c r="H96" s="244"/>
      <c r="I96" s="244"/>
      <c r="J96" s="248"/>
      <c r="K96" s="249"/>
      <c r="L96" s="249"/>
      <c r="M96" s="199">
        <v>1</v>
      </c>
      <c r="N96" s="511"/>
      <c r="O96" s="511"/>
      <c r="P96" s="511"/>
      <c r="Q96" s="369"/>
      <c r="R96" s="369">
        <f>+Q108</f>
        <v>0.66666666666666663</v>
      </c>
      <c r="S96" s="369"/>
      <c r="T96" s="369"/>
      <c r="U96" s="24"/>
      <c r="V96" s="25"/>
      <c r="W96" s="25"/>
      <c r="X96" s="24"/>
      <c r="Y96" s="25"/>
      <c r="Z96" s="25"/>
      <c r="AA96" s="297"/>
      <c r="AC96" s="199">
        <v>1</v>
      </c>
      <c r="AE96" s="41"/>
      <c r="AF96" s="41"/>
    </row>
    <row r="97" spans="1:32" s="128" customFormat="1" x14ac:dyDescent="0.2">
      <c r="A97" s="246"/>
      <c r="B97" s="128" t="s">
        <v>992</v>
      </c>
      <c r="C97" s="175"/>
      <c r="D97" s="175"/>
      <c r="E97" s="232"/>
      <c r="F97" s="242"/>
      <c r="G97" s="247"/>
      <c r="H97" s="244"/>
      <c r="I97" s="244"/>
      <c r="J97" s="248"/>
      <c r="K97" s="249"/>
      <c r="L97" s="249"/>
      <c r="M97" s="199">
        <v>1</v>
      </c>
      <c r="N97" s="511"/>
      <c r="O97" s="511"/>
      <c r="P97" s="511"/>
      <c r="Q97" s="369"/>
      <c r="R97" s="369">
        <f>+Q114</f>
        <v>1</v>
      </c>
      <c r="S97" s="369"/>
      <c r="T97" s="369"/>
      <c r="U97" s="24"/>
      <c r="V97" s="25"/>
      <c r="W97" s="25"/>
      <c r="X97" s="24"/>
      <c r="Y97" s="25"/>
      <c r="Z97" s="25"/>
      <c r="AA97" s="297"/>
      <c r="AC97" s="199">
        <v>1</v>
      </c>
      <c r="AE97" s="41"/>
      <c r="AF97" s="41"/>
    </row>
    <row r="98" spans="1:32" s="23" customFormat="1" x14ac:dyDescent="0.2">
      <c r="A98" s="19" t="s">
        <v>27</v>
      </c>
      <c r="B98" s="123" t="s">
        <v>993</v>
      </c>
      <c r="C98" s="168" t="s">
        <v>126</v>
      </c>
      <c r="D98" s="168"/>
      <c r="E98" s="232"/>
      <c r="F98" s="169" t="s">
        <v>27</v>
      </c>
      <c r="G98" s="169" t="s">
        <v>27</v>
      </c>
      <c r="H98" s="260">
        <v>1</v>
      </c>
      <c r="I98" s="260"/>
      <c r="J98" s="169">
        <v>1</v>
      </c>
      <c r="K98" s="169">
        <v>5</v>
      </c>
      <c r="L98" s="169"/>
      <c r="M98" s="199">
        <v>1</v>
      </c>
      <c r="N98" s="511"/>
      <c r="O98" s="511"/>
      <c r="P98" s="511"/>
      <c r="Q98" s="369">
        <v>0.6</v>
      </c>
      <c r="R98" s="369">
        <f>+Q117</f>
        <v>0.83333333333333337</v>
      </c>
      <c r="S98" s="369"/>
      <c r="T98" s="369"/>
      <c r="U98" s="24"/>
      <c r="V98" s="25"/>
      <c r="W98" s="25"/>
      <c r="X98" s="24"/>
      <c r="Y98" s="25"/>
      <c r="Z98" s="25"/>
      <c r="AA98" s="297">
        <v>0</v>
      </c>
      <c r="AC98" s="199">
        <v>1</v>
      </c>
      <c r="AE98" s="41"/>
      <c r="AF98" s="41"/>
    </row>
    <row r="99" spans="1:32" s="23" customFormat="1" x14ac:dyDescent="0.2">
      <c r="A99" s="19"/>
      <c r="B99" s="123" t="s">
        <v>994</v>
      </c>
      <c r="C99" s="168" t="s">
        <v>126</v>
      </c>
      <c r="D99" s="168"/>
      <c r="E99" s="232"/>
      <c r="F99" s="169"/>
      <c r="G99" s="169"/>
      <c r="H99" s="260"/>
      <c r="I99" s="260"/>
      <c r="J99" s="169"/>
      <c r="K99" s="169" t="s">
        <v>27</v>
      </c>
      <c r="L99" s="169"/>
      <c r="M99" s="199">
        <v>1</v>
      </c>
      <c r="N99" s="511"/>
      <c r="O99" s="511"/>
      <c r="P99" s="511"/>
      <c r="Q99" s="369"/>
      <c r="R99" s="369">
        <f>+Q123</f>
        <v>1</v>
      </c>
      <c r="S99" s="369"/>
      <c r="T99" s="369"/>
      <c r="U99" s="24"/>
      <c r="V99" s="25"/>
      <c r="W99" s="25"/>
      <c r="X99" s="24"/>
      <c r="Y99" s="25"/>
      <c r="Z99" s="25"/>
      <c r="AA99" s="297">
        <v>0</v>
      </c>
      <c r="AC99" s="199">
        <v>1</v>
      </c>
      <c r="AE99" s="41"/>
      <c r="AF99" s="41"/>
    </row>
    <row r="100" spans="1:32" s="23" customFormat="1" x14ac:dyDescent="0.2">
      <c r="A100" s="19"/>
      <c r="B100" s="123" t="s">
        <v>995</v>
      </c>
      <c r="C100" s="168" t="s">
        <v>126</v>
      </c>
      <c r="D100" s="168"/>
      <c r="E100" s="232"/>
      <c r="F100" s="169"/>
      <c r="G100" s="169"/>
      <c r="H100" s="260"/>
      <c r="I100" s="260"/>
      <c r="J100" s="169"/>
      <c r="K100" s="169" t="s">
        <v>27</v>
      </c>
      <c r="L100" s="169"/>
      <c r="M100" s="199">
        <v>1</v>
      </c>
      <c r="N100" s="511"/>
      <c r="O100" s="511"/>
      <c r="P100" s="511"/>
      <c r="Q100" s="369"/>
      <c r="R100" s="369">
        <f>+Q129</f>
        <v>0.7142857142857143</v>
      </c>
      <c r="S100" s="369"/>
      <c r="T100" s="369"/>
      <c r="U100" s="24"/>
      <c r="V100" s="25"/>
      <c r="W100" s="25"/>
      <c r="X100" s="24"/>
      <c r="Y100" s="25"/>
      <c r="Z100" s="25"/>
      <c r="AA100" s="298">
        <v>0</v>
      </c>
      <c r="AC100" s="199">
        <v>0</v>
      </c>
      <c r="AE100" s="41"/>
      <c r="AF100" s="41"/>
    </row>
    <row r="101" spans="1:32" s="23" customFormat="1" x14ac:dyDescent="0.2">
      <c r="A101" s="19"/>
      <c r="B101" s="123" t="s">
        <v>996</v>
      </c>
      <c r="C101" s="168" t="s">
        <v>126</v>
      </c>
      <c r="D101" s="168"/>
      <c r="E101" s="232"/>
      <c r="F101" s="169"/>
      <c r="G101" s="169"/>
      <c r="H101" s="260"/>
      <c r="I101" s="260"/>
      <c r="J101" s="169"/>
      <c r="K101" s="169" t="s">
        <v>27</v>
      </c>
      <c r="L101" s="169"/>
      <c r="M101" s="199">
        <v>0</v>
      </c>
      <c r="N101" s="511"/>
      <c r="O101" s="511"/>
      <c r="P101" s="511"/>
      <c r="Q101" s="369"/>
      <c r="R101" s="369">
        <f>+Q139</f>
        <v>1</v>
      </c>
      <c r="S101" s="369"/>
      <c r="T101" s="369"/>
      <c r="U101" s="24"/>
      <c r="V101" s="25"/>
      <c r="W101" s="25"/>
      <c r="X101" s="24"/>
      <c r="Y101" s="25"/>
      <c r="Z101" s="25"/>
      <c r="AA101" s="298">
        <v>0</v>
      </c>
      <c r="AC101" s="199">
        <v>0</v>
      </c>
      <c r="AE101" s="41"/>
      <c r="AF101" s="41"/>
    </row>
    <row r="102" spans="1:32" s="23" customFormat="1" x14ac:dyDescent="0.2">
      <c r="A102" s="19"/>
      <c r="B102" s="123" t="s">
        <v>997</v>
      </c>
      <c r="C102" s="168" t="s">
        <v>126</v>
      </c>
      <c r="D102" s="168"/>
      <c r="E102" s="170"/>
      <c r="F102" s="169"/>
      <c r="G102" s="169"/>
      <c r="H102" s="260"/>
      <c r="I102" s="260"/>
      <c r="J102" s="169"/>
      <c r="K102" s="169" t="s">
        <v>27</v>
      </c>
      <c r="L102" s="169"/>
      <c r="M102" s="199">
        <v>0</v>
      </c>
      <c r="N102" s="511"/>
      <c r="O102" s="511"/>
      <c r="P102" s="511"/>
      <c r="Q102" s="369"/>
      <c r="R102" s="369">
        <f>+Q136</f>
        <v>1</v>
      </c>
      <c r="S102" s="369"/>
      <c r="T102" s="380" t="s">
        <v>27</v>
      </c>
      <c r="U102" s="24"/>
      <c r="V102" s="25"/>
      <c r="W102" s="25"/>
      <c r="X102" s="24"/>
      <c r="Y102" s="25"/>
      <c r="Z102" s="25"/>
      <c r="AA102" s="298">
        <v>0</v>
      </c>
      <c r="AC102" s="199">
        <v>0</v>
      </c>
      <c r="AE102" s="41"/>
      <c r="AF102" s="41"/>
    </row>
    <row r="103" spans="1:32" s="23" customFormat="1" x14ac:dyDescent="0.2">
      <c r="A103" s="19"/>
      <c r="B103" s="123" t="s">
        <v>998</v>
      </c>
      <c r="C103" s="168" t="s">
        <v>126</v>
      </c>
      <c r="D103" s="168"/>
      <c r="E103" s="170"/>
      <c r="F103" s="169"/>
      <c r="G103" s="169"/>
      <c r="H103" s="260">
        <v>1</v>
      </c>
      <c r="I103" s="260"/>
      <c r="J103" s="169">
        <v>0</v>
      </c>
      <c r="K103" s="169">
        <v>2</v>
      </c>
      <c r="L103" s="169"/>
      <c r="M103" s="199">
        <v>0</v>
      </c>
      <c r="N103" s="511"/>
      <c r="O103" s="511"/>
      <c r="P103" s="511"/>
      <c r="Q103" s="369">
        <v>0</v>
      </c>
      <c r="R103" s="380">
        <f>AVERAGE(R92:R102)</f>
        <v>0.74069264069264085</v>
      </c>
      <c r="S103" s="380"/>
      <c r="T103" s="380">
        <f>STDEV(R92:R102)/(SQRT(COUNT(R92:R102)))</f>
        <v>9.9330605642060602E-2</v>
      </c>
      <c r="U103" s="24"/>
      <c r="V103" s="25"/>
      <c r="W103" s="25"/>
      <c r="X103" s="24"/>
      <c r="Y103" s="25"/>
      <c r="Z103" s="25"/>
      <c r="AA103" s="298">
        <v>0</v>
      </c>
      <c r="AC103" s="199">
        <v>0</v>
      </c>
      <c r="AE103" s="41"/>
      <c r="AF103" s="41"/>
    </row>
    <row r="104" spans="1:32" s="23" customFormat="1" x14ac:dyDescent="0.2">
      <c r="A104" s="19"/>
      <c r="B104" s="123" t="s">
        <v>999</v>
      </c>
      <c r="C104" s="168" t="s">
        <v>126</v>
      </c>
      <c r="D104" s="168"/>
      <c r="E104" s="170"/>
      <c r="F104" s="169"/>
      <c r="G104" s="169"/>
      <c r="H104" s="260"/>
      <c r="I104" s="260"/>
      <c r="J104" s="169"/>
      <c r="K104" s="169" t="s">
        <v>27</v>
      </c>
      <c r="L104" s="169"/>
      <c r="M104" s="199">
        <v>0</v>
      </c>
      <c r="N104" s="511"/>
      <c r="O104" s="511"/>
      <c r="P104" s="511"/>
      <c r="Q104" s="369"/>
      <c r="R104" s="369"/>
      <c r="S104" s="369"/>
      <c r="T104" s="369"/>
      <c r="U104" s="24"/>
      <c r="V104" s="25"/>
      <c r="W104" s="25"/>
      <c r="X104" s="24"/>
      <c r="Y104" s="25"/>
      <c r="Z104" s="25"/>
      <c r="AA104" s="298">
        <v>0</v>
      </c>
      <c r="AC104" s="199">
        <v>0</v>
      </c>
      <c r="AE104" s="41"/>
      <c r="AF104" s="41"/>
    </row>
    <row r="105" spans="1:32" s="23" customFormat="1" x14ac:dyDescent="0.2">
      <c r="A105" s="19">
        <v>2</v>
      </c>
      <c r="B105" s="123" t="s">
        <v>1000</v>
      </c>
      <c r="C105" s="168"/>
      <c r="D105" s="168"/>
      <c r="E105" s="170"/>
      <c r="F105" s="169">
        <v>1</v>
      </c>
      <c r="G105" s="169">
        <v>1</v>
      </c>
      <c r="H105" s="260">
        <v>1</v>
      </c>
      <c r="I105" s="260"/>
      <c r="J105" s="169">
        <v>1</v>
      </c>
      <c r="K105" s="169">
        <v>3</v>
      </c>
      <c r="L105" s="169"/>
      <c r="M105" s="199">
        <v>0</v>
      </c>
      <c r="N105" s="511"/>
      <c r="O105" s="511"/>
      <c r="P105" s="511"/>
      <c r="Q105" s="369">
        <f>1/K105</f>
        <v>0.33333333333333331</v>
      </c>
      <c r="R105" s="380" t="s">
        <v>27</v>
      </c>
      <c r="S105" s="380"/>
      <c r="T105" s="380" t="s">
        <v>27</v>
      </c>
      <c r="U105" s="24"/>
      <c r="V105" s="25"/>
      <c r="W105" s="25"/>
      <c r="X105" s="24"/>
      <c r="Y105" s="25"/>
      <c r="Z105" s="25"/>
      <c r="AA105" s="298">
        <v>0</v>
      </c>
      <c r="AC105" s="199">
        <v>0</v>
      </c>
      <c r="AE105" s="41"/>
      <c r="AF105" s="41"/>
    </row>
    <row r="106" spans="1:32" s="23" customFormat="1" x14ac:dyDescent="0.2">
      <c r="A106" s="19"/>
      <c r="B106" s="123" t="s">
        <v>1001</v>
      </c>
      <c r="C106" s="168"/>
      <c r="D106" s="168"/>
      <c r="E106" s="170"/>
      <c r="F106" s="169"/>
      <c r="G106" s="169"/>
      <c r="H106" s="260"/>
      <c r="I106" s="260"/>
      <c r="J106" s="169"/>
      <c r="K106" s="169" t="s">
        <v>27</v>
      </c>
      <c r="L106" s="169"/>
      <c r="M106" s="199">
        <v>0</v>
      </c>
      <c r="N106" s="511"/>
      <c r="O106" s="511"/>
      <c r="P106" s="511"/>
      <c r="Q106" s="369"/>
      <c r="R106" s="369"/>
      <c r="S106" s="369"/>
      <c r="T106" s="369"/>
      <c r="U106" s="24"/>
      <c r="V106" s="25"/>
      <c r="W106" s="25"/>
      <c r="X106" s="24"/>
      <c r="Y106" s="25"/>
      <c r="Z106" s="25"/>
      <c r="AA106" s="298">
        <v>0</v>
      </c>
      <c r="AC106" s="199">
        <v>1</v>
      </c>
      <c r="AE106" s="41"/>
      <c r="AF106" s="41"/>
    </row>
    <row r="107" spans="1:32" s="23" customFormat="1" x14ac:dyDescent="0.2">
      <c r="A107" s="19" t="s">
        <v>27</v>
      </c>
      <c r="B107" s="123" t="s">
        <v>1002</v>
      </c>
      <c r="C107" s="168"/>
      <c r="D107" s="168"/>
      <c r="E107" s="170"/>
      <c r="F107" s="169"/>
      <c r="G107" s="169"/>
      <c r="H107" s="260"/>
      <c r="I107" s="260"/>
      <c r="J107" s="169"/>
      <c r="K107" s="169" t="s">
        <v>27</v>
      </c>
      <c r="L107" s="169"/>
      <c r="M107" s="199">
        <v>1</v>
      </c>
      <c r="N107" s="511"/>
      <c r="O107" s="511"/>
      <c r="P107" s="511"/>
      <c r="Q107" s="369"/>
      <c r="R107" s="369"/>
      <c r="S107" s="369"/>
      <c r="T107" s="369"/>
      <c r="U107" s="24"/>
      <c r="V107" s="25"/>
      <c r="W107" s="25"/>
      <c r="X107" s="24"/>
      <c r="Y107" s="25"/>
      <c r="Z107" s="25"/>
      <c r="AA107" s="298">
        <v>0</v>
      </c>
      <c r="AC107" s="199">
        <v>1</v>
      </c>
      <c r="AE107" s="41"/>
      <c r="AF107" s="41"/>
    </row>
    <row r="108" spans="1:32" s="23" customFormat="1" x14ac:dyDescent="0.2">
      <c r="A108" s="19"/>
      <c r="B108" s="123" t="s">
        <v>1003</v>
      </c>
      <c r="C108" s="168"/>
      <c r="D108" s="168"/>
      <c r="E108" s="170"/>
      <c r="F108" s="169"/>
      <c r="G108" s="169"/>
      <c r="H108" s="260">
        <v>1</v>
      </c>
      <c r="I108" s="260"/>
      <c r="J108" s="169">
        <v>1</v>
      </c>
      <c r="K108" s="169">
        <v>6</v>
      </c>
      <c r="L108" s="169"/>
      <c r="M108" s="199">
        <v>1</v>
      </c>
      <c r="N108" s="511"/>
      <c r="O108" s="511"/>
      <c r="P108" s="511"/>
      <c r="Q108" s="369">
        <f>SUM(M108:M113)/K108</f>
        <v>0.66666666666666663</v>
      </c>
      <c r="R108" s="369"/>
      <c r="S108" s="369"/>
      <c r="T108" s="369"/>
      <c r="U108" s="24"/>
      <c r="V108" s="25"/>
      <c r="W108" s="25"/>
      <c r="X108" s="24"/>
      <c r="Y108" s="25"/>
      <c r="Z108" s="25"/>
      <c r="AA108" s="298"/>
      <c r="AC108" s="199">
        <v>0</v>
      </c>
      <c r="AE108" s="41"/>
      <c r="AF108" s="41"/>
    </row>
    <row r="109" spans="1:32" s="23" customFormat="1" x14ac:dyDescent="0.2">
      <c r="A109" s="19"/>
      <c r="B109" s="123" t="s">
        <v>1004</v>
      </c>
      <c r="C109" s="168"/>
      <c r="D109" s="168"/>
      <c r="E109" s="170"/>
      <c r="F109" s="169"/>
      <c r="G109" s="169"/>
      <c r="H109" s="260"/>
      <c r="I109" s="260"/>
      <c r="J109" s="169"/>
      <c r="K109" s="169"/>
      <c r="L109" s="169"/>
      <c r="M109" s="199">
        <v>0</v>
      </c>
      <c r="N109" s="511"/>
      <c r="O109" s="511"/>
      <c r="P109" s="511"/>
      <c r="Q109" s="369"/>
      <c r="R109" s="369"/>
      <c r="S109" s="369"/>
      <c r="T109" s="369"/>
      <c r="U109" s="24"/>
      <c r="V109" s="25"/>
      <c r="W109" s="25"/>
      <c r="X109" s="24"/>
      <c r="Y109" s="25"/>
      <c r="Z109" s="25"/>
      <c r="AA109" s="298"/>
      <c r="AC109" s="199">
        <v>0</v>
      </c>
      <c r="AE109" s="41"/>
      <c r="AF109" s="41"/>
    </row>
    <row r="110" spans="1:32" s="23" customFormat="1" x14ac:dyDescent="0.2">
      <c r="A110" s="19"/>
      <c r="B110" s="123" t="s">
        <v>1005</v>
      </c>
      <c r="C110" s="168"/>
      <c r="D110" s="168"/>
      <c r="E110" s="170"/>
      <c r="F110" s="169"/>
      <c r="G110" s="169"/>
      <c r="H110" s="260"/>
      <c r="I110" s="260"/>
      <c r="J110" s="169"/>
      <c r="K110" s="169"/>
      <c r="L110" s="169"/>
      <c r="M110" s="199">
        <v>0</v>
      </c>
      <c r="N110" s="511"/>
      <c r="O110" s="511"/>
      <c r="P110" s="511"/>
      <c r="Q110" s="369"/>
      <c r="R110" s="369"/>
      <c r="S110" s="369"/>
      <c r="T110" s="369"/>
      <c r="U110" s="24"/>
      <c r="V110" s="25"/>
      <c r="W110" s="25"/>
      <c r="X110" s="24"/>
      <c r="Y110" s="25"/>
      <c r="Z110" s="25"/>
      <c r="AA110" s="298"/>
      <c r="AC110" s="199">
        <v>1</v>
      </c>
      <c r="AE110" s="41"/>
      <c r="AF110" s="41"/>
    </row>
    <row r="111" spans="1:32" s="23" customFormat="1" x14ac:dyDescent="0.2">
      <c r="A111" s="19"/>
      <c r="B111" s="123" t="s">
        <v>1006</v>
      </c>
      <c r="C111" s="168"/>
      <c r="D111" s="168"/>
      <c r="E111" s="170"/>
      <c r="F111" s="169"/>
      <c r="G111" s="169"/>
      <c r="H111" s="260"/>
      <c r="I111" s="260"/>
      <c r="J111" s="169"/>
      <c r="K111" s="169" t="s">
        <v>27</v>
      </c>
      <c r="L111" s="169"/>
      <c r="M111" s="199">
        <v>1</v>
      </c>
      <c r="N111" s="511"/>
      <c r="O111" s="511"/>
      <c r="P111" s="511"/>
      <c r="Q111" s="369" t="s">
        <v>27</v>
      </c>
      <c r="R111" s="369"/>
      <c r="S111" s="369"/>
      <c r="T111" s="369"/>
      <c r="U111" s="24"/>
      <c r="V111" s="25"/>
      <c r="W111" s="25"/>
      <c r="X111" s="24"/>
      <c r="Y111" s="25"/>
      <c r="Z111" s="25"/>
      <c r="AA111" s="298"/>
      <c r="AC111" s="199">
        <v>1</v>
      </c>
      <c r="AE111" s="41"/>
      <c r="AF111" s="41"/>
    </row>
    <row r="112" spans="1:32" s="23" customFormat="1" x14ac:dyDescent="0.2">
      <c r="A112" s="19"/>
      <c r="B112" s="123" t="s">
        <v>1007</v>
      </c>
      <c r="C112" s="168"/>
      <c r="D112" s="168"/>
      <c r="E112" s="170"/>
      <c r="F112" s="169"/>
      <c r="G112" s="169"/>
      <c r="H112" s="260"/>
      <c r="I112" s="260"/>
      <c r="J112" s="169"/>
      <c r="K112" s="169"/>
      <c r="L112" s="169"/>
      <c r="M112" s="199">
        <v>1</v>
      </c>
      <c r="N112" s="511"/>
      <c r="O112" s="511"/>
      <c r="P112" s="511"/>
      <c r="Q112" s="369"/>
      <c r="R112" s="369"/>
      <c r="S112" s="369"/>
      <c r="T112" s="369"/>
      <c r="U112" s="24"/>
      <c r="V112" s="25"/>
      <c r="W112" s="25"/>
      <c r="X112" s="24"/>
      <c r="Y112" s="25"/>
      <c r="Z112" s="25"/>
      <c r="AA112" s="298"/>
      <c r="AC112" s="199">
        <v>1</v>
      </c>
      <c r="AE112" s="41"/>
      <c r="AF112" s="41"/>
    </row>
    <row r="113" spans="1:32" s="23" customFormat="1" x14ac:dyDescent="0.2">
      <c r="A113" s="19"/>
      <c r="B113" s="123" t="s">
        <v>1008</v>
      </c>
      <c r="C113" s="168"/>
      <c r="D113" s="168"/>
      <c r="E113" s="170"/>
      <c r="F113" s="169"/>
      <c r="G113" s="169"/>
      <c r="H113" s="260"/>
      <c r="I113" s="260"/>
      <c r="J113" s="169"/>
      <c r="K113" s="169"/>
      <c r="L113" s="169"/>
      <c r="M113" s="199">
        <v>1</v>
      </c>
      <c r="N113" s="511"/>
      <c r="O113" s="511"/>
      <c r="P113" s="511"/>
      <c r="Q113" s="369"/>
      <c r="R113" s="369"/>
      <c r="S113" s="369"/>
      <c r="T113" s="369"/>
      <c r="U113" s="24"/>
      <c r="V113" s="25"/>
      <c r="W113" s="25"/>
      <c r="X113" s="24"/>
      <c r="Y113" s="25"/>
      <c r="Z113" s="25"/>
      <c r="AA113" s="298"/>
      <c r="AC113" s="199">
        <v>1</v>
      </c>
      <c r="AE113" s="41"/>
      <c r="AF113" s="41"/>
    </row>
    <row r="114" spans="1:32" s="23" customFormat="1" x14ac:dyDescent="0.2">
      <c r="A114" s="19"/>
      <c r="B114" s="123" t="s">
        <v>1009</v>
      </c>
      <c r="C114" s="168"/>
      <c r="D114" s="168"/>
      <c r="E114" s="170"/>
      <c r="F114" s="169"/>
      <c r="G114" s="169"/>
      <c r="H114" s="260">
        <v>1</v>
      </c>
      <c r="I114" s="260"/>
      <c r="J114" s="169">
        <v>1</v>
      </c>
      <c r="K114" s="169">
        <v>3</v>
      </c>
      <c r="L114" s="169"/>
      <c r="M114" s="199">
        <v>1</v>
      </c>
      <c r="N114" s="511"/>
      <c r="O114" s="511"/>
      <c r="P114" s="511"/>
      <c r="Q114" s="369">
        <f>3/K114</f>
        <v>1</v>
      </c>
      <c r="R114" s="369"/>
      <c r="S114" s="369"/>
      <c r="T114" s="369"/>
      <c r="U114" s="24"/>
      <c r="V114" s="25"/>
      <c r="W114" s="25"/>
      <c r="X114" s="24"/>
      <c r="Y114" s="25"/>
      <c r="Z114" s="25"/>
      <c r="AA114" s="298"/>
      <c r="AC114" s="199">
        <v>1</v>
      </c>
      <c r="AE114" s="41"/>
      <c r="AF114" s="41"/>
    </row>
    <row r="115" spans="1:32" s="23" customFormat="1" x14ac:dyDescent="0.2">
      <c r="A115" s="19"/>
      <c r="B115" s="123" t="s">
        <v>1010</v>
      </c>
      <c r="C115" s="168"/>
      <c r="D115" s="168"/>
      <c r="E115" s="170"/>
      <c r="F115" s="169"/>
      <c r="G115" s="169"/>
      <c r="H115" s="260"/>
      <c r="I115" s="260"/>
      <c r="J115" s="169"/>
      <c r="K115" s="169"/>
      <c r="L115" s="169"/>
      <c r="M115" s="199">
        <v>1</v>
      </c>
      <c r="N115" s="511"/>
      <c r="O115" s="511"/>
      <c r="P115" s="511"/>
      <c r="Q115" s="369"/>
      <c r="R115" s="369"/>
      <c r="S115" s="369"/>
      <c r="T115" s="369"/>
      <c r="U115" s="24"/>
      <c r="V115" s="25"/>
      <c r="W115" s="25"/>
      <c r="X115" s="24"/>
      <c r="Y115" s="25"/>
      <c r="Z115" s="25"/>
      <c r="AA115" s="298"/>
      <c r="AC115" s="199">
        <v>1</v>
      </c>
      <c r="AE115" s="41"/>
      <c r="AF115" s="41"/>
    </row>
    <row r="116" spans="1:32" s="23" customFormat="1" x14ac:dyDescent="0.2">
      <c r="A116" s="19"/>
      <c r="B116" s="123" t="s">
        <v>1011</v>
      </c>
      <c r="C116" s="168"/>
      <c r="D116" s="168"/>
      <c r="E116" s="170"/>
      <c r="F116" s="169"/>
      <c r="G116" s="169"/>
      <c r="H116" s="260"/>
      <c r="I116" s="260"/>
      <c r="J116" s="169"/>
      <c r="K116" s="169"/>
      <c r="L116" s="169"/>
      <c r="M116" s="199">
        <v>1</v>
      </c>
      <c r="N116" s="511"/>
      <c r="O116" s="511"/>
      <c r="P116" s="511"/>
      <c r="Q116" s="369"/>
      <c r="R116" s="369"/>
      <c r="S116" s="369"/>
      <c r="T116" s="369"/>
      <c r="U116" s="24"/>
      <c r="V116" s="25"/>
      <c r="W116" s="25"/>
      <c r="X116" s="24"/>
      <c r="Y116" s="25"/>
      <c r="Z116" s="25"/>
      <c r="AA116" s="298"/>
      <c r="AC116" s="199">
        <v>1</v>
      </c>
      <c r="AE116" s="41"/>
      <c r="AF116" s="41"/>
    </row>
    <row r="117" spans="1:32" s="23" customFormat="1" x14ac:dyDescent="0.2">
      <c r="A117" s="19"/>
      <c r="B117" s="123" t="s">
        <v>1012</v>
      </c>
      <c r="C117" s="168"/>
      <c r="D117" s="168"/>
      <c r="E117" s="170"/>
      <c r="F117" s="169"/>
      <c r="G117" s="169"/>
      <c r="H117" s="260">
        <v>1</v>
      </c>
      <c r="I117" s="260"/>
      <c r="J117" s="169">
        <v>1</v>
      </c>
      <c r="K117" s="169">
        <v>6</v>
      </c>
      <c r="L117" s="169"/>
      <c r="M117" s="199">
        <v>1</v>
      </c>
      <c r="N117" s="511"/>
      <c r="O117" s="511"/>
      <c r="P117" s="511"/>
      <c r="Q117" s="369">
        <f>5/K117</f>
        <v>0.83333333333333337</v>
      </c>
      <c r="R117" s="369"/>
      <c r="S117" s="369"/>
      <c r="T117" s="369"/>
      <c r="U117" s="24"/>
      <c r="V117" s="25"/>
      <c r="W117" s="25"/>
      <c r="X117" s="24"/>
      <c r="Y117" s="25"/>
      <c r="Z117" s="25"/>
      <c r="AA117" s="298"/>
      <c r="AC117" s="199">
        <v>1</v>
      </c>
      <c r="AE117" s="41"/>
      <c r="AF117" s="41"/>
    </row>
    <row r="118" spans="1:32" s="23" customFormat="1" x14ac:dyDescent="0.2">
      <c r="A118" s="19"/>
      <c r="B118" s="123" t="s">
        <v>1013</v>
      </c>
      <c r="C118" s="168"/>
      <c r="D118" s="168"/>
      <c r="E118" s="170"/>
      <c r="F118" s="169"/>
      <c r="G118" s="169"/>
      <c r="H118" s="260"/>
      <c r="I118" s="260"/>
      <c r="J118" s="169"/>
      <c r="K118" s="169"/>
      <c r="L118" s="169"/>
      <c r="M118" s="199">
        <v>1</v>
      </c>
      <c r="N118" s="511"/>
      <c r="O118" s="511"/>
      <c r="P118" s="511"/>
      <c r="Q118" s="369"/>
      <c r="R118" s="369"/>
      <c r="S118" s="369"/>
      <c r="T118" s="369"/>
      <c r="U118" s="24"/>
      <c r="V118" s="25"/>
      <c r="W118" s="25"/>
      <c r="X118" s="24"/>
      <c r="Y118" s="25"/>
      <c r="Z118" s="25"/>
      <c r="AA118" s="298"/>
      <c r="AC118" s="199">
        <v>1</v>
      </c>
      <c r="AE118" s="41"/>
      <c r="AF118" s="41"/>
    </row>
    <row r="119" spans="1:32" s="23" customFormat="1" x14ac:dyDescent="0.2">
      <c r="A119" s="19"/>
      <c r="B119" s="123" t="s">
        <v>1014</v>
      </c>
      <c r="C119" s="168"/>
      <c r="D119" s="168"/>
      <c r="E119" s="170"/>
      <c r="F119" s="169"/>
      <c r="G119" s="169"/>
      <c r="H119" s="260"/>
      <c r="I119" s="260"/>
      <c r="J119" s="169"/>
      <c r="K119" s="169"/>
      <c r="L119" s="169"/>
      <c r="M119" s="199">
        <v>1</v>
      </c>
      <c r="N119" s="511"/>
      <c r="O119" s="511"/>
      <c r="P119" s="511"/>
      <c r="Q119" s="369"/>
      <c r="R119" s="369"/>
      <c r="S119" s="369"/>
      <c r="T119" s="369"/>
      <c r="U119" s="24"/>
      <c r="V119" s="25"/>
      <c r="W119" s="25"/>
      <c r="X119" s="24"/>
      <c r="Y119" s="25"/>
      <c r="Z119" s="25"/>
      <c r="AA119" s="298"/>
      <c r="AC119" s="199">
        <v>0</v>
      </c>
      <c r="AE119" s="41"/>
      <c r="AF119" s="41"/>
    </row>
    <row r="120" spans="1:32" s="23" customFormat="1" x14ac:dyDescent="0.2">
      <c r="A120" s="19"/>
      <c r="B120" s="123" t="s">
        <v>1699</v>
      </c>
      <c r="C120" s="168"/>
      <c r="D120" s="168"/>
      <c r="E120" s="170"/>
      <c r="F120" s="169"/>
      <c r="G120" s="169"/>
      <c r="H120" s="260"/>
      <c r="I120" s="260"/>
      <c r="J120" s="169"/>
      <c r="K120" s="169"/>
      <c r="L120" s="169"/>
      <c r="M120" s="199">
        <v>0</v>
      </c>
      <c r="N120" s="511"/>
      <c r="O120" s="511"/>
      <c r="P120" s="511"/>
      <c r="Q120" s="369"/>
      <c r="R120" s="369"/>
      <c r="S120" s="369"/>
      <c r="T120" s="369"/>
      <c r="U120" s="24"/>
      <c r="V120" s="25"/>
      <c r="W120" s="25"/>
      <c r="X120" s="24"/>
      <c r="Y120" s="25"/>
      <c r="Z120" s="25"/>
      <c r="AA120" s="298"/>
      <c r="AC120" s="199">
        <v>1</v>
      </c>
      <c r="AE120" s="41"/>
      <c r="AF120" s="41"/>
    </row>
    <row r="121" spans="1:32" s="23" customFormat="1" x14ac:dyDescent="0.2">
      <c r="A121" s="19"/>
      <c r="B121" s="123" t="s">
        <v>1700</v>
      </c>
      <c r="C121" s="168"/>
      <c r="D121" s="168"/>
      <c r="E121" s="170"/>
      <c r="F121" s="169"/>
      <c r="G121" s="169"/>
      <c r="H121" s="260"/>
      <c r="I121" s="260"/>
      <c r="J121" s="169"/>
      <c r="K121" s="169"/>
      <c r="L121" s="169"/>
      <c r="M121" s="199">
        <v>1</v>
      </c>
      <c r="N121" s="511"/>
      <c r="O121" s="511"/>
      <c r="P121" s="511"/>
      <c r="Q121" s="369"/>
      <c r="R121" s="369"/>
      <c r="S121" s="369"/>
      <c r="T121" s="369"/>
      <c r="U121" s="24"/>
      <c r="V121" s="25"/>
      <c r="W121" s="25"/>
      <c r="X121" s="24"/>
      <c r="Y121" s="25"/>
      <c r="Z121" s="25"/>
      <c r="AA121" s="298"/>
      <c r="AC121" s="199">
        <v>1</v>
      </c>
      <c r="AE121" s="41"/>
      <c r="AF121" s="41"/>
    </row>
    <row r="122" spans="1:32" s="23" customFormat="1" x14ac:dyDescent="0.2">
      <c r="A122" s="19"/>
      <c r="B122" s="123" t="s">
        <v>1701</v>
      </c>
      <c r="C122" s="168"/>
      <c r="D122" s="168"/>
      <c r="E122" s="170"/>
      <c r="F122" s="169"/>
      <c r="G122" s="169"/>
      <c r="H122" s="260"/>
      <c r="I122" s="260"/>
      <c r="J122" s="169"/>
      <c r="K122" s="169"/>
      <c r="L122" s="169"/>
      <c r="M122" s="199">
        <v>1</v>
      </c>
      <c r="N122" s="511"/>
      <c r="O122" s="511"/>
      <c r="P122" s="511"/>
      <c r="Q122" s="369"/>
      <c r="R122" s="369"/>
      <c r="S122" s="369"/>
      <c r="T122" s="369"/>
      <c r="U122" s="24"/>
      <c r="V122" s="25"/>
      <c r="W122" s="25"/>
      <c r="X122" s="24"/>
      <c r="Y122" s="25"/>
      <c r="Z122" s="25"/>
      <c r="AA122" s="298"/>
      <c r="AC122" s="199">
        <v>1</v>
      </c>
      <c r="AE122" s="41"/>
      <c r="AF122" s="41"/>
    </row>
    <row r="123" spans="1:32" s="23" customFormat="1" x14ac:dyDescent="0.2">
      <c r="A123" s="19"/>
      <c r="B123" s="123" t="s">
        <v>1015</v>
      </c>
      <c r="C123" s="168"/>
      <c r="D123" s="168"/>
      <c r="E123" s="170"/>
      <c r="F123" s="169"/>
      <c r="G123" s="169"/>
      <c r="H123" s="260">
        <v>1</v>
      </c>
      <c r="I123" s="260"/>
      <c r="J123" s="169">
        <v>1</v>
      </c>
      <c r="K123" s="169">
        <v>6</v>
      </c>
      <c r="L123" s="169"/>
      <c r="M123" s="199">
        <v>1</v>
      </c>
      <c r="N123" s="511"/>
      <c r="O123" s="511"/>
      <c r="P123" s="511"/>
      <c r="Q123" s="369">
        <f>SUM(M123:M128)/K123</f>
        <v>1</v>
      </c>
      <c r="R123" s="369"/>
      <c r="S123" s="369"/>
      <c r="T123" s="369"/>
      <c r="U123" s="24"/>
      <c r="V123" s="25"/>
      <c r="W123" s="25"/>
      <c r="X123" s="24"/>
      <c r="Y123" s="25"/>
      <c r="Z123" s="25"/>
      <c r="AA123" s="298"/>
      <c r="AC123" s="199">
        <v>1</v>
      </c>
      <c r="AE123" s="41"/>
      <c r="AF123" s="41"/>
    </row>
    <row r="124" spans="1:32" s="23" customFormat="1" x14ac:dyDescent="0.2">
      <c r="A124" s="19"/>
      <c r="B124" s="123" t="s">
        <v>1016</v>
      </c>
      <c r="C124" s="168"/>
      <c r="D124" s="168"/>
      <c r="E124" s="170"/>
      <c r="F124" s="169"/>
      <c r="G124" s="169"/>
      <c r="H124" s="260"/>
      <c r="I124" s="260"/>
      <c r="J124" s="169"/>
      <c r="K124" s="169"/>
      <c r="L124" s="169"/>
      <c r="M124" s="199">
        <v>1</v>
      </c>
      <c r="N124" s="511"/>
      <c r="O124" s="511"/>
      <c r="P124" s="511"/>
      <c r="Q124" s="369"/>
      <c r="R124" s="369"/>
      <c r="S124" s="369"/>
      <c r="T124" s="369"/>
      <c r="U124" s="24"/>
      <c r="V124" s="25"/>
      <c r="W124" s="25"/>
      <c r="X124" s="24"/>
      <c r="Y124" s="25"/>
      <c r="Z124" s="25"/>
      <c r="AA124" s="298"/>
      <c r="AC124" s="199">
        <v>1</v>
      </c>
      <c r="AE124" s="41"/>
      <c r="AF124" s="41"/>
    </row>
    <row r="125" spans="1:32" s="23" customFormat="1" x14ac:dyDescent="0.2">
      <c r="A125" s="19"/>
      <c r="B125" s="123" t="s">
        <v>1017</v>
      </c>
      <c r="C125" s="168"/>
      <c r="D125" s="168"/>
      <c r="E125" s="170"/>
      <c r="F125" s="169"/>
      <c r="G125" s="169"/>
      <c r="H125" s="260"/>
      <c r="I125" s="260"/>
      <c r="J125" s="169"/>
      <c r="K125" s="169"/>
      <c r="L125" s="169"/>
      <c r="M125" s="199">
        <v>1</v>
      </c>
      <c r="N125" s="511"/>
      <c r="O125" s="511"/>
      <c r="P125" s="511"/>
      <c r="Q125" s="369"/>
      <c r="R125" s="369"/>
      <c r="S125" s="369"/>
      <c r="T125" s="369"/>
      <c r="U125" s="24"/>
      <c r="V125" s="25"/>
      <c r="W125" s="25"/>
      <c r="X125" s="24"/>
      <c r="Y125" s="25"/>
      <c r="Z125" s="25"/>
      <c r="AA125" s="298"/>
      <c r="AC125" s="199">
        <v>1</v>
      </c>
      <c r="AE125" s="41"/>
      <c r="AF125" s="41"/>
    </row>
    <row r="126" spans="1:32" s="23" customFormat="1" x14ac:dyDescent="0.2">
      <c r="A126" s="19"/>
      <c r="B126" s="123" t="s">
        <v>1018</v>
      </c>
      <c r="C126" s="168"/>
      <c r="D126" s="168"/>
      <c r="E126" s="170"/>
      <c r="F126" s="169"/>
      <c r="G126" s="169"/>
      <c r="H126" s="260"/>
      <c r="I126" s="260"/>
      <c r="J126" s="169"/>
      <c r="K126" s="169" t="s">
        <v>27</v>
      </c>
      <c r="L126" s="169"/>
      <c r="M126" s="199">
        <v>1</v>
      </c>
      <c r="N126" s="511"/>
      <c r="O126" s="511"/>
      <c r="P126" s="511"/>
      <c r="Q126" s="369" t="s">
        <v>27</v>
      </c>
      <c r="R126" s="369"/>
      <c r="S126" s="369"/>
      <c r="T126" s="369"/>
      <c r="U126" s="24"/>
      <c r="V126" s="25"/>
      <c r="W126" s="25"/>
      <c r="X126" s="24"/>
      <c r="Y126" s="25"/>
      <c r="Z126" s="25"/>
      <c r="AA126" s="298"/>
      <c r="AC126" s="199">
        <v>1</v>
      </c>
      <c r="AE126" s="41"/>
      <c r="AF126" s="41"/>
    </row>
    <row r="127" spans="1:32" s="23" customFormat="1" x14ac:dyDescent="0.2">
      <c r="A127" s="19"/>
      <c r="B127" s="123" t="s">
        <v>1019</v>
      </c>
      <c r="C127" s="168"/>
      <c r="D127" s="168"/>
      <c r="E127" s="170"/>
      <c r="F127" s="169"/>
      <c r="G127" s="169"/>
      <c r="H127" s="260"/>
      <c r="I127" s="260"/>
      <c r="J127" s="169"/>
      <c r="K127" s="169"/>
      <c r="L127" s="169"/>
      <c r="M127" s="199">
        <v>1</v>
      </c>
      <c r="N127" s="511"/>
      <c r="O127" s="511"/>
      <c r="P127" s="511"/>
      <c r="Q127" s="369"/>
      <c r="R127" s="369"/>
      <c r="S127" s="369"/>
      <c r="T127" s="369"/>
      <c r="U127" s="24"/>
      <c r="V127" s="25"/>
      <c r="W127" s="25"/>
      <c r="X127" s="24"/>
      <c r="Y127" s="25"/>
      <c r="Z127" s="25"/>
      <c r="AA127" s="298"/>
      <c r="AC127" s="199">
        <v>1</v>
      </c>
      <c r="AE127" s="41"/>
      <c r="AF127" s="41"/>
    </row>
    <row r="128" spans="1:32" s="23" customFormat="1" x14ac:dyDescent="0.2">
      <c r="A128" s="19"/>
      <c r="B128" s="123" t="s">
        <v>1020</v>
      </c>
      <c r="C128" s="168"/>
      <c r="D128" s="168"/>
      <c r="E128" s="170"/>
      <c r="F128" s="169"/>
      <c r="G128" s="169"/>
      <c r="H128" s="260"/>
      <c r="I128" s="260"/>
      <c r="J128" s="169"/>
      <c r="K128" s="169"/>
      <c r="L128" s="169"/>
      <c r="M128" s="199">
        <v>1</v>
      </c>
      <c r="N128" s="511"/>
      <c r="O128" s="511"/>
      <c r="P128" s="511"/>
      <c r="Q128" s="369"/>
      <c r="R128" s="369"/>
      <c r="S128" s="369"/>
      <c r="T128" s="369"/>
      <c r="U128" s="24"/>
      <c r="V128" s="25"/>
      <c r="W128" s="25"/>
      <c r="X128" s="24"/>
      <c r="Y128" s="25"/>
      <c r="Z128" s="25"/>
      <c r="AA128" s="298"/>
      <c r="AC128" s="199">
        <v>1</v>
      </c>
      <c r="AE128" s="41"/>
      <c r="AF128" s="41"/>
    </row>
    <row r="129" spans="1:32" s="23" customFormat="1" x14ac:dyDescent="0.2">
      <c r="A129" s="19">
        <v>3</v>
      </c>
      <c r="B129" s="123" t="s">
        <v>1021</v>
      </c>
      <c r="C129" s="168" t="s">
        <v>126</v>
      </c>
      <c r="D129" s="168"/>
      <c r="E129" s="170">
        <v>0</v>
      </c>
      <c r="F129" s="169">
        <v>1</v>
      </c>
      <c r="G129" s="169">
        <v>1</v>
      </c>
      <c r="H129" s="260">
        <v>1</v>
      </c>
      <c r="I129" s="260"/>
      <c r="J129" s="169">
        <v>1</v>
      </c>
      <c r="K129" s="169">
        <v>7</v>
      </c>
      <c r="L129" s="169"/>
      <c r="M129" s="199">
        <v>1</v>
      </c>
      <c r="N129" s="511"/>
      <c r="O129" s="511"/>
      <c r="P129" s="511"/>
      <c r="Q129" s="369">
        <f>SUM(M129:M135)/K129</f>
        <v>0.7142857142857143</v>
      </c>
      <c r="R129" s="369"/>
      <c r="S129" s="369"/>
      <c r="T129" s="369"/>
      <c r="U129" s="24"/>
      <c r="V129" s="25"/>
      <c r="W129" s="25"/>
      <c r="X129" s="24"/>
      <c r="Y129" s="25"/>
      <c r="Z129" s="25"/>
      <c r="AA129" s="298">
        <v>1</v>
      </c>
      <c r="AC129" s="199">
        <v>1</v>
      </c>
      <c r="AE129" s="41"/>
      <c r="AF129" s="41"/>
    </row>
    <row r="130" spans="1:32" s="23" customFormat="1" x14ac:dyDescent="0.2">
      <c r="A130" s="19"/>
      <c r="B130" s="123" t="s">
        <v>1022</v>
      </c>
      <c r="C130" s="168"/>
      <c r="D130" s="168"/>
      <c r="E130" s="170">
        <v>0</v>
      </c>
      <c r="F130" s="169"/>
      <c r="G130" s="169"/>
      <c r="H130" s="260"/>
      <c r="I130" s="260"/>
      <c r="J130" s="169"/>
      <c r="K130" s="169"/>
      <c r="L130" s="169"/>
      <c r="M130" s="199">
        <v>1</v>
      </c>
      <c r="N130" s="511"/>
      <c r="O130" s="511"/>
      <c r="P130" s="511"/>
      <c r="Q130" s="369"/>
      <c r="R130" s="369"/>
      <c r="S130" s="369"/>
      <c r="T130" s="369"/>
      <c r="U130" s="24"/>
      <c r="V130" s="25"/>
      <c r="W130" s="25"/>
      <c r="X130" s="24"/>
      <c r="Y130" s="25"/>
      <c r="Z130" s="25"/>
      <c r="AA130" s="298">
        <v>1</v>
      </c>
      <c r="AC130" s="199">
        <v>1</v>
      </c>
      <c r="AE130" s="41"/>
      <c r="AF130" s="41"/>
    </row>
    <row r="131" spans="1:32" s="23" customFormat="1" x14ac:dyDescent="0.2">
      <c r="A131" s="19"/>
      <c r="B131" s="123" t="s">
        <v>1023</v>
      </c>
      <c r="C131" s="168"/>
      <c r="D131" s="168"/>
      <c r="E131" s="170">
        <v>1</v>
      </c>
      <c r="F131" s="169"/>
      <c r="G131" s="169"/>
      <c r="H131" s="260"/>
      <c r="I131" s="260"/>
      <c r="J131" s="169"/>
      <c r="K131" s="169"/>
      <c r="L131" s="169"/>
      <c r="M131" s="199">
        <v>1</v>
      </c>
      <c r="N131" s="511"/>
      <c r="O131" s="511"/>
      <c r="P131" s="511"/>
      <c r="Q131" s="369"/>
      <c r="R131" s="369"/>
      <c r="S131" s="369"/>
      <c r="T131" s="369"/>
      <c r="U131" s="24" t="s">
        <v>92</v>
      </c>
      <c r="V131" s="25"/>
      <c r="W131" s="25"/>
      <c r="X131" s="24"/>
      <c r="Y131" s="25"/>
      <c r="Z131" s="25"/>
      <c r="AA131" s="298">
        <v>1</v>
      </c>
      <c r="AC131" s="199">
        <v>0</v>
      </c>
      <c r="AE131" s="41"/>
      <c r="AF131" s="41"/>
    </row>
    <row r="132" spans="1:32" s="23" customFormat="1" x14ac:dyDescent="0.2">
      <c r="A132" s="19"/>
      <c r="B132" s="123" t="s">
        <v>1024</v>
      </c>
      <c r="C132" s="168"/>
      <c r="D132" s="168"/>
      <c r="E132" s="170"/>
      <c r="F132" s="169"/>
      <c r="G132" s="169"/>
      <c r="H132" s="260" t="s">
        <v>27</v>
      </c>
      <c r="I132" s="260"/>
      <c r="J132" s="169" t="s">
        <v>27</v>
      </c>
      <c r="K132" s="169"/>
      <c r="L132" s="169"/>
      <c r="M132" s="199">
        <v>0</v>
      </c>
      <c r="N132" s="511"/>
      <c r="O132" s="511"/>
      <c r="P132" s="511"/>
      <c r="Q132" s="369"/>
      <c r="R132" s="369"/>
      <c r="S132" s="369"/>
      <c r="T132" s="369"/>
      <c r="U132" s="24"/>
      <c r="V132" s="25"/>
      <c r="W132" s="25"/>
      <c r="X132" s="24"/>
      <c r="Y132" s="25"/>
      <c r="Z132" s="25"/>
      <c r="AA132" s="298">
        <v>0</v>
      </c>
      <c r="AC132" s="199">
        <v>1</v>
      </c>
      <c r="AE132" s="41"/>
      <c r="AF132" s="41"/>
    </row>
    <row r="133" spans="1:32" s="23" customFormat="1" x14ac:dyDescent="0.2">
      <c r="A133" s="19"/>
      <c r="B133" s="123" t="s">
        <v>1025</v>
      </c>
      <c r="C133" s="168"/>
      <c r="D133" s="168"/>
      <c r="E133" s="170"/>
      <c r="F133" s="169"/>
      <c r="G133" s="169"/>
      <c r="H133" s="260"/>
      <c r="I133" s="260"/>
      <c r="J133" s="169"/>
      <c r="K133" s="169"/>
      <c r="L133" s="169"/>
      <c r="M133" s="199">
        <v>1</v>
      </c>
      <c r="N133" s="511"/>
      <c r="O133" s="511"/>
      <c r="P133" s="511"/>
      <c r="Q133" s="369"/>
      <c r="R133" s="369"/>
      <c r="S133" s="369"/>
      <c r="T133" s="369"/>
      <c r="U133" s="24"/>
      <c r="V133" s="25"/>
      <c r="W133" s="25"/>
      <c r="X133" s="24"/>
      <c r="Y133" s="25"/>
      <c r="Z133" s="25"/>
      <c r="AA133" s="298">
        <v>0</v>
      </c>
      <c r="AC133" s="199">
        <v>0</v>
      </c>
      <c r="AE133" s="41"/>
      <c r="AF133" s="41"/>
    </row>
    <row r="134" spans="1:32" s="23" customFormat="1" x14ac:dyDescent="0.2">
      <c r="A134" s="19"/>
      <c r="B134" s="123" t="s">
        <v>1026</v>
      </c>
      <c r="C134" s="168"/>
      <c r="D134" s="168"/>
      <c r="E134" s="170"/>
      <c r="F134" s="169"/>
      <c r="G134" s="169"/>
      <c r="H134" s="260"/>
      <c r="I134" s="260"/>
      <c r="J134" s="169"/>
      <c r="K134" s="169"/>
      <c r="L134" s="169"/>
      <c r="M134" s="199">
        <v>0</v>
      </c>
      <c r="N134" s="511"/>
      <c r="O134" s="511"/>
      <c r="P134" s="511"/>
      <c r="Q134" s="369"/>
      <c r="R134" s="369"/>
      <c r="S134" s="369"/>
      <c r="T134" s="369"/>
      <c r="U134" s="24"/>
      <c r="V134" s="25"/>
      <c r="W134" s="25"/>
      <c r="X134" s="24"/>
      <c r="Y134" s="25"/>
      <c r="Z134" s="25"/>
      <c r="AA134" s="298">
        <v>0</v>
      </c>
      <c r="AC134" s="199">
        <v>1</v>
      </c>
      <c r="AE134" s="41"/>
      <c r="AF134" s="41"/>
    </row>
    <row r="135" spans="1:32" s="23" customFormat="1" x14ac:dyDescent="0.2">
      <c r="A135" s="19"/>
      <c r="B135" s="123" t="s">
        <v>1027</v>
      </c>
      <c r="C135" s="168"/>
      <c r="D135" s="168"/>
      <c r="E135" s="170"/>
      <c r="F135" s="169"/>
      <c r="G135" s="169"/>
      <c r="H135" s="260"/>
      <c r="I135" s="260"/>
      <c r="J135" s="169"/>
      <c r="K135" s="169" t="s">
        <v>27</v>
      </c>
      <c r="L135" s="169"/>
      <c r="M135" s="199">
        <v>1</v>
      </c>
      <c r="N135" s="511"/>
      <c r="O135" s="511"/>
      <c r="P135" s="511"/>
      <c r="Q135" s="369" t="s">
        <v>27</v>
      </c>
      <c r="R135" s="369"/>
      <c r="S135" s="369"/>
      <c r="T135" s="369"/>
      <c r="U135" s="24"/>
      <c r="V135" s="25"/>
      <c r="W135" s="25"/>
      <c r="X135" s="24"/>
      <c r="Y135" s="25"/>
      <c r="Z135" s="25"/>
      <c r="AA135" s="298"/>
      <c r="AC135" s="199">
        <v>1</v>
      </c>
      <c r="AE135" s="41"/>
      <c r="AF135" s="41"/>
    </row>
    <row r="136" spans="1:32" s="23" customFormat="1" x14ac:dyDescent="0.2">
      <c r="A136" s="19"/>
      <c r="B136" s="123" t="s">
        <v>1703</v>
      </c>
      <c r="C136" s="168"/>
      <c r="D136" s="168"/>
      <c r="E136" s="170"/>
      <c r="F136" s="169"/>
      <c r="G136" s="169"/>
      <c r="H136" s="260">
        <v>1</v>
      </c>
      <c r="I136" s="260"/>
      <c r="J136" s="169">
        <v>1</v>
      </c>
      <c r="K136" s="169">
        <v>3</v>
      </c>
      <c r="L136" s="169"/>
      <c r="M136" s="199">
        <v>1</v>
      </c>
      <c r="N136" s="511"/>
      <c r="O136" s="511"/>
      <c r="P136" s="511"/>
      <c r="Q136" s="369">
        <v>1</v>
      </c>
      <c r="R136" s="369"/>
      <c r="S136" s="369"/>
      <c r="T136" s="369"/>
      <c r="U136" s="24"/>
      <c r="V136" s="25"/>
      <c r="W136" s="25"/>
      <c r="X136" s="24"/>
      <c r="Y136" s="25"/>
      <c r="Z136" s="25"/>
      <c r="AA136" s="298">
        <v>1</v>
      </c>
      <c r="AB136" s="23" t="s">
        <v>1705</v>
      </c>
      <c r="AC136" s="199">
        <v>1</v>
      </c>
      <c r="AE136" s="41"/>
      <c r="AF136" s="41"/>
    </row>
    <row r="137" spans="1:32" s="23" customFormat="1" x14ac:dyDescent="0.2">
      <c r="A137" s="19"/>
      <c r="B137" s="123" t="s">
        <v>1702</v>
      </c>
      <c r="C137" s="168"/>
      <c r="D137" s="168"/>
      <c r="E137" s="170"/>
      <c r="F137" s="169"/>
      <c r="G137" s="169"/>
      <c r="H137" s="260"/>
      <c r="I137" s="260"/>
      <c r="J137" s="169"/>
      <c r="K137" s="169"/>
      <c r="L137" s="169"/>
      <c r="M137" s="199">
        <v>1</v>
      </c>
      <c r="N137" s="511"/>
      <c r="O137" s="511"/>
      <c r="P137" s="511"/>
      <c r="Q137" s="369"/>
      <c r="R137" s="369"/>
      <c r="S137" s="369"/>
      <c r="T137" s="369"/>
      <c r="U137" s="24"/>
      <c r="V137" s="25"/>
      <c r="W137" s="25"/>
      <c r="X137" s="24"/>
      <c r="Y137" s="25"/>
      <c r="Z137" s="25"/>
      <c r="AA137" s="298"/>
      <c r="AC137" s="199">
        <v>1</v>
      </c>
      <c r="AE137" s="41"/>
      <c r="AF137" s="41"/>
    </row>
    <row r="138" spans="1:32" s="23" customFormat="1" x14ac:dyDescent="0.2">
      <c r="A138" s="19"/>
      <c r="B138" s="123" t="s">
        <v>1704</v>
      </c>
      <c r="C138" s="168"/>
      <c r="D138" s="168"/>
      <c r="E138" s="170"/>
      <c r="F138" s="169"/>
      <c r="G138" s="169"/>
      <c r="H138" s="260"/>
      <c r="I138" s="260"/>
      <c r="J138" s="169"/>
      <c r="K138" s="169"/>
      <c r="L138" s="169"/>
      <c r="M138" s="199">
        <v>1</v>
      </c>
      <c r="N138" s="511"/>
      <c r="O138" s="511"/>
      <c r="P138" s="511"/>
      <c r="Q138" s="369"/>
      <c r="R138" s="369"/>
      <c r="S138" s="369"/>
      <c r="T138" s="369"/>
      <c r="U138" s="24"/>
      <c r="V138" s="25"/>
      <c r="W138" s="25"/>
      <c r="X138" s="24"/>
      <c r="Y138" s="25"/>
      <c r="Z138" s="25"/>
      <c r="AA138" s="298"/>
      <c r="AC138" s="199">
        <v>1</v>
      </c>
      <c r="AE138" s="41"/>
      <c r="AF138" s="41"/>
    </row>
    <row r="139" spans="1:32" s="23" customFormat="1" x14ac:dyDescent="0.2">
      <c r="A139" s="19"/>
      <c r="B139" s="123" t="s">
        <v>1028</v>
      </c>
      <c r="C139" s="168"/>
      <c r="D139" s="168"/>
      <c r="E139" s="170"/>
      <c r="F139" s="169"/>
      <c r="G139" s="169"/>
      <c r="H139" s="260">
        <v>1</v>
      </c>
      <c r="I139" s="260"/>
      <c r="J139" s="169">
        <v>1</v>
      </c>
      <c r="K139" s="169">
        <v>2</v>
      </c>
      <c r="L139" s="169"/>
      <c r="M139" s="199">
        <v>1</v>
      </c>
      <c r="N139" s="511"/>
      <c r="O139" s="511"/>
      <c r="P139" s="511"/>
      <c r="Q139" s="369">
        <f>2/K139</f>
        <v>1</v>
      </c>
      <c r="R139" s="369"/>
      <c r="S139" s="369"/>
      <c r="T139" s="369"/>
      <c r="U139" s="24"/>
      <c r="V139" s="25"/>
      <c r="W139" s="25"/>
      <c r="X139" s="24"/>
      <c r="Y139" s="25"/>
      <c r="Z139" s="25"/>
      <c r="AA139" s="298"/>
      <c r="AC139" s="199">
        <v>1</v>
      </c>
      <c r="AE139" s="41"/>
      <c r="AF139" s="41"/>
    </row>
    <row r="140" spans="1:32" s="23" customFormat="1" x14ac:dyDescent="0.2">
      <c r="A140" s="19"/>
      <c r="B140" s="123" t="s">
        <v>1029</v>
      </c>
      <c r="C140" s="168"/>
      <c r="D140" s="168"/>
      <c r="E140" s="170"/>
      <c r="F140" s="169"/>
      <c r="G140" s="169"/>
      <c r="H140" s="260"/>
      <c r="I140" s="260"/>
      <c r="J140" s="169"/>
      <c r="K140" s="169"/>
      <c r="L140" s="169"/>
      <c r="M140" s="199">
        <v>1</v>
      </c>
      <c r="N140" s="511"/>
      <c r="O140" s="511"/>
      <c r="P140" s="511"/>
      <c r="Q140" s="369"/>
      <c r="R140" s="369"/>
      <c r="S140" s="369"/>
      <c r="T140" s="369"/>
      <c r="U140" s="24"/>
      <c r="V140" s="25"/>
      <c r="W140" s="25"/>
      <c r="X140" s="24"/>
      <c r="Y140" s="25"/>
      <c r="Z140" s="25"/>
      <c r="AA140" s="298"/>
      <c r="AC140" s="199">
        <v>0</v>
      </c>
      <c r="AE140" s="41"/>
      <c r="AF140" s="41"/>
    </row>
    <row r="141" spans="1:32" s="273" customFormat="1" x14ac:dyDescent="0.2">
      <c r="A141" s="280" t="s">
        <v>13</v>
      </c>
      <c r="B141" s="280" t="s">
        <v>14</v>
      </c>
      <c r="C141" s="279"/>
      <c r="D141" s="279"/>
      <c r="F141" s="337">
        <v>3</v>
      </c>
      <c r="G141" s="276">
        <f>SUM(G142:G188)/F141</f>
        <v>1</v>
      </c>
      <c r="H141" s="290">
        <f>SUM(H142:H188)</f>
        <v>7</v>
      </c>
      <c r="I141" s="294">
        <f>SUM(J142:J188)/H141</f>
        <v>1</v>
      </c>
      <c r="J141" s="292">
        <f>SUM(J142:J188)</f>
        <v>7</v>
      </c>
      <c r="K141" s="287">
        <f>SUM(K142:K188)</f>
        <v>44</v>
      </c>
      <c r="L141" s="291">
        <f>SUM(M142:M188)/K141</f>
        <v>0.70454545454545459</v>
      </c>
      <c r="M141" s="292">
        <f>SUM(M142:M188)</f>
        <v>31</v>
      </c>
      <c r="N141" s="514"/>
      <c r="O141" s="514"/>
      <c r="P141" s="514"/>
      <c r="Q141" s="381">
        <f>((Q142*K142)+(Q157*K157)+(Q159*K159)+(Q170*K170)+(Q176*K176)+(Q182*K182)+(Q185*K185))/K141</f>
        <v>0.70454545454545459</v>
      </c>
      <c r="R141" s="381"/>
      <c r="S141" s="381">
        <f>_xlfn.STDEV.P(R142:R148)</f>
        <v>0.22667867115070306</v>
      </c>
      <c r="T141" s="381">
        <f>+T152</f>
        <v>9.2541179981894678E-2</v>
      </c>
      <c r="U141" s="543">
        <f>COUNTA(U142:U188)</f>
        <v>3</v>
      </c>
      <c r="V141" s="543">
        <f t="shared" ref="V141:Z141" si="3">COUNTA(V142:V188)</f>
        <v>0</v>
      </c>
      <c r="W141" s="543">
        <f t="shared" si="3"/>
        <v>0</v>
      </c>
      <c r="X141" s="543">
        <f t="shared" si="3"/>
        <v>0</v>
      </c>
      <c r="Y141" s="543">
        <f t="shared" si="3"/>
        <v>0</v>
      </c>
      <c r="Z141" s="543">
        <f t="shared" si="3"/>
        <v>0</v>
      </c>
      <c r="AA141" s="316">
        <f>SUM(AA142:AA188)/K141</f>
        <v>9.0909090909090912E-2</v>
      </c>
      <c r="AC141" s="199">
        <v>0</v>
      </c>
      <c r="AD141" s="284">
        <f>+U141/M141</f>
        <v>9.6774193548387094E-2</v>
      </c>
    </row>
    <row r="142" spans="1:32" s="37" customFormat="1" x14ac:dyDescent="0.2">
      <c r="A142" s="37">
        <v>1</v>
      </c>
      <c r="B142" s="125" t="s">
        <v>1030</v>
      </c>
      <c r="C142" s="170" t="s">
        <v>126</v>
      </c>
      <c r="D142" s="170"/>
      <c r="F142" s="171"/>
      <c r="G142" s="171">
        <v>1</v>
      </c>
      <c r="H142" s="244">
        <v>1</v>
      </c>
      <c r="I142" s="244"/>
      <c r="J142" s="171">
        <v>1</v>
      </c>
      <c r="K142" s="171">
        <v>15</v>
      </c>
      <c r="L142" s="171"/>
      <c r="M142" s="199">
        <v>0</v>
      </c>
      <c r="N142" s="614">
        <f>AVERAGE(M142:M188)</f>
        <v>0.70454545454545459</v>
      </c>
      <c r="O142" s="614">
        <f>_xlfn.STDEV.P(M142:M188)</f>
        <v>0.45624681590647115</v>
      </c>
      <c r="P142" s="615">
        <f>STDEV(M142:M188)/(SQRT(COUNT(M142:M188)))</f>
        <v>6.9576987144539928E-2</v>
      </c>
      <c r="Q142" s="369">
        <f>SUM(M142:M156)/K142</f>
        <v>0.53333333333333333</v>
      </c>
      <c r="R142" s="369">
        <f>+Q142</f>
        <v>0.53333333333333333</v>
      </c>
      <c r="S142" s="369"/>
      <c r="T142" s="369"/>
      <c r="U142" s="126"/>
      <c r="V142" s="127"/>
      <c r="W142" s="127"/>
      <c r="X142" s="126"/>
      <c r="Y142" s="127"/>
      <c r="Z142" s="127"/>
      <c r="AA142" s="298">
        <v>0</v>
      </c>
      <c r="AC142" s="199">
        <v>0</v>
      </c>
      <c r="AE142" s="206"/>
      <c r="AF142" s="206"/>
    </row>
    <row r="143" spans="1:32" s="37" customFormat="1" x14ac:dyDescent="0.2">
      <c r="B143" s="125" t="s">
        <v>1031</v>
      </c>
      <c r="C143" s="170" t="s">
        <v>126</v>
      </c>
      <c r="D143" s="170"/>
      <c r="F143" s="171"/>
      <c r="G143" s="171"/>
      <c r="H143" s="244"/>
      <c r="I143" s="244"/>
      <c r="J143" s="171"/>
      <c r="K143" s="171"/>
      <c r="L143" s="171"/>
      <c r="M143" s="199">
        <v>0</v>
      </c>
      <c r="N143" s="511"/>
      <c r="O143" s="511"/>
      <c r="P143" s="511"/>
      <c r="Q143" s="369"/>
      <c r="R143" s="369">
        <f>+Q157</f>
        <v>0.5</v>
      </c>
      <c r="S143" s="369"/>
      <c r="T143" s="369"/>
      <c r="U143" s="126"/>
      <c r="V143" s="127"/>
      <c r="W143" s="127"/>
      <c r="X143" s="126"/>
      <c r="Y143" s="127"/>
      <c r="Z143" s="127"/>
      <c r="AA143" s="298">
        <v>0</v>
      </c>
      <c r="AC143" s="199">
        <v>0</v>
      </c>
      <c r="AE143" s="206"/>
      <c r="AF143" s="206"/>
    </row>
    <row r="144" spans="1:32" s="37" customFormat="1" x14ac:dyDescent="0.2">
      <c r="B144" s="125" t="s">
        <v>1032</v>
      </c>
      <c r="C144" s="170" t="s">
        <v>126</v>
      </c>
      <c r="D144" s="170"/>
      <c r="F144" s="171"/>
      <c r="G144" s="171"/>
      <c r="H144" s="244"/>
      <c r="I144" s="244"/>
      <c r="J144" s="171"/>
      <c r="K144" s="171"/>
      <c r="L144" s="171"/>
      <c r="M144" s="199">
        <v>0</v>
      </c>
      <c r="N144" s="511"/>
      <c r="O144" s="511"/>
      <c r="P144" s="511"/>
      <c r="Q144" s="369"/>
      <c r="R144" s="369">
        <f>+Q159</f>
        <v>0.77777777777777779</v>
      </c>
      <c r="S144" s="369"/>
      <c r="T144" s="369"/>
      <c r="U144" s="126"/>
      <c r="V144" s="127"/>
      <c r="W144" s="127"/>
      <c r="X144" s="126"/>
      <c r="Y144" s="127"/>
      <c r="Z144" s="127"/>
      <c r="AA144" s="298">
        <v>0</v>
      </c>
      <c r="AC144" s="199">
        <v>0</v>
      </c>
      <c r="AE144" s="206"/>
      <c r="AF144" s="206"/>
    </row>
    <row r="145" spans="1:32" s="37" customFormat="1" x14ac:dyDescent="0.2">
      <c r="B145" s="125" t="s">
        <v>1033</v>
      </c>
      <c r="C145" s="170" t="s">
        <v>126</v>
      </c>
      <c r="D145" s="170"/>
      <c r="F145" s="171"/>
      <c r="G145" s="171"/>
      <c r="H145" s="244"/>
      <c r="I145" s="244"/>
      <c r="J145" s="171"/>
      <c r="K145" s="171"/>
      <c r="L145" s="171"/>
      <c r="M145" s="199">
        <v>0</v>
      </c>
      <c r="N145" s="511"/>
      <c r="O145" s="511"/>
      <c r="P145" s="511"/>
      <c r="Q145" s="369"/>
      <c r="R145" s="369">
        <f>+Q170</f>
        <v>0.5</v>
      </c>
      <c r="S145" s="369"/>
      <c r="T145" s="369"/>
      <c r="U145" s="126"/>
      <c r="V145" s="127"/>
      <c r="W145" s="127"/>
      <c r="X145" s="126"/>
      <c r="Y145" s="127"/>
      <c r="Z145" s="127"/>
      <c r="AA145" s="298">
        <v>0</v>
      </c>
      <c r="AC145" s="199">
        <v>0</v>
      </c>
      <c r="AE145" s="206"/>
      <c r="AF145" s="206"/>
    </row>
    <row r="146" spans="1:32" s="37" customFormat="1" x14ac:dyDescent="0.2">
      <c r="B146" s="125" t="s">
        <v>1034</v>
      </c>
      <c r="C146" s="170" t="s">
        <v>126</v>
      </c>
      <c r="D146" s="170"/>
      <c r="F146" s="171"/>
      <c r="G146" s="171"/>
      <c r="H146" s="244"/>
      <c r="I146" s="244"/>
      <c r="J146" s="171"/>
      <c r="K146" s="171"/>
      <c r="L146" s="171"/>
      <c r="M146" s="199">
        <v>0</v>
      </c>
      <c r="N146" s="511"/>
      <c r="O146" s="511"/>
      <c r="P146" s="511"/>
      <c r="Q146" s="369"/>
      <c r="R146" s="369">
        <f>+Q176</f>
        <v>1</v>
      </c>
      <c r="S146" s="369"/>
      <c r="T146" s="369"/>
      <c r="U146" s="126"/>
      <c r="V146" s="127"/>
      <c r="W146" s="127"/>
      <c r="X146" s="126"/>
      <c r="Y146" s="127"/>
      <c r="Z146" s="127"/>
      <c r="AA146" s="298">
        <v>0</v>
      </c>
      <c r="AC146" s="199">
        <v>0</v>
      </c>
      <c r="AE146" s="206"/>
      <c r="AF146" s="206"/>
    </row>
    <row r="147" spans="1:32" s="37" customFormat="1" x14ac:dyDescent="0.2">
      <c r="B147" s="125" t="s">
        <v>1035</v>
      </c>
      <c r="C147" s="170" t="s">
        <v>126</v>
      </c>
      <c r="D147" s="170"/>
      <c r="E147" s="19"/>
      <c r="F147" s="171"/>
      <c r="G147" s="171"/>
      <c r="H147" s="244"/>
      <c r="I147" s="244"/>
      <c r="J147" s="171"/>
      <c r="K147" s="171"/>
      <c r="L147" s="171"/>
      <c r="M147" s="199">
        <v>0</v>
      </c>
      <c r="N147" s="511"/>
      <c r="O147" s="511"/>
      <c r="P147" s="511"/>
      <c r="Q147" s="369"/>
      <c r="R147" s="369">
        <f>+Q182</f>
        <v>1</v>
      </c>
      <c r="S147" s="369"/>
      <c r="T147" s="369"/>
      <c r="U147" s="126"/>
      <c r="V147" s="127"/>
      <c r="W147" s="127"/>
      <c r="X147" s="126"/>
      <c r="Y147" s="127"/>
      <c r="Z147" s="127"/>
      <c r="AA147" s="298">
        <v>0</v>
      </c>
      <c r="AC147" s="199">
        <v>1</v>
      </c>
      <c r="AE147" s="206"/>
      <c r="AF147" s="206"/>
    </row>
    <row r="148" spans="1:32" s="37" customFormat="1" x14ac:dyDescent="0.2">
      <c r="B148" s="125" t="s">
        <v>1036</v>
      </c>
      <c r="C148" s="170" t="s">
        <v>126</v>
      </c>
      <c r="D148" s="170"/>
      <c r="E148" s="19"/>
      <c r="F148" s="171"/>
      <c r="G148" s="171"/>
      <c r="H148" s="244"/>
      <c r="I148" s="244"/>
      <c r="J148" s="171"/>
      <c r="K148" s="171"/>
      <c r="L148" s="171"/>
      <c r="M148" s="199">
        <v>0</v>
      </c>
      <c r="N148" s="511"/>
      <c r="O148" s="511"/>
      <c r="P148" s="511"/>
      <c r="Q148" s="369"/>
      <c r="R148" s="369">
        <f>+Q185</f>
        <v>1</v>
      </c>
      <c r="S148" s="369"/>
      <c r="T148" s="369"/>
      <c r="U148" s="126"/>
      <c r="V148" s="127"/>
      <c r="W148" s="127"/>
      <c r="X148" s="126"/>
      <c r="Y148" s="127"/>
      <c r="Z148" s="127"/>
      <c r="AA148" s="298">
        <v>0</v>
      </c>
      <c r="AC148" s="199">
        <v>1</v>
      </c>
      <c r="AE148" s="206"/>
      <c r="AF148" s="206"/>
    </row>
    <row r="149" spans="1:32" s="37" customFormat="1" x14ac:dyDescent="0.2">
      <c r="B149" s="125" t="s">
        <v>1037</v>
      </c>
      <c r="C149" s="170" t="s">
        <v>126</v>
      </c>
      <c r="D149" s="241" t="s">
        <v>1038</v>
      </c>
      <c r="E149" s="19"/>
      <c r="F149" s="171"/>
      <c r="G149" s="171"/>
      <c r="H149" s="244"/>
      <c r="I149" s="244"/>
      <c r="J149" s="171" t="s">
        <v>27</v>
      </c>
      <c r="K149" s="171" t="s">
        <v>27</v>
      </c>
      <c r="L149" s="171"/>
      <c r="M149" s="199">
        <v>1</v>
      </c>
      <c r="N149" s="511"/>
      <c r="O149" s="511"/>
      <c r="P149" s="511"/>
      <c r="Q149" s="369"/>
      <c r="R149" s="369"/>
      <c r="S149" s="369"/>
      <c r="T149" s="369"/>
      <c r="U149" s="126" t="s">
        <v>92</v>
      </c>
      <c r="V149" s="127"/>
      <c r="W149" s="127"/>
      <c r="X149" s="126"/>
      <c r="Y149" s="127"/>
      <c r="Z149" s="127"/>
      <c r="AA149" s="298">
        <v>0</v>
      </c>
      <c r="AC149" s="200">
        <v>1</v>
      </c>
      <c r="AE149" s="206"/>
      <c r="AF149" s="206"/>
    </row>
    <row r="150" spans="1:32" s="37" customFormat="1" x14ac:dyDescent="0.2">
      <c r="B150" s="125" t="s">
        <v>1039</v>
      </c>
      <c r="C150" s="170" t="s">
        <v>126</v>
      </c>
      <c r="D150" s="170"/>
      <c r="E150" s="19"/>
      <c r="F150" s="171"/>
      <c r="G150" s="171"/>
      <c r="H150" s="244"/>
      <c r="I150" s="244"/>
      <c r="J150" s="171"/>
      <c r="K150" s="171"/>
      <c r="L150" s="171"/>
      <c r="M150" s="199">
        <v>1</v>
      </c>
      <c r="N150" s="511"/>
      <c r="O150" s="511"/>
      <c r="P150" s="511"/>
      <c r="Q150" s="369"/>
      <c r="R150" s="369"/>
      <c r="S150" s="369"/>
      <c r="T150" s="369"/>
      <c r="U150" s="126"/>
      <c r="V150" s="127"/>
      <c r="W150" s="127"/>
      <c r="X150" s="126"/>
      <c r="Y150" s="127"/>
      <c r="Z150" s="127"/>
      <c r="AA150" s="298">
        <v>0</v>
      </c>
      <c r="AC150" s="200">
        <v>1</v>
      </c>
      <c r="AE150" s="206"/>
      <c r="AF150" s="206"/>
    </row>
    <row r="151" spans="1:32" s="19" customFormat="1" x14ac:dyDescent="0.2">
      <c r="B151" s="37" t="s">
        <v>1040</v>
      </c>
      <c r="C151" s="172" t="s">
        <v>126</v>
      </c>
      <c r="D151" s="172"/>
      <c r="F151" s="172"/>
      <c r="G151" s="172"/>
      <c r="H151" s="244"/>
      <c r="I151" s="244"/>
      <c r="J151" s="171"/>
      <c r="K151" s="171"/>
      <c r="L151" s="171"/>
      <c r="M151" s="200">
        <v>1</v>
      </c>
      <c r="N151" s="515"/>
      <c r="O151" s="515"/>
      <c r="P151" s="515"/>
      <c r="Q151" s="371"/>
      <c r="R151" s="371"/>
      <c r="S151" s="371"/>
      <c r="T151" s="371"/>
      <c r="U151" s="29"/>
      <c r="V151" s="30"/>
      <c r="W151" s="30"/>
      <c r="X151" s="29"/>
      <c r="Y151" s="30"/>
      <c r="Z151" s="30"/>
      <c r="AA151" s="299">
        <v>0</v>
      </c>
      <c r="AC151" s="200">
        <v>1</v>
      </c>
      <c r="AE151" s="42"/>
      <c r="AF151" s="42"/>
    </row>
    <row r="152" spans="1:32" s="19" customFormat="1" x14ac:dyDescent="0.2">
      <c r="B152" s="37" t="s">
        <v>1041</v>
      </c>
      <c r="C152" s="172" t="s">
        <v>126</v>
      </c>
      <c r="D152" s="172"/>
      <c r="F152" s="172"/>
      <c r="G152" s="172"/>
      <c r="H152" s="244"/>
      <c r="I152" s="244"/>
      <c r="J152" s="171"/>
      <c r="K152" s="171"/>
      <c r="L152" s="171"/>
      <c r="M152" s="200">
        <v>1</v>
      </c>
      <c r="N152" s="515"/>
      <c r="O152" s="515"/>
      <c r="P152" s="515"/>
      <c r="Q152" s="371"/>
      <c r="R152" s="380">
        <f>AVERAGE(R142:R148)</f>
        <v>0.7587301587301587</v>
      </c>
      <c r="S152" s="380"/>
      <c r="T152" s="380">
        <f>STDEV(R142:R148)/(SQRT(COUNT(R142:R148)))</f>
        <v>9.2541179981894678E-2</v>
      </c>
      <c r="U152" s="29"/>
      <c r="V152" s="30"/>
      <c r="W152" s="30"/>
      <c r="X152" s="29"/>
      <c r="Y152" s="30"/>
      <c r="Z152" s="30"/>
      <c r="AA152" s="299">
        <v>0</v>
      </c>
      <c r="AC152" s="200">
        <v>1</v>
      </c>
      <c r="AE152" s="42"/>
      <c r="AF152" s="42"/>
    </row>
    <row r="153" spans="1:32" s="19" customFormat="1" x14ac:dyDescent="0.2">
      <c r="B153" s="37" t="s">
        <v>1042</v>
      </c>
      <c r="C153" s="172" t="s">
        <v>126</v>
      </c>
      <c r="D153" s="172"/>
      <c r="F153" s="172"/>
      <c r="G153" s="172"/>
      <c r="H153" s="244"/>
      <c r="I153" s="244"/>
      <c r="J153" s="171"/>
      <c r="K153" s="171"/>
      <c r="L153" s="171"/>
      <c r="M153" s="200">
        <v>1</v>
      </c>
      <c r="N153" s="515"/>
      <c r="O153" s="515"/>
      <c r="P153" s="515"/>
      <c r="Q153" s="371"/>
      <c r="R153" s="371"/>
      <c r="S153" s="371"/>
      <c r="T153" s="371"/>
      <c r="U153" s="29"/>
      <c r="V153" s="30"/>
      <c r="W153" s="30"/>
      <c r="X153" s="29"/>
      <c r="Y153" s="30"/>
      <c r="Z153" s="30"/>
      <c r="AA153" s="299">
        <v>0</v>
      </c>
      <c r="AC153" s="200">
        <v>1</v>
      </c>
      <c r="AE153" s="42"/>
      <c r="AF153" s="42"/>
    </row>
    <row r="154" spans="1:32" s="19" customFormat="1" x14ac:dyDescent="0.2">
      <c r="B154" s="37" t="s">
        <v>1043</v>
      </c>
      <c r="C154" s="172" t="s">
        <v>1044</v>
      </c>
      <c r="D154" s="172"/>
      <c r="F154" s="172"/>
      <c r="G154" s="172"/>
      <c r="H154" s="244"/>
      <c r="I154" s="244"/>
      <c r="J154" s="171"/>
      <c r="K154" s="171"/>
      <c r="L154" s="171"/>
      <c r="M154" s="200">
        <v>1</v>
      </c>
      <c r="N154" s="515"/>
      <c r="O154" s="515"/>
      <c r="P154" s="515"/>
      <c r="Q154" s="371"/>
      <c r="R154" s="371"/>
      <c r="S154" s="371"/>
      <c r="T154" s="371"/>
      <c r="U154" s="29" t="s">
        <v>92</v>
      </c>
      <c r="V154" s="30"/>
      <c r="W154" s="30"/>
      <c r="X154" s="29"/>
      <c r="Y154" s="30"/>
      <c r="Z154" s="30"/>
      <c r="AA154" s="299">
        <v>0</v>
      </c>
      <c r="AC154" s="200">
        <v>1</v>
      </c>
      <c r="AE154" s="42"/>
      <c r="AF154" s="42"/>
    </row>
    <row r="155" spans="1:32" s="19" customFormat="1" x14ac:dyDescent="0.2">
      <c r="B155" s="37" t="s">
        <v>1045</v>
      </c>
      <c r="C155" s="172" t="s">
        <v>126</v>
      </c>
      <c r="D155" s="172"/>
      <c r="F155" s="172"/>
      <c r="G155" s="172"/>
      <c r="H155" s="245"/>
      <c r="I155" s="245"/>
      <c r="J155" s="172"/>
      <c r="K155" s="172"/>
      <c r="L155" s="172"/>
      <c r="M155" s="200">
        <v>1</v>
      </c>
      <c r="N155" s="515"/>
      <c r="O155" s="515"/>
      <c r="P155" s="515"/>
      <c r="Q155" s="371"/>
      <c r="R155" s="371"/>
      <c r="S155" s="371"/>
      <c r="T155" s="371"/>
      <c r="U155" s="29"/>
      <c r="V155" s="30"/>
      <c r="W155" s="30"/>
      <c r="X155" s="29"/>
      <c r="Y155" s="30"/>
      <c r="Z155" s="30"/>
      <c r="AA155" s="299">
        <v>0</v>
      </c>
      <c r="AC155" s="200">
        <v>1</v>
      </c>
      <c r="AE155" s="42"/>
      <c r="AF155" s="42"/>
    </row>
    <row r="156" spans="1:32" s="19" customFormat="1" x14ac:dyDescent="0.2">
      <c r="B156" s="37" t="s">
        <v>1046</v>
      </c>
      <c r="C156" s="205">
        <v>0.05</v>
      </c>
      <c r="D156" s="172"/>
      <c r="F156" s="172"/>
      <c r="G156" s="172"/>
      <c r="H156" s="245"/>
      <c r="I156" s="245"/>
      <c r="J156" s="172"/>
      <c r="K156" s="172"/>
      <c r="L156" s="172"/>
      <c r="M156" s="200">
        <v>1</v>
      </c>
      <c r="N156" s="515"/>
      <c r="O156" s="515"/>
      <c r="P156" s="515"/>
      <c r="Q156" s="371"/>
      <c r="R156" s="371"/>
      <c r="S156" s="371"/>
      <c r="T156" s="371"/>
      <c r="U156" s="29" t="s">
        <v>92</v>
      </c>
      <c r="V156" s="30"/>
      <c r="W156" s="30"/>
      <c r="X156" s="29"/>
      <c r="Y156" s="30"/>
      <c r="Z156" s="30"/>
      <c r="AA156" s="299">
        <v>0</v>
      </c>
      <c r="AC156" s="200">
        <v>0</v>
      </c>
      <c r="AE156" s="42"/>
      <c r="AF156" s="42"/>
    </row>
    <row r="157" spans="1:32" s="19" customFormat="1" x14ac:dyDescent="0.2">
      <c r="B157" s="37" t="s">
        <v>1047</v>
      </c>
      <c r="C157" s="172" t="s">
        <v>1048</v>
      </c>
      <c r="D157" s="172"/>
      <c r="F157" s="172"/>
      <c r="G157" s="172"/>
      <c r="H157" s="245">
        <v>1</v>
      </c>
      <c r="I157" s="245"/>
      <c r="J157" s="172">
        <v>1</v>
      </c>
      <c r="K157" s="172">
        <v>2</v>
      </c>
      <c r="L157" s="172"/>
      <c r="M157" s="200">
        <v>1</v>
      </c>
      <c r="N157" s="515"/>
      <c r="O157" s="515"/>
      <c r="P157" s="515"/>
      <c r="Q157" s="371">
        <f>1/K157</f>
        <v>0.5</v>
      </c>
      <c r="R157" s="371"/>
      <c r="S157" s="371"/>
      <c r="T157" s="371"/>
      <c r="U157" s="29"/>
      <c r="V157" s="30"/>
      <c r="W157" s="30"/>
      <c r="X157" s="29"/>
      <c r="Y157" s="30"/>
      <c r="Z157" s="30"/>
      <c r="AA157" s="299">
        <v>0</v>
      </c>
      <c r="AC157" s="200">
        <v>1</v>
      </c>
      <c r="AE157" s="42"/>
      <c r="AF157" s="42"/>
    </row>
    <row r="158" spans="1:32" s="19" customFormat="1" x14ac:dyDescent="0.2">
      <c r="B158" s="37" t="s">
        <v>1049</v>
      </c>
      <c r="C158" s="172"/>
      <c r="D158" s="172"/>
      <c r="F158" s="172"/>
      <c r="G158" s="172"/>
      <c r="H158" s="245"/>
      <c r="I158" s="245"/>
      <c r="J158" s="172"/>
      <c r="K158" s="172"/>
      <c r="L158" s="172"/>
      <c r="M158" s="200">
        <v>0</v>
      </c>
      <c r="N158" s="515"/>
      <c r="O158" s="515"/>
      <c r="P158" s="515"/>
      <c r="Q158" s="371"/>
      <c r="R158" s="371"/>
      <c r="S158" s="371"/>
      <c r="T158" s="371"/>
      <c r="U158" s="29"/>
      <c r="V158" s="30"/>
      <c r="W158" s="30"/>
      <c r="X158" s="29"/>
      <c r="Y158" s="30"/>
      <c r="Z158" s="30"/>
      <c r="AA158" s="299"/>
      <c r="AC158" s="200">
        <v>1</v>
      </c>
      <c r="AE158" s="42"/>
      <c r="AF158" s="42"/>
    </row>
    <row r="159" spans="1:32" s="19" customFormat="1" x14ac:dyDescent="0.2">
      <c r="A159" s="19">
        <v>2</v>
      </c>
      <c r="B159" s="37" t="s">
        <v>1050</v>
      </c>
      <c r="C159" s="172" t="s">
        <v>126</v>
      </c>
      <c r="D159" s="172" t="s">
        <v>1038</v>
      </c>
      <c r="F159" s="172"/>
      <c r="G159" s="172">
        <v>1</v>
      </c>
      <c r="H159" s="245">
        <v>1</v>
      </c>
      <c r="I159" s="245"/>
      <c r="J159" s="172">
        <v>1</v>
      </c>
      <c r="K159" s="172">
        <f>11-2</f>
        <v>9</v>
      </c>
      <c r="L159" s="172"/>
      <c r="M159" s="200">
        <v>1</v>
      </c>
      <c r="N159" s="515"/>
      <c r="O159" s="515"/>
      <c r="P159" s="515"/>
      <c r="Q159" s="371">
        <f>SUM(M159:M169)/K159</f>
        <v>0.77777777777777779</v>
      </c>
      <c r="R159" s="371"/>
      <c r="S159" s="371"/>
      <c r="T159" s="371"/>
      <c r="U159" s="29"/>
      <c r="V159" s="30"/>
      <c r="W159" s="30"/>
      <c r="X159" s="29"/>
      <c r="Y159" s="30"/>
      <c r="Z159" s="30"/>
      <c r="AA159" s="299">
        <v>1</v>
      </c>
      <c r="AC159" s="200">
        <v>1</v>
      </c>
      <c r="AE159" s="42"/>
      <c r="AF159" s="42" t="s">
        <v>27</v>
      </c>
    </row>
    <row r="160" spans="1:32" s="19" customFormat="1" x14ac:dyDescent="0.2">
      <c r="B160" s="37" t="s">
        <v>1051</v>
      </c>
      <c r="C160" s="172" t="s">
        <v>126</v>
      </c>
      <c r="D160" s="172"/>
      <c r="F160" s="172"/>
      <c r="G160" s="172"/>
      <c r="H160" s="245"/>
      <c r="I160" s="245"/>
      <c r="J160" s="172"/>
      <c r="K160" s="172"/>
      <c r="L160" s="172"/>
      <c r="M160" s="200">
        <v>1</v>
      </c>
      <c r="N160" s="515"/>
      <c r="O160" s="515"/>
      <c r="P160" s="515"/>
      <c r="Q160" s="371"/>
      <c r="R160" s="371"/>
      <c r="S160" s="371"/>
      <c r="T160" s="371"/>
      <c r="U160" s="29"/>
      <c r="V160" s="30"/>
      <c r="W160" s="30"/>
      <c r="X160" s="29"/>
      <c r="Y160" s="30"/>
      <c r="Z160" s="30"/>
      <c r="AA160" s="299">
        <v>1</v>
      </c>
      <c r="AC160" s="200">
        <v>0</v>
      </c>
      <c r="AE160" s="42"/>
      <c r="AF160" s="42" t="s">
        <v>27</v>
      </c>
    </row>
    <row r="161" spans="1:32" s="19" customFormat="1" x14ac:dyDescent="0.2">
      <c r="B161" s="37" t="s">
        <v>1052</v>
      </c>
      <c r="C161" s="172"/>
      <c r="D161" s="172"/>
      <c r="F161" s="172"/>
      <c r="G161" s="172"/>
      <c r="H161" s="245"/>
      <c r="I161" s="245"/>
      <c r="J161" s="172"/>
      <c r="K161" s="172"/>
      <c r="L161" s="172"/>
      <c r="M161" s="200">
        <v>1</v>
      </c>
      <c r="N161" s="515"/>
      <c r="O161" s="515"/>
      <c r="P161" s="515"/>
      <c r="Q161" s="371"/>
      <c r="R161" s="371"/>
      <c r="S161" s="371"/>
      <c r="T161" s="371"/>
      <c r="U161" s="29"/>
      <c r="V161" s="30"/>
      <c r="W161" s="30"/>
      <c r="X161" s="29"/>
      <c r="Y161" s="30"/>
      <c r="Z161" s="30"/>
      <c r="AA161" s="299">
        <v>0</v>
      </c>
      <c r="AC161" s="200">
        <v>0</v>
      </c>
      <c r="AE161" s="42"/>
      <c r="AF161" s="42"/>
    </row>
    <row r="162" spans="1:32" s="19" customFormat="1" x14ac:dyDescent="0.2">
      <c r="B162" s="37" t="s">
        <v>1053</v>
      </c>
      <c r="C162" s="172" t="s">
        <v>126</v>
      </c>
      <c r="D162" s="172"/>
      <c r="F162" s="172"/>
      <c r="G162" s="172"/>
      <c r="H162" s="245"/>
      <c r="I162" s="245"/>
      <c r="J162" s="172"/>
      <c r="K162" s="172"/>
      <c r="L162" s="172"/>
      <c r="M162" s="200">
        <v>0</v>
      </c>
      <c r="N162" s="515"/>
      <c r="O162" s="515"/>
      <c r="P162" s="515"/>
      <c r="Q162" s="371"/>
      <c r="R162" s="371"/>
      <c r="S162" s="371"/>
      <c r="T162" s="371"/>
      <c r="U162" s="29"/>
      <c r="V162" s="30"/>
      <c r="W162" s="30"/>
      <c r="X162" s="29"/>
      <c r="Y162" s="30"/>
      <c r="Z162" s="30"/>
      <c r="AA162" s="299">
        <v>0</v>
      </c>
      <c r="AC162" s="200">
        <v>1</v>
      </c>
      <c r="AE162" s="42"/>
      <c r="AF162" s="42"/>
    </row>
    <row r="163" spans="1:32" s="19" customFormat="1" x14ac:dyDescent="0.2">
      <c r="B163" s="37" t="s">
        <v>1054</v>
      </c>
      <c r="C163" s="172" t="s">
        <v>126</v>
      </c>
      <c r="D163" s="172"/>
      <c r="F163" s="172"/>
      <c r="G163" s="172"/>
      <c r="H163" s="245"/>
      <c r="I163" s="245"/>
      <c r="J163" s="172"/>
      <c r="K163" s="172"/>
      <c r="L163" s="172"/>
      <c r="M163" s="200">
        <v>0</v>
      </c>
      <c r="N163" s="515"/>
      <c r="O163" s="515"/>
      <c r="P163" s="515"/>
      <c r="Q163" s="371"/>
      <c r="R163" s="371"/>
      <c r="S163" s="371"/>
      <c r="T163" s="371"/>
      <c r="U163" s="29"/>
      <c r="V163" s="30"/>
      <c r="W163" s="30"/>
      <c r="X163" s="29"/>
      <c r="Y163" s="30"/>
      <c r="Z163" s="30"/>
      <c r="AA163" s="299">
        <v>0</v>
      </c>
      <c r="AC163" s="200">
        <v>1</v>
      </c>
      <c r="AE163" s="42"/>
      <c r="AF163" s="42"/>
    </row>
    <row r="164" spans="1:32" s="19" customFormat="1" x14ac:dyDescent="0.2">
      <c r="B164" s="37" t="s">
        <v>1055</v>
      </c>
      <c r="C164" s="172" t="s">
        <v>126</v>
      </c>
      <c r="D164" s="172"/>
      <c r="F164" s="172"/>
      <c r="G164" s="172"/>
      <c r="H164" s="245"/>
      <c r="I164" s="245"/>
      <c r="J164" s="172"/>
      <c r="K164" s="172"/>
      <c r="L164" s="172"/>
      <c r="M164" s="200">
        <v>1</v>
      </c>
      <c r="N164" s="515"/>
      <c r="O164" s="515"/>
      <c r="P164" s="515"/>
      <c r="Q164" s="371"/>
      <c r="R164" s="371"/>
      <c r="S164" s="371"/>
      <c r="T164" s="371"/>
      <c r="U164" s="29"/>
      <c r="V164" s="30"/>
      <c r="W164" s="30"/>
      <c r="X164" s="29"/>
      <c r="Y164" s="30"/>
      <c r="Z164" s="30"/>
      <c r="AA164" s="299">
        <v>0</v>
      </c>
      <c r="AC164" s="200">
        <v>1</v>
      </c>
      <c r="AE164" s="42"/>
      <c r="AF164" s="42"/>
    </row>
    <row r="165" spans="1:32" s="19" customFormat="1" x14ac:dyDescent="0.2">
      <c r="B165" s="37" t="s">
        <v>1056</v>
      </c>
      <c r="C165" s="172"/>
      <c r="D165" s="172"/>
      <c r="F165" s="172"/>
      <c r="G165" s="172"/>
      <c r="H165" s="245"/>
      <c r="I165" s="245"/>
      <c r="J165" s="172"/>
      <c r="K165" s="172"/>
      <c r="L165" s="172"/>
      <c r="M165" s="200">
        <v>1</v>
      </c>
      <c r="N165" s="515"/>
      <c r="O165" s="515"/>
      <c r="P165" s="515"/>
      <c r="Q165" s="371"/>
      <c r="R165" s="371"/>
      <c r="S165" s="371"/>
      <c r="T165" s="371"/>
      <c r="U165" s="29"/>
      <c r="V165" s="30"/>
      <c r="W165" s="30"/>
      <c r="X165" s="29"/>
      <c r="Y165" s="30"/>
      <c r="Z165" s="30"/>
      <c r="AA165" s="299">
        <v>0</v>
      </c>
      <c r="AC165" s="200">
        <v>1</v>
      </c>
      <c r="AE165" s="42"/>
      <c r="AF165" s="42"/>
    </row>
    <row r="166" spans="1:32" s="19" customFormat="1" x14ac:dyDescent="0.2">
      <c r="B166" s="37" t="s">
        <v>1057</v>
      </c>
      <c r="C166" s="172"/>
      <c r="D166" s="172"/>
      <c r="F166" s="172"/>
      <c r="G166" s="172"/>
      <c r="H166" s="245"/>
      <c r="I166" s="245"/>
      <c r="J166" s="172"/>
      <c r="K166" s="172"/>
      <c r="L166" s="172"/>
      <c r="M166" s="200" t="s">
        <v>1058</v>
      </c>
      <c r="N166" s="515"/>
      <c r="O166" s="515"/>
      <c r="P166" s="515"/>
      <c r="Q166" s="371"/>
      <c r="R166" s="371"/>
      <c r="S166" s="371"/>
      <c r="T166" s="371"/>
      <c r="U166" s="29"/>
      <c r="V166" s="30"/>
      <c r="W166" s="30"/>
      <c r="X166" s="29"/>
      <c r="Y166" s="30"/>
      <c r="Z166" s="30"/>
      <c r="AA166" s="299">
        <v>0</v>
      </c>
      <c r="AC166" s="200">
        <v>1</v>
      </c>
      <c r="AE166" s="42"/>
      <c r="AF166" s="42"/>
    </row>
    <row r="167" spans="1:32" s="19" customFormat="1" x14ac:dyDescent="0.2">
      <c r="B167" s="37" t="s">
        <v>1059</v>
      </c>
      <c r="C167" s="172"/>
      <c r="D167" s="172"/>
      <c r="E167" s="233"/>
      <c r="F167" s="172"/>
      <c r="G167" s="172"/>
      <c r="H167" s="245"/>
      <c r="I167" s="245"/>
      <c r="J167" s="172"/>
      <c r="K167" s="172"/>
      <c r="L167" s="172"/>
      <c r="M167" s="200" t="s">
        <v>1058</v>
      </c>
      <c r="N167" s="515"/>
      <c r="O167" s="515"/>
      <c r="P167" s="515"/>
      <c r="Q167" s="371"/>
      <c r="R167" s="371"/>
      <c r="S167" s="371"/>
      <c r="T167" s="371"/>
      <c r="U167" s="29"/>
      <c r="V167" s="30"/>
      <c r="W167" s="30"/>
      <c r="X167" s="29"/>
      <c r="Y167" s="30"/>
      <c r="Z167" s="30"/>
      <c r="AA167" s="299">
        <v>0</v>
      </c>
      <c r="AC167" s="200">
        <v>0</v>
      </c>
      <c r="AE167" s="42"/>
      <c r="AF167" s="42"/>
    </row>
    <row r="168" spans="1:32" s="19" customFormat="1" x14ac:dyDescent="0.2">
      <c r="B168" s="37" t="s">
        <v>1060</v>
      </c>
      <c r="C168" s="188" t="s">
        <v>1061</v>
      </c>
      <c r="D168" s="172"/>
      <c r="F168" s="172"/>
      <c r="G168" s="172"/>
      <c r="H168" s="245"/>
      <c r="I168" s="245"/>
      <c r="J168" s="172"/>
      <c r="K168" s="172"/>
      <c r="L168" s="172"/>
      <c r="M168" s="200">
        <v>1</v>
      </c>
      <c r="N168" s="515"/>
      <c r="O168" s="515"/>
      <c r="P168" s="515"/>
      <c r="Q168" s="371"/>
      <c r="R168" s="371"/>
      <c r="S168" s="371"/>
      <c r="T168" s="371"/>
      <c r="U168" s="29"/>
      <c r="V168" s="30"/>
      <c r="W168" s="30"/>
      <c r="X168" s="29"/>
      <c r="Y168" s="30"/>
      <c r="Z168" s="30"/>
      <c r="AA168" s="299">
        <v>0</v>
      </c>
      <c r="AC168" s="200">
        <v>0</v>
      </c>
      <c r="AE168" s="42"/>
      <c r="AF168" s="42"/>
    </row>
    <row r="169" spans="1:32" s="19" customFormat="1" x14ac:dyDescent="0.2">
      <c r="B169" s="37" t="s">
        <v>1060</v>
      </c>
      <c r="C169" s="188" t="s">
        <v>1061</v>
      </c>
      <c r="D169" s="172"/>
      <c r="F169" s="172"/>
      <c r="G169" s="172"/>
      <c r="H169" s="245"/>
      <c r="I169" s="245"/>
      <c r="J169" s="172"/>
      <c r="K169" s="172"/>
      <c r="L169" s="172"/>
      <c r="M169" s="200">
        <v>1</v>
      </c>
      <c r="N169" s="515"/>
      <c r="O169" s="515"/>
      <c r="P169" s="515"/>
      <c r="Q169" s="371"/>
      <c r="R169" s="371"/>
      <c r="S169" s="371"/>
      <c r="T169" s="371"/>
      <c r="U169" s="29"/>
      <c r="V169" s="30"/>
      <c r="W169" s="30"/>
      <c r="X169" s="29"/>
      <c r="Y169" s="30"/>
      <c r="Z169" s="30"/>
      <c r="AA169" s="299">
        <v>0</v>
      </c>
      <c r="AC169" s="200">
        <v>1</v>
      </c>
      <c r="AE169" s="42"/>
      <c r="AF169" s="42"/>
    </row>
    <row r="170" spans="1:32" s="19" customFormat="1" x14ac:dyDescent="0.2">
      <c r="B170" s="37" t="s">
        <v>1062</v>
      </c>
      <c r="C170" s="188" t="s">
        <v>126</v>
      </c>
      <c r="D170" s="172"/>
      <c r="F170" s="172"/>
      <c r="G170" s="172"/>
      <c r="H170" s="245">
        <v>1</v>
      </c>
      <c r="I170" s="245"/>
      <c r="J170" s="172">
        <v>1</v>
      </c>
      <c r="K170" s="172">
        <v>6</v>
      </c>
      <c r="L170" s="172"/>
      <c r="M170" s="200">
        <v>1</v>
      </c>
      <c r="N170" s="515"/>
      <c r="O170" s="515"/>
      <c r="P170" s="515"/>
      <c r="Q170" s="371">
        <f>SUM(M170:M175)/K170</f>
        <v>0.5</v>
      </c>
      <c r="R170" s="371"/>
      <c r="S170" s="371"/>
      <c r="T170" s="371"/>
      <c r="U170" s="29"/>
      <c r="V170" s="30"/>
      <c r="W170" s="30"/>
      <c r="X170" s="29"/>
      <c r="Y170" s="30"/>
      <c r="Z170" s="30"/>
      <c r="AA170" s="299">
        <v>0</v>
      </c>
      <c r="AC170" s="200">
        <v>1</v>
      </c>
      <c r="AE170" s="42"/>
      <c r="AF170" s="42"/>
    </row>
    <row r="171" spans="1:32" s="19" customFormat="1" x14ac:dyDescent="0.2">
      <c r="B171" s="37" t="s">
        <v>1063</v>
      </c>
      <c r="C171" s="188" t="s">
        <v>126</v>
      </c>
      <c r="D171" s="172"/>
      <c r="F171" s="172"/>
      <c r="G171" s="172"/>
      <c r="H171" s="245"/>
      <c r="I171" s="245"/>
      <c r="J171" s="172"/>
      <c r="K171" s="172"/>
      <c r="L171" s="172"/>
      <c r="M171" s="200">
        <v>0</v>
      </c>
      <c r="N171" s="515"/>
      <c r="O171" s="515"/>
      <c r="P171" s="515"/>
      <c r="Q171" s="371"/>
      <c r="R171" s="371"/>
      <c r="S171" s="371"/>
      <c r="T171" s="371"/>
      <c r="U171" s="29"/>
      <c r="V171" s="30"/>
      <c r="W171" s="30"/>
      <c r="X171" s="29"/>
      <c r="Y171" s="30"/>
      <c r="Z171" s="30"/>
      <c r="AA171" s="299">
        <v>0</v>
      </c>
      <c r="AC171" s="200">
        <v>0</v>
      </c>
      <c r="AE171" s="42"/>
      <c r="AF171" s="42"/>
    </row>
    <row r="172" spans="1:32" s="19" customFormat="1" x14ac:dyDescent="0.2">
      <c r="B172" s="37" t="s">
        <v>1064</v>
      </c>
      <c r="C172" s="188" t="s">
        <v>126</v>
      </c>
      <c r="D172" s="172"/>
      <c r="F172" s="172"/>
      <c r="G172" s="172"/>
      <c r="H172" s="245"/>
      <c r="I172" s="245"/>
      <c r="J172" s="172"/>
      <c r="K172" s="172"/>
      <c r="L172" s="172"/>
      <c r="M172" s="200">
        <v>0</v>
      </c>
      <c r="N172" s="515"/>
      <c r="O172" s="515"/>
      <c r="P172" s="515"/>
      <c r="Q172" s="371"/>
      <c r="R172" s="371"/>
      <c r="S172" s="371"/>
      <c r="T172" s="371"/>
      <c r="U172" s="29"/>
      <c r="V172" s="30"/>
      <c r="W172" s="30"/>
      <c r="X172" s="29"/>
      <c r="Y172" s="30"/>
      <c r="Z172" s="30"/>
      <c r="AA172" s="299">
        <v>0</v>
      </c>
      <c r="AC172" s="200">
        <v>1</v>
      </c>
      <c r="AE172" s="42"/>
      <c r="AF172" s="42"/>
    </row>
    <row r="173" spans="1:32" s="19" customFormat="1" x14ac:dyDescent="0.2">
      <c r="B173" s="37" t="s">
        <v>1065</v>
      </c>
      <c r="C173" s="172"/>
      <c r="D173" s="172"/>
      <c r="F173" s="172"/>
      <c r="G173" s="172"/>
      <c r="H173" s="245"/>
      <c r="I173" s="245"/>
      <c r="J173" s="172"/>
      <c r="K173" s="172"/>
      <c r="L173" s="172"/>
      <c r="M173" s="200">
        <v>1</v>
      </c>
      <c r="N173" s="515"/>
      <c r="O173" s="515"/>
      <c r="P173" s="515"/>
      <c r="Q173" s="371" t="s">
        <v>27</v>
      </c>
      <c r="R173" s="371"/>
      <c r="S173" s="371"/>
      <c r="T173" s="371"/>
      <c r="U173" s="29"/>
      <c r="V173" s="30"/>
      <c r="W173" s="30"/>
      <c r="X173" s="29"/>
      <c r="Y173" s="30"/>
      <c r="Z173" s="30"/>
      <c r="AA173" s="299">
        <v>0</v>
      </c>
      <c r="AC173" s="200">
        <v>1</v>
      </c>
      <c r="AE173" s="42"/>
      <c r="AF173" s="42"/>
    </row>
    <row r="174" spans="1:32" s="19" customFormat="1" x14ac:dyDescent="0.2">
      <c r="A174" s="19" t="s">
        <v>27</v>
      </c>
      <c r="B174" s="37" t="s">
        <v>1066</v>
      </c>
      <c r="C174" s="172"/>
      <c r="D174" s="172"/>
      <c r="F174" s="172"/>
      <c r="G174" s="172"/>
      <c r="H174" s="245" t="s">
        <v>27</v>
      </c>
      <c r="I174" s="245"/>
      <c r="J174" s="172"/>
      <c r="K174" s="172"/>
      <c r="L174" s="172"/>
      <c r="M174" s="200">
        <v>1</v>
      </c>
      <c r="N174" s="515"/>
      <c r="O174" s="515"/>
      <c r="P174" s="515"/>
      <c r="Q174" s="371"/>
      <c r="R174" s="371"/>
      <c r="S174" s="371"/>
      <c r="T174" s="371"/>
      <c r="U174" s="29"/>
      <c r="V174" s="30"/>
      <c r="W174" s="30"/>
      <c r="X174" s="29"/>
      <c r="Y174" s="30"/>
      <c r="Z174" s="30"/>
      <c r="AA174" s="299">
        <v>0</v>
      </c>
      <c r="AC174" s="200">
        <v>1</v>
      </c>
      <c r="AE174" s="42"/>
      <c r="AF174" s="42"/>
    </row>
    <row r="175" spans="1:32" s="19" customFormat="1" x14ac:dyDescent="0.2">
      <c r="A175" s="19" t="s">
        <v>27</v>
      </c>
      <c r="B175" s="37" t="s">
        <v>1067</v>
      </c>
      <c r="C175" s="172"/>
      <c r="D175" s="172"/>
      <c r="F175" s="172"/>
      <c r="G175" s="172"/>
      <c r="H175" s="245" t="s">
        <v>27</v>
      </c>
      <c r="I175" s="245"/>
      <c r="J175" s="172"/>
      <c r="K175" s="172"/>
      <c r="L175" s="172"/>
      <c r="M175" s="200">
        <v>0</v>
      </c>
      <c r="N175" s="515"/>
      <c r="O175" s="515"/>
      <c r="P175" s="515"/>
      <c r="Q175" s="371"/>
      <c r="R175" s="371"/>
      <c r="S175" s="371"/>
      <c r="T175" s="371"/>
      <c r="U175" s="29"/>
      <c r="V175" s="30"/>
      <c r="W175" s="30"/>
      <c r="X175" s="29"/>
      <c r="Y175" s="30"/>
      <c r="Z175" s="30"/>
      <c r="AA175" s="299">
        <v>0</v>
      </c>
      <c r="AC175" s="200">
        <v>1</v>
      </c>
      <c r="AE175" s="42"/>
      <c r="AF175" s="42"/>
    </row>
    <row r="176" spans="1:32" s="19" customFormat="1" x14ac:dyDescent="0.2">
      <c r="A176" s="19">
        <v>3</v>
      </c>
      <c r="B176" s="37" t="s">
        <v>1068</v>
      </c>
      <c r="C176" s="172" t="s">
        <v>126</v>
      </c>
      <c r="D176" s="172" t="s">
        <v>1038</v>
      </c>
      <c r="F176" s="172"/>
      <c r="G176" s="172">
        <v>1</v>
      </c>
      <c r="H176" s="245">
        <v>1</v>
      </c>
      <c r="I176" s="245"/>
      <c r="J176" s="172">
        <v>1</v>
      </c>
      <c r="K176" s="172">
        <v>6</v>
      </c>
      <c r="L176" s="172"/>
      <c r="M176" s="200">
        <v>1</v>
      </c>
      <c r="N176" s="515"/>
      <c r="O176" s="515"/>
      <c r="P176" s="515"/>
      <c r="Q176" s="371">
        <v>1</v>
      </c>
      <c r="R176" s="371"/>
      <c r="S176" s="371"/>
      <c r="T176" s="371"/>
      <c r="U176" s="29"/>
      <c r="V176" s="30"/>
      <c r="W176" s="30"/>
      <c r="X176" s="29"/>
      <c r="Y176" s="30"/>
      <c r="Z176" s="30"/>
      <c r="AA176" s="299">
        <v>1</v>
      </c>
      <c r="AC176" s="200">
        <v>1</v>
      </c>
      <c r="AE176" s="42"/>
      <c r="AF176" s="42"/>
    </row>
    <row r="177" spans="1:32" s="19" customFormat="1" x14ac:dyDescent="0.2">
      <c r="B177" s="37" t="s">
        <v>1069</v>
      </c>
      <c r="C177" s="172" t="s">
        <v>126</v>
      </c>
      <c r="D177" s="172" t="s">
        <v>1038</v>
      </c>
      <c r="F177" s="172"/>
      <c r="G177" s="172"/>
      <c r="H177" s="245"/>
      <c r="I177" s="245"/>
      <c r="J177" s="172"/>
      <c r="K177" s="172"/>
      <c r="L177" s="172"/>
      <c r="M177" s="200">
        <v>1</v>
      </c>
      <c r="N177" s="515"/>
      <c r="O177" s="515"/>
      <c r="P177" s="515"/>
      <c r="Q177" s="371"/>
      <c r="R177" s="371"/>
      <c r="S177" s="371"/>
      <c r="T177" s="371"/>
      <c r="U177" s="29"/>
      <c r="V177" s="30"/>
      <c r="W177" s="30"/>
      <c r="X177" s="29"/>
      <c r="Y177" s="30"/>
      <c r="Z177" s="30"/>
      <c r="AA177" s="299">
        <v>1</v>
      </c>
      <c r="AC177" s="200">
        <v>1</v>
      </c>
      <c r="AE177" s="42"/>
      <c r="AF177" s="42"/>
    </row>
    <row r="178" spans="1:32" s="19" customFormat="1" x14ac:dyDescent="0.2">
      <c r="B178" s="37" t="s">
        <v>1070</v>
      </c>
      <c r="C178" s="172" t="s">
        <v>126</v>
      </c>
      <c r="D178" s="172" t="s">
        <v>1038</v>
      </c>
      <c r="F178" s="172"/>
      <c r="G178" s="172"/>
      <c r="H178" s="245"/>
      <c r="I178" s="245"/>
      <c r="J178" s="172"/>
      <c r="K178" s="172"/>
      <c r="L178" s="172"/>
      <c r="M178" s="200">
        <v>1</v>
      </c>
      <c r="N178" s="515"/>
      <c r="O178" s="515"/>
      <c r="P178" s="515"/>
      <c r="Q178" s="371"/>
      <c r="R178" s="371"/>
      <c r="S178" s="371"/>
      <c r="T178" s="371"/>
      <c r="U178" s="29"/>
      <c r="V178" s="30"/>
      <c r="W178" s="30"/>
      <c r="X178" s="29"/>
      <c r="Y178" s="30"/>
      <c r="Z178" s="30"/>
      <c r="AA178" s="299">
        <v>0</v>
      </c>
      <c r="AC178" s="200">
        <v>1</v>
      </c>
      <c r="AE178" s="42"/>
      <c r="AF178" s="42"/>
    </row>
    <row r="179" spans="1:32" s="19" customFormat="1" x14ac:dyDescent="0.2">
      <c r="B179" s="37" t="s">
        <v>1071</v>
      </c>
      <c r="C179" s="172"/>
      <c r="D179" s="172"/>
      <c r="F179" s="172"/>
      <c r="G179" s="172"/>
      <c r="H179" s="245" t="s">
        <v>27</v>
      </c>
      <c r="I179" s="245"/>
      <c r="J179" s="172" t="s">
        <v>27</v>
      </c>
      <c r="K179" s="172" t="s">
        <v>27</v>
      </c>
      <c r="L179" s="172"/>
      <c r="M179" s="200">
        <v>1</v>
      </c>
      <c r="N179" s="515"/>
      <c r="O179" s="515"/>
      <c r="P179" s="515"/>
      <c r="Q179" s="371"/>
      <c r="R179" s="371"/>
      <c r="S179" s="371"/>
      <c r="T179" s="371"/>
      <c r="U179" s="29"/>
      <c r="V179" s="30"/>
      <c r="W179" s="30"/>
      <c r="X179" s="29"/>
      <c r="Y179" s="30"/>
      <c r="Z179" s="30"/>
      <c r="AA179" s="299">
        <v>0</v>
      </c>
      <c r="AC179" s="200">
        <v>1</v>
      </c>
      <c r="AE179" s="42"/>
      <c r="AF179" s="42"/>
    </row>
    <row r="180" spans="1:32" s="19" customFormat="1" x14ac:dyDescent="0.2">
      <c r="B180" s="37" t="s">
        <v>1072</v>
      </c>
      <c r="C180" s="172"/>
      <c r="D180" s="172"/>
      <c r="F180" s="172"/>
      <c r="G180" s="172"/>
      <c r="H180" s="245"/>
      <c r="I180" s="245"/>
      <c r="J180" s="172"/>
      <c r="K180" s="172"/>
      <c r="L180" s="172"/>
      <c r="M180" s="200">
        <v>1</v>
      </c>
      <c r="N180" s="515"/>
      <c r="O180" s="515"/>
      <c r="P180" s="515"/>
      <c r="Q180" s="371"/>
      <c r="R180" s="371"/>
      <c r="S180" s="371"/>
      <c r="T180" s="371"/>
      <c r="U180" s="29"/>
      <c r="V180" s="30"/>
      <c r="W180" s="30"/>
      <c r="X180" s="29"/>
      <c r="Y180" s="30"/>
      <c r="Z180" s="30"/>
      <c r="AA180" s="299">
        <v>0</v>
      </c>
      <c r="AC180" s="200" t="s">
        <v>347</v>
      </c>
      <c r="AE180" s="42"/>
      <c r="AF180" s="42"/>
    </row>
    <row r="181" spans="1:32" s="19" customFormat="1" x14ac:dyDescent="0.2">
      <c r="B181" s="37" t="s">
        <v>1073</v>
      </c>
      <c r="C181" s="172"/>
      <c r="D181" s="172"/>
      <c r="F181" s="172"/>
      <c r="G181" s="172"/>
      <c r="H181" s="245"/>
      <c r="I181" s="245"/>
      <c r="J181" s="172"/>
      <c r="K181" s="172"/>
      <c r="L181" s="172"/>
      <c r="M181" s="200">
        <v>1</v>
      </c>
      <c r="N181" s="515"/>
      <c r="O181" s="515"/>
      <c r="P181" s="515"/>
      <c r="Q181" s="371"/>
      <c r="R181" s="371"/>
      <c r="S181" s="371"/>
      <c r="T181" s="371"/>
      <c r="U181" s="29"/>
      <c r="V181" s="30"/>
      <c r="W181" s="30"/>
      <c r="X181" s="29"/>
      <c r="Y181" s="30"/>
      <c r="Z181" s="30"/>
      <c r="AA181" s="299" t="s">
        <v>347</v>
      </c>
      <c r="AC181" s="200">
        <v>1</v>
      </c>
      <c r="AE181" s="42"/>
      <c r="AF181" s="42"/>
    </row>
    <row r="182" spans="1:32" s="19" customFormat="1" x14ac:dyDescent="0.2">
      <c r="B182" s="37" t="s">
        <v>1074</v>
      </c>
      <c r="C182" s="172"/>
      <c r="D182" s="172"/>
      <c r="F182" s="172"/>
      <c r="G182" s="172"/>
      <c r="H182" s="245">
        <v>1</v>
      </c>
      <c r="I182" s="245"/>
      <c r="J182" s="172">
        <v>1</v>
      </c>
      <c r="K182" s="172">
        <v>2</v>
      </c>
      <c r="L182" s="172"/>
      <c r="M182" s="200">
        <v>1</v>
      </c>
      <c r="N182" s="515"/>
      <c r="O182" s="515"/>
      <c r="P182" s="515"/>
      <c r="Q182" s="371">
        <v>1</v>
      </c>
      <c r="R182" s="371"/>
      <c r="S182" s="371"/>
      <c r="T182" s="371"/>
      <c r="U182" s="29"/>
      <c r="V182" s="30"/>
      <c r="W182" s="30"/>
      <c r="X182" s="29"/>
      <c r="Y182" s="30"/>
      <c r="Z182" s="30"/>
      <c r="AA182" s="299">
        <v>0</v>
      </c>
      <c r="AC182" s="200">
        <v>1</v>
      </c>
      <c r="AE182" s="42"/>
      <c r="AF182" s="42"/>
    </row>
    <row r="183" spans="1:32" s="19" customFormat="1" x14ac:dyDescent="0.2">
      <c r="B183" s="37" t="s">
        <v>1075</v>
      </c>
      <c r="C183" s="172"/>
      <c r="D183" s="172"/>
      <c r="F183" s="172"/>
      <c r="G183" s="172"/>
      <c r="H183" s="245" t="s">
        <v>27</v>
      </c>
      <c r="I183" s="245"/>
      <c r="J183" s="172"/>
      <c r="K183" s="172"/>
      <c r="L183" s="172"/>
      <c r="M183" s="200">
        <v>1</v>
      </c>
      <c r="N183" s="515"/>
      <c r="O183" s="515"/>
      <c r="P183" s="515"/>
      <c r="Q183" s="371"/>
      <c r="R183" s="371"/>
      <c r="S183" s="371"/>
      <c r="T183" s="371"/>
      <c r="U183" s="29"/>
      <c r="V183" s="30"/>
      <c r="W183" s="30"/>
      <c r="X183" s="29"/>
      <c r="Y183" s="30"/>
      <c r="Z183" s="30"/>
      <c r="AA183" s="299">
        <v>0</v>
      </c>
      <c r="AC183" s="200">
        <v>1</v>
      </c>
      <c r="AE183" s="42"/>
      <c r="AF183" s="42"/>
    </row>
    <row r="184" spans="1:32" s="19" customFormat="1" x14ac:dyDescent="0.2">
      <c r="B184" s="37" t="s">
        <v>1076</v>
      </c>
      <c r="C184" s="172"/>
      <c r="D184" s="172"/>
      <c r="F184" s="172"/>
      <c r="G184" s="172"/>
      <c r="H184" s="245" t="s">
        <v>27</v>
      </c>
      <c r="I184" s="245"/>
      <c r="J184" s="172"/>
      <c r="K184" s="172"/>
      <c r="L184" s="172"/>
      <c r="M184" s="200" t="s">
        <v>347</v>
      </c>
      <c r="N184" s="515"/>
      <c r="O184" s="515"/>
      <c r="P184" s="515"/>
      <c r="Q184" s="371"/>
      <c r="R184" s="371"/>
      <c r="S184" s="371"/>
      <c r="T184" s="371"/>
      <c r="U184" s="29"/>
      <c r="V184" s="30"/>
      <c r="W184" s="30"/>
      <c r="X184" s="29"/>
      <c r="Y184" s="30"/>
      <c r="Z184" s="30"/>
      <c r="AA184" s="299">
        <v>0</v>
      </c>
      <c r="AC184" s="200">
        <v>1</v>
      </c>
      <c r="AE184" s="42"/>
      <c r="AF184" s="42"/>
    </row>
    <row r="185" spans="1:32" s="19" customFormat="1" x14ac:dyDescent="0.2">
      <c r="B185" s="37" t="s">
        <v>1077</v>
      </c>
      <c r="C185" s="172" t="s">
        <v>126</v>
      </c>
      <c r="D185" s="172"/>
      <c r="F185" s="172"/>
      <c r="G185" s="172"/>
      <c r="H185" s="245">
        <v>1</v>
      </c>
      <c r="I185" s="245"/>
      <c r="J185" s="172">
        <v>1</v>
      </c>
      <c r="K185" s="172">
        <v>4</v>
      </c>
      <c r="L185" s="172"/>
      <c r="M185" s="200">
        <v>1</v>
      </c>
      <c r="N185" s="515"/>
      <c r="O185" s="515"/>
      <c r="P185" s="515"/>
      <c r="Q185" s="371">
        <v>1</v>
      </c>
      <c r="R185" s="371"/>
      <c r="S185" s="371"/>
      <c r="T185" s="371"/>
      <c r="U185" s="29"/>
      <c r="V185" s="30"/>
      <c r="W185" s="30"/>
      <c r="X185" s="29"/>
      <c r="Y185" s="30"/>
      <c r="Z185" s="30"/>
      <c r="AA185" s="299">
        <v>0</v>
      </c>
      <c r="AC185" s="200">
        <v>1</v>
      </c>
      <c r="AE185" s="42"/>
      <c r="AF185" s="42"/>
    </row>
    <row r="186" spans="1:32" s="19" customFormat="1" x14ac:dyDescent="0.2">
      <c r="B186" s="37" t="s">
        <v>1078</v>
      </c>
      <c r="C186" s="188" t="s">
        <v>126</v>
      </c>
      <c r="D186" s="172"/>
      <c r="F186" s="172"/>
      <c r="G186" s="172"/>
      <c r="H186" s="245" t="s">
        <v>27</v>
      </c>
      <c r="I186" s="245"/>
      <c r="J186" s="172" t="s">
        <v>27</v>
      </c>
      <c r="K186" s="172" t="s">
        <v>27</v>
      </c>
      <c r="L186" s="172"/>
      <c r="M186" s="200">
        <v>1</v>
      </c>
      <c r="N186" s="515"/>
      <c r="O186" s="515"/>
      <c r="P186" s="515"/>
      <c r="Q186" s="371"/>
      <c r="R186" s="371"/>
      <c r="S186" s="371"/>
      <c r="T186" s="371"/>
      <c r="U186" s="29"/>
      <c r="V186" s="30"/>
      <c r="W186" s="30"/>
      <c r="X186" s="29"/>
      <c r="Y186" s="30"/>
      <c r="Z186" s="30"/>
      <c r="AA186" s="299">
        <v>0</v>
      </c>
      <c r="AC186" s="200">
        <v>1</v>
      </c>
      <c r="AE186" s="42"/>
      <c r="AF186" s="42"/>
    </row>
    <row r="187" spans="1:32" s="19" customFormat="1" x14ac:dyDescent="0.2">
      <c r="A187" s="19" t="s">
        <v>27</v>
      </c>
      <c r="B187" s="37" t="s">
        <v>1079</v>
      </c>
      <c r="C187" s="188" t="s">
        <v>126</v>
      </c>
      <c r="D187" s="172"/>
      <c r="F187" s="172"/>
      <c r="G187" s="172"/>
      <c r="H187" s="245" t="s">
        <v>27</v>
      </c>
      <c r="I187" s="245"/>
      <c r="J187" s="172"/>
      <c r="K187" s="172"/>
      <c r="L187" s="172"/>
      <c r="M187" s="200">
        <v>1</v>
      </c>
      <c r="N187" s="515"/>
      <c r="O187" s="515"/>
      <c r="P187" s="515"/>
      <c r="Q187" s="371"/>
      <c r="R187" s="371"/>
      <c r="S187" s="371"/>
      <c r="T187" s="371"/>
      <c r="U187" s="29"/>
      <c r="V187" s="30"/>
      <c r="W187" s="30"/>
      <c r="X187" s="29"/>
      <c r="Y187" s="30"/>
      <c r="Z187" s="30"/>
      <c r="AA187" s="299">
        <v>0</v>
      </c>
      <c r="AC187" s="200">
        <v>1</v>
      </c>
      <c r="AE187" s="42"/>
      <c r="AF187" s="42"/>
    </row>
    <row r="188" spans="1:32" s="19" customFormat="1" x14ac:dyDescent="0.2">
      <c r="B188" s="37" t="s">
        <v>1080</v>
      </c>
      <c r="C188" s="188" t="s">
        <v>126</v>
      </c>
      <c r="D188" s="172"/>
      <c r="E188" s="37"/>
      <c r="F188" s="172"/>
      <c r="G188" s="172"/>
      <c r="H188" s="245" t="s">
        <v>27</v>
      </c>
      <c r="I188" s="245"/>
      <c r="J188" s="172"/>
      <c r="K188" s="172"/>
      <c r="L188" s="172"/>
      <c r="M188" s="200">
        <v>1</v>
      </c>
      <c r="N188" s="515"/>
      <c r="O188" s="515"/>
      <c r="P188" s="515"/>
      <c r="Q188" s="371"/>
      <c r="R188" s="371"/>
      <c r="S188" s="371"/>
      <c r="T188" s="371"/>
      <c r="U188" s="29"/>
      <c r="V188" s="30"/>
      <c r="W188" s="30"/>
      <c r="X188" s="29"/>
      <c r="Y188" s="30"/>
      <c r="Z188" s="30"/>
      <c r="AA188" s="299">
        <v>0</v>
      </c>
      <c r="AC188" s="200">
        <v>1</v>
      </c>
      <c r="AE188" s="42"/>
      <c r="AF188" s="42"/>
    </row>
    <row r="189" spans="1:32" s="284" customFormat="1" x14ac:dyDescent="0.2">
      <c r="A189" s="280" t="s">
        <v>18</v>
      </c>
      <c r="B189" s="280" t="s">
        <v>19</v>
      </c>
      <c r="C189" s="279"/>
      <c r="D189" s="279"/>
      <c r="E189" s="273"/>
      <c r="F189" s="279">
        <v>3</v>
      </c>
      <c r="G189" s="276">
        <f>SUM(G190:G263)/F189</f>
        <v>1</v>
      </c>
      <c r="H189" s="290">
        <f>SUM(H190:H263)</f>
        <v>11</v>
      </c>
      <c r="I189" s="294">
        <f>SUM(J190:J263)/H189</f>
        <v>1</v>
      </c>
      <c r="J189" s="292">
        <f>SUM(J190:J263)</f>
        <v>11</v>
      </c>
      <c r="K189" s="287">
        <f>SUM(K190:K263)</f>
        <v>73</v>
      </c>
      <c r="L189" s="291">
        <f>SUM(M190:M263)/K189</f>
        <v>0.78082191780821919</v>
      </c>
      <c r="M189" s="292">
        <f>SUM(M190:M263)</f>
        <v>57</v>
      </c>
      <c r="N189" s="514"/>
      <c r="O189" s="514"/>
      <c r="P189" s="514"/>
      <c r="Q189" s="381">
        <f>((Q190*K190)+(Q198*K198)+(Q213*K213)+(Q218*K218)+(Q224*K224)+(Q236*K236)+(Q245*K245)+(Q247*K247)+(Q257*K257)+(Q262*K262))/K189</f>
        <v>0.72602739726027399</v>
      </c>
      <c r="R189" s="381"/>
      <c r="S189" s="381">
        <f>_xlfn.STDEV.P(R190:R199)</f>
        <v>0.19504985117770424</v>
      </c>
      <c r="T189" s="381">
        <f>+T202</f>
        <v>6.8704563348032183E-2</v>
      </c>
      <c r="U189" s="543">
        <f>COUNTA(U190:U263)</f>
        <v>11</v>
      </c>
      <c r="V189" s="543">
        <f>COUNTA(V190:V263)</f>
        <v>0</v>
      </c>
      <c r="W189" s="543">
        <f t="shared" ref="W189:Z189" si="4">COUNTA(W190:W263)</f>
        <v>8</v>
      </c>
      <c r="X189" s="543">
        <f t="shared" si="4"/>
        <v>5</v>
      </c>
      <c r="Y189" s="543">
        <f>COUNTA(Y190:Y263)</f>
        <v>0</v>
      </c>
      <c r="Z189" s="543">
        <f t="shared" si="4"/>
        <v>7</v>
      </c>
      <c r="AA189" s="316">
        <f>SUM(AA190:AA263)/K189</f>
        <v>9.5890410958904104E-2</v>
      </c>
      <c r="AC189" s="200">
        <v>1</v>
      </c>
      <c r="AD189" s="284">
        <f>+U189/M189</f>
        <v>0.19298245614035087</v>
      </c>
      <c r="AE189" s="328"/>
      <c r="AF189" s="328"/>
    </row>
    <row r="190" spans="1:32" s="37" customFormat="1" x14ac:dyDescent="0.2">
      <c r="B190" s="62" t="s">
        <v>1081</v>
      </c>
      <c r="C190" s="170" t="s">
        <v>126</v>
      </c>
      <c r="D190" s="170"/>
      <c r="F190" s="170"/>
      <c r="G190" s="170">
        <v>1</v>
      </c>
      <c r="H190" s="244">
        <v>1</v>
      </c>
      <c r="I190" s="244"/>
      <c r="J190" s="170">
        <v>1</v>
      </c>
      <c r="K190" s="170">
        <v>8</v>
      </c>
      <c r="L190" s="170"/>
      <c r="M190" s="200">
        <v>1</v>
      </c>
      <c r="N190" s="614">
        <f>AVERAGE(M190:M263)</f>
        <v>0.78082191780821919</v>
      </c>
      <c r="O190" s="614">
        <f>_xlfn.STDEV.P(M190:M263)</f>
        <v>0.4136895580970274</v>
      </c>
      <c r="P190" s="615">
        <f>STDEV(M190:M263)/(SQRT(COUNT(M190:M263)))</f>
        <v>4.875378197274572E-2</v>
      </c>
      <c r="Q190" s="371">
        <v>1</v>
      </c>
      <c r="R190" s="371">
        <f>+Q190</f>
        <v>1</v>
      </c>
      <c r="S190" s="371"/>
      <c r="T190" s="371"/>
      <c r="U190" s="126" t="s">
        <v>27</v>
      </c>
      <c r="V190" s="127"/>
      <c r="W190" s="127"/>
      <c r="X190" s="126"/>
      <c r="Y190" s="127"/>
      <c r="Z190" s="127"/>
      <c r="AA190" s="299">
        <v>0</v>
      </c>
      <c r="AC190" s="200">
        <v>1</v>
      </c>
      <c r="AE190" s="42"/>
      <c r="AF190" s="42"/>
    </row>
    <row r="191" spans="1:32" s="37" customFormat="1" x14ac:dyDescent="0.2">
      <c r="B191" s="62" t="s">
        <v>1082</v>
      </c>
      <c r="C191" s="170" t="s">
        <v>126</v>
      </c>
      <c r="D191" s="170"/>
      <c r="F191" s="170"/>
      <c r="G191" s="170"/>
      <c r="H191" s="244"/>
      <c r="I191" s="244"/>
      <c r="J191" s="170"/>
      <c r="K191" s="170"/>
      <c r="L191" s="170"/>
      <c r="M191" s="541">
        <v>1</v>
      </c>
      <c r="N191" s="515"/>
      <c r="O191" s="515"/>
      <c r="P191" s="515"/>
      <c r="Q191" s="371"/>
      <c r="R191" s="371">
        <f>+Q198</f>
        <v>0.88888888888888884</v>
      </c>
      <c r="S191" s="371"/>
      <c r="T191" s="371"/>
      <c r="U191" s="126" t="s">
        <v>92</v>
      </c>
      <c r="V191" s="127"/>
      <c r="W191" s="127"/>
      <c r="X191" s="126" t="s">
        <v>92</v>
      </c>
      <c r="Y191" s="127"/>
      <c r="Z191" s="127"/>
      <c r="AA191" s="299">
        <v>0</v>
      </c>
      <c r="AC191" s="200">
        <v>1</v>
      </c>
      <c r="AE191" s="42"/>
      <c r="AF191" s="42"/>
    </row>
    <row r="192" spans="1:32" s="37" customFormat="1" x14ac:dyDescent="0.2">
      <c r="B192" s="62" t="s">
        <v>1083</v>
      </c>
      <c r="C192" s="170" t="s">
        <v>126</v>
      </c>
      <c r="D192" s="170"/>
      <c r="F192" s="170"/>
      <c r="G192" s="170"/>
      <c r="H192" s="244"/>
      <c r="I192" s="244"/>
      <c r="J192" s="170"/>
      <c r="K192" s="170"/>
      <c r="L192" s="170"/>
      <c r="M192" s="541">
        <v>1</v>
      </c>
      <c r="N192" s="515"/>
      <c r="O192" s="515"/>
      <c r="P192" s="515"/>
      <c r="Q192" s="371"/>
      <c r="R192" s="371">
        <f>+Q207</f>
        <v>0.66666666666666663</v>
      </c>
      <c r="S192" s="371"/>
      <c r="T192" s="371"/>
      <c r="U192" s="126"/>
      <c r="V192" s="127"/>
      <c r="W192" s="127" t="s">
        <v>94</v>
      </c>
      <c r="X192" s="126"/>
      <c r="Y192" s="127"/>
      <c r="Z192" s="127" t="s">
        <v>94</v>
      </c>
      <c r="AA192" s="299">
        <v>0</v>
      </c>
      <c r="AC192" s="200">
        <v>1</v>
      </c>
      <c r="AE192" s="42"/>
      <c r="AF192" s="42"/>
    </row>
    <row r="193" spans="2:32" s="37" customFormat="1" x14ac:dyDescent="0.2">
      <c r="B193" s="62" t="s">
        <v>1084</v>
      </c>
      <c r="C193" s="170" t="s">
        <v>126</v>
      </c>
      <c r="D193" s="170"/>
      <c r="F193" s="170"/>
      <c r="G193" s="170"/>
      <c r="H193" s="244"/>
      <c r="I193" s="244"/>
      <c r="J193" s="170"/>
      <c r="K193" s="170"/>
      <c r="L193" s="170"/>
      <c r="M193" s="200">
        <v>1</v>
      </c>
      <c r="N193" s="515"/>
      <c r="O193" s="515"/>
      <c r="P193" s="515"/>
      <c r="Q193" s="371"/>
      <c r="R193" s="371">
        <f>+Q213</f>
        <v>0.8</v>
      </c>
      <c r="S193" s="371"/>
      <c r="T193" s="371"/>
      <c r="U193" s="126"/>
      <c r="V193" s="127"/>
      <c r="W193" s="127"/>
      <c r="X193" s="126"/>
      <c r="Y193" s="127"/>
      <c r="Z193" s="127"/>
      <c r="AA193" s="299">
        <v>0</v>
      </c>
      <c r="AC193" s="200">
        <v>1</v>
      </c>
      <c r="AE193" s="42"/>
      <c r="AF193" s="42"/>
    </row>
    <row r="194" spans="2:32" s="37" customFormat="1" x14ac:dyDescent="0.2">
      <c r="B194" s="62" t="s">
        <v>1085</v>
      </c>
      <c r="C194" s="170" t="s">
        <v>126</v>
      </c>
      <c r="D194" s="170"/>
      <c r="F194" s="170"/>
      <c r="G194" s="170"/>
      <c r="H194" s="244"/>
      <c r="I194" s="244"/>
      <c r="J194" s="170"/>
      <c r="K194" s="170"/>
      <c r="L194" s="170"/>
      <c r="M194" s="200">
        <v>1</v>
      </c>
      <c r="N194" s="515"/>
      <c r="O194" s="515"/>
      <c r="P194" s="515"/>
      <c r="Q194" s="371"/>
      <c r="R194" s="371">
        <f>+Q218</f>
        <v>1</v>
      </c>
      <c r="S194" s="371"/>
      <c r="T194" s="371"/>
      <c r="U194" s="126"/>
      <c r="V194" s="127"/>
      <c r="W194" s="127"/>
      <c r="X194" s="126"/>
      <c r="Y194" s="127"/>
      <c r="Z194" s="127"/>
      <c r="AA194" s="299">
        <v>0</v>
      </c>
      <c r="AC194" s="200">
        <v>1</v>
      </c>
      <c r="AE194" s="42"/>
      <c r="AF194" s="42"/>
    </row>
    <row r="195" spans="2:32" s="37" customFormat="1" x14ac:dyDescent="0.2">
      <c r="B195" s="62" t="s">
        <v>1086</v>
      </c>
      <c r="C195" s="170" t="s">
        <v>126</v>
      </c>
      <c r="D195" s="170"/>
      <c r="F195" s="170"/>
      <c r="G195" s="170"/>
      <c r="H195" s="244"/>
      <c r="I195" s="244"/>
      <c r="J195" s="170"/>
      <c r="K195" s="170"/>
      <c r="L195" s="170"/>
      <c r="M195" s="200">
        <v>1</v>
      </c>
      <c r="N195" s="515"/>
      <c r="O195" s="515"/>
      <c r="P195" s="515"/>
      <c r="Q195" s="371"/>
      <c r="R195" s="371">
        <f>+Q224</f>
        <v>0.66666666666666663</v>
      </c>
      <c r="S195" s="371"/>
      <c r="T195" s="371"/>
      <c r="U195" s="126"/>
      <c r="V195" s="127"/>
      <c r="W195" s="127"/>
      <c r="X195" s="126"/>
      <c r="Y195" s="127"/>
      <c r="Z195" s="127"/>
      <c r="AA195" s="299">
        <v>0</v>
      </c>
      <c r="AC195" s="200">
        <v>1</v>
      </c>
      <c r="AE195" s="42"/>
      <c r="AF195" s="42"/>
    </row>
    <row r="196" spans="2:32" s="37" customFormat="1" x14ac:dyDescent="0.2">
      <c r="B196" s="62" t="s">
        <v>1087</v>
      </c>
      <c r="C196" s="170" t="s">
        <v>126</v>
      </c>
      <c r="D196" s="170"/>
      <c r="F196" s="170"/>
      <c r="G196" s="170"/>
      <c r="H196" s="244"/>
      <c r="I196" s="244"/>
      <c r="J196" s="170"/>
      <c r="K196" s="170"/>
      <c r="L196" s="170"/>
      <c r="M196" s="200">
        <v>1</v>
      </c>
      <c r="N196" s="515"/>
      <c r="O196" s="515"/>
      <c r="P196" s="515"/>
      <c r="Q196" s="371"/>
      <c r="R196" s="371">
        <f>+Q236</f>
        <v>0.66666666666666663</v>
      </c>
      <c r="S196" s="371"/>
      <c r="T196" s="371"/>
      <c r="U196" s="126"/>
      <c r="V196" s="127"/>
      <c r="W196" s="127"/>
      <c r="X196" s="126"/>
      <c r="Y196" s="127"/>
      <c r="Z196" s="127"/>
      <c r="AA196" s="299">
        <v>0</v>
      </c>
      <c r="AC196" s="200">
        <v>1</v>
      </c>
      <c r="AE196" s="42"/>
      <c r="AF196" s="42"/>
    </row>
    <row r="197" spans="2:32" s="37" customFormat="1" x14ac:dyDescent="0.2">
      <c r="B197" s="62" t="s">
        <v>1088</v>
      </c>
      <c r="C197" s="170" t="s">
        <v>126</v>
      </c>
      <c r="D197" s="170"/>
      <c r="F197" s="170"/>
      <c r="G197" s="170"/>
      <c r="H197" s="244"/>
      <c r="I197" s="244"/>
      <c r="J197" s="170"/>
      <c r="K197" s="170"/>
      <c r="L197" s="170"/>
      <c r="M197" s="200">
        <v>1</v>
      </c>
      <c r="N197" s="515"/>
      <c r="O197" s="515"/>
      <c r="P197" s="515"/>
      <c r="Q197" s="371"/>
      <c r="R197" s="371">
        <f>+Q245</f>
        <v>1</v>
      </c>
      <c r="S197" s="371"/>
      <c r="T197" s="371"/>
      <c r="U197" s="126"/>
      <c r="V197" s="127"/>
      <c r="W197" s="127"/>
      <c r="X197" s="126"/>
      <c r="Y197" s="127"/>
      <c r="Z197" s="127"/>
      <c r="AA197" s="299">
        <v>0</v>
      </c>
      <c r="AC197" s="200">
        <v>1</v>
      </c>
      <c r="AE197" s="42"/>
      <c r="AF197" s="42"/>
    </row>
    <row r="198" spans="2:32" s="37" customFormat="1" x14ac:dyDescent="0.2">
      <c r="B198" s="62" t="s">
        <v>1089</v>
      </c>
      <c r="C198" s="170" t="s">
        <v>126</v>
      </c>
      <c r="D198" s="170" t="s">
        <v>938</v>
      </c>
      <c r="E198" s="233"/>
      <c r="F198" s="170"/>
      <c r="G198" s="170"/>
      <c r="H198" s="244">
        <v>1</v>
      </c>
      <c r="I198" s="244"/>
      <c r="J198" s="170">
        <v>1</v>
      </c>
      <c r="K198" s="170">
        <v>9</v>
      </c>
      <c r="L198" s="170"/>
      <c r="M198" s="200">
        <v>1</v>
      </c>
      <c r="N198" s="515"/>
      <c r="O198" s="515"/>
      <c r="P198" s="515"/>
      <c r="Q198" s="371">
        <f>SUM(M198:M206)/K198</f>
        <v>0.88888888888888884</v>
      </c>
      <c r="R198" s="371">
        <f>+Q247</f>
        <v>1</v>
      </c>
      <c r="S198" s="371"/>
      <c r="T198" s="371"/>
      <c r="U198" s="126"/>
      <c r="V198" s="127"/>
      <c r="W198" s="127"/>
      <c r="X198" s="126"/>
      <c r="Y198" s="127"/>
      <c r="Z198" s="127"/>
      <c r="AA198" s="299">
        <v>0</v>
      </c>
      <c r="AC198" s="200">
        <v>1</v>
      </c>
      <c r="AE198" s="42"/>
      <c r="AF198" s="42"/>
    </row>
    <row r="199" spans="2:32" s="37" customFormat="1" x14ac:dyDescent="0.2">
      <c r="B199" s="62" t="s">
        <v>1090</v>
      </c>
      <c r="C199" s="170" t="s">
        <v>126</v>
      </c>
      <c r="D199" s="170"/>
      <c r="F199" s="170"/>
      <c r="G199" s="170"/>
      <c r="H199" s="244"/>
      <c r="I199" s="244"/>
      <c r="J199" s="170"/>
      <c r="K199" s="170"/>
      <c r="L199" s="170"/>
      <c r="M199" s="200">
        <v>1</v>
      </c>
      <c r="N199" s="515"/>
      <c r="O199" s="515"/>
      <c r="P199" s="515"/>
      <c r="Q199" s="371"/>
      <c r="R199" s="371">
        <f>+Q257</f>
        <v>0.4</v>
      </c>
      <c r="S199" s="371"/>
      <c r="T199" s="371"/>
      <c r="U199" s="126"/>
      <c r="V199" s="127"/>
      <c r="W199" s="127"/>
      <c r="X199" s="126"/>
      <c r="Y199" s="127"/>
      <c r="Z199" s="127"/>
      <c r="AA199" s="299">
        <v>0</v>
      </c>
      <c r="AC199" s="200">
        <v>0</v>
      </c>
      <c r="AE199" s="42"/>
      <c r="AF199" s="42"/>
    </row>
    <row r="200" spans="2:32" s="37" customFormat="1" x14ac:dyDescent="0.2">
      <c r="B200" s="62" t="s">
        <v>1091</v>
      </c>
      <c r="C200" s="170" t="s">
        <v>126</v>
      </c>
      <c r="D200" s="170"/>
      <c r="F200" s="170"/>
      <c r="G200" s="170"/>
      <c r="H200" s="244"/>
      <c r="I200" s="244"/>
      <c r="J200" s="170"/>
      <c r="K200" s="170"/>
      <c r="L200" s="170"/>
      <c r="M200" s="200">
        <v>1</v>
      </c>
      <c r="N200" s="515"/>
      <c r="O200" s="515"/>
      <c r="P200" s="515"/>
      <c r="Q200" s="371"/>
      <c r="R200" s="371"/>
      <c r="S200" s="371"/>
      <c r="T200" s="371"/>
      <c r="U200" s="126"/>
      <c r="V200" s="127"/>
      <c r="W200" s="127"/>
      <c r="X200" s="126"/>
      <c r="Y200" s="127"/>
      <c r="Z200" s="127"/>
      <c r="AA200" s="299">
        <v>0</v>
      </c>
      <c r="AC200" s="200">
        <v>1</v>
      </c>
      <c r="AE200" s="42"/>
      <c r="AF200" s="42"/>
    </row>
    <row r="201" spans="2:32" s="37" customFormat="1" x14ac:dyDescent="0.2">
      <c r="B201" s="62" t="s">
        <v>1092</v>
      </c>
      <c r="C201" s="170" t="s">
        <v>126</v>
      </c>
      <c r="D201" s="170"/>
      <c r="F201" s="170"/>
      <c r="G201" s="170"/>
      <c r="H201" s="244"/>
      <c r="I201" s="244"/>
      <c r="J201" s="170"/>
      <c r="K201" s="170"/>
      <c r="L201" s="170"/>
      <c r="M201" s="200">
        <v>1</v>
      </c>
      <c r="N201" s="515"/>
      <c r="O201" s="515"/>
      <c r="P201" s="515"/>
      <c r="Q201" s="371"/>
      <c r="R201" s="371"/>
      <c r="S201" s="371"/>
      <c r="T201" s="371"/>
      <c r="U201" s="126"/>
      <c r="V201" s="127"/>
      <c r="W201" s="127"/>
      <c r="X201" s="126"/>
      <c r="Y201" s="127"/>
      <c r="Z201" s="127"/>
      <c r="AA201" s="299">
        <v>0</v>
      </c>
      <c r="AC201" s="200">
        <v>1</v>
      </c>
      <c r="AE201" s="42"/>
      <c r="AF201" s="42"/>
    </row>
    <row r="202" spans="2:32" s="37" customFormat="1" x14ac:dyDescent="0.2">
      <c r="B202" s="62" t="s">
        <v>1093</v>
      </c>
      <c r="C202" s="170" t="s">
        <v>126</v>
      </c>
      <c r="D202" s="170"/>
      <c r="F202" s="170"/>
      <c r="G202" s="170"/>
      <c r="H202" s="244"/>
      <c r="I202" s="244"/>
      <c r="J202" s="170"/>
      <c r="K202" s="170"/>
      <c r="L202" s="170"/>
      <c r="M202" s="200">
        <v>1</v>
      </c>
      <c r="N202" s="515"/>
      <c r="O202" s="515"/>
      <c r="P202" s="515"/>
      <c r="Q202" s="371"/>
      <c r="R202" s="380">
        <f>AVERAGE(R191:R199)</f>
        <v>0.78765432098765442</v>
      </c>
      <c r="S202" s="380"/>
      <c r="T202" s="380">
        <f>STDEV(R191:R199)/(SQRT(COUNT(R191:R199)))</f>
        <v>6.8704563348032183E-2</v>
      </c>
      <c r="U202" s="126"/>
      <c r="V202" s="127"/>
      <c r="W202" s="127"/>
      <c r="X202" s="126"/>
      <c r="Y202" s="127"/>
      <c r="Z202" s="127"/>
      <c r="AA202" s="299">
        <v>0</v>
      </c>
      <c r="AC202" s="200">
        <v>0</v>
      </c>
      <c r="AE202" s="42"/>
      <c r="AF202" s="42"/>
    </row>
    <row r="203" spans="2:32" s="37" customFormat="1" x14ac:dyDescent="0.2">
      <c r="B203" s="62" t="s">
        <v>1094</v>
      </c>
      <c r="C203" s="170" t="s">
        <v>126</v>
      </c>
      <c r="D203" s="170"/>
      <c r="F203" s="170"/>
      <c r="G203" s="170"/>
      <c r="H203" s="244"/>
      <c r="I203" s="244"/>
      <c r="J203" s="170"/>
      <c r="K203" s="170"/>
      <c r="L203" s="170"/>
      <c r="M203" s="200">
        <v>1</v>
      </c>
      <c r="N203" s="515"/>
      <c r="O203" s="515"/>
      <c r="P203" s="515"/>
      <c r="Q203" s="371"/>
      <c r="R203" s="371"/>
      <c r="S203" s="371"/>
      <c r="T203" s="371"/>
      <c r="U203" s="126"/>
      <c r="V203" s="127"/>
      <c r="W203" s="127"/>
      <c r="X203" s="126"/>
      <c r="Y203" s="127"/>
      <c r="Z203" s="127"/>
      <c r="AA203" s="299">
        <v>0</v>
      </c>
      <c r="AC203" s="200">
        <v>1</v>
      </c>
      <c r="AE203" s="42"/>
      <c r="AF203" s="42"/>
    </row>
    <row r="204" spans="2:32" s="37" customFormat="1" x14ac:dyDescent="0.2">
      <c r="B204" s="62" t="s">
        <v>1095</v>
      </c>
      <c r="C204" s="170" t="s">
        <v>126</v>
      </c>
      <c r="D204" s="170"/>
      <c r="F204" s="170"/>
      <c r="G204" s="170"/>
      <c r="H204" s="244"/>
      <c r="I204" s="244"/>
      <c r="J204" s="170"/>
      <c r="K204" s="170"/>
      <c r="L204" s="170"/>
      <c r="M204" s="200">
        <v>0</v>
      </c>
      <c r="N204" s="515"/>
      <c r="O204" s="515"/>
      <c r="P204" s="515"/>
      <c r="Q204" s="371"/>
      <c r="R204" s="371"/>
      <c r="S204" s="371"/>
      <c r="T204" s="371"/>
      <c r="U204" s="126"/>
      <c r="V204" s="127"/>
      <c r="W204" s="127"/>
      <c r="X204" s="126"/>
      <c r="Y204" s="127"/>
      <c r="Z204" s="127"/>
      <c r="AA204" s="299">
        <v>0</v>
      </c>
      <c r="AC204" s="200">
        <v>1</v>
      </c>
      <c r="AE204" s="42"/>
      <c r="AF204" s="42"/>
    </row>
    <row r="205" spans="2:32" s="37" customFormat="1" x14ac:dyDescent="0.2">
      <c r="B205" s="62" t="s">
        <v>1096</v>
      </c>
      <c r="C205" s="170" t="s">
        <v>126</v>
      </c>
      <c r="D205" s="170"/>
      <c r="F205" s="170"/>
      <c r="G205" s="170"/>
      <c r="H205" s="244"/>
      <c r="I205" s="244"/>
      <c r="J205" s="170"/>
      <c r="K205" s="170"/>
      <c r="L205" s="170"/>
      <c r="M205" s="200">
        <v>1</v>
      </c>
      <c r="N205" s="515"/>
      <c r="O205" s="515"/>
      <c r="P205" s="515"/>
      <c r="Q205" s="371"/>
      <c r="R205" s="371"/>
      <c r="S205" s="371"/>
      <c r="T205" s="371"/>
      <c r="U205" s="126"/>
      <c r="V205" s="127"/>
      <c r="W205" s="127"/>
      <c r="X205" s="126"/>
      <c r="Y205" s="127"/>
      <c r="Z205" s="127"/>
      <c r="AA205" s="299">
        <v>0</v>
      </c>
      <c r="AC205" s="200">
        <v>0</v>
      </c>
      <c r="AE205" s="42"/>
      <c r="AF205" s="42"/>
    </row>
    <row r="206" spans="2:32" s="37" customFormat="1" x14ac:dyDescent="0.2">
      <c r="B206" s="62" t="s">
        <v>1097</v>
      </c>
      <c r="C206" s="170" t="s">
        <v>126</v>
      </c>
      <c r="D206" s="170"/>
      <c r="E206" s="37">
        <v>0</v>
      </c>
      <c r="F206" s="170"/>
      <c r="G206" s="170"/>
      <c r="H206" s="244"/>
      <c r="I206" s="244"/>
      <c r="J206" s="170"/>
      <c r="K206" s="170"/>
      <c r="L206" s="170"/>
      <c r="M206" s="200">
        <v>1</v>
      </c>
      <c r="N206" s="515"/>
      <c r="O206" s="515"/>
      <c r="P206" s="515"/>
      <c r="Q206" s="371"/>
      <c r="R206" s="371"/>
      <c r="S206" s="371"/>
      <c r="T206" s="371"/>
      <c r="U206" s="126"/>
      <c r="V206" s="127"/>
      <c r="W206" s="127"/>
      <c r="X206" s="126"/>
      <c r="Y206" s="127"/>
      <c r="Z206" s="127"/>
      <c r="AA206" s="299">
        <v>0</v>
      </c>
      <c r="AC206" s="200">
        <v>1</v>
      </c>
      <c r="AE206" s="42"/>
      <c r="AF206" s="42"/>
    </row>
    <row r="207" spans="2:32" s="37" customFormat="1" x14ac:dyDescent="0.2">
      <c r="B207" s="62" t="s">
        <v>1098</v>
      </c>
      <c r="C207" s="170" t="s">
        <v>126</v>
      </c>
      <c r="D207" s="170"/>
      <c r="F207" s="170"/>
      <c r="G207" s="170"/>
      <c r="H207" s="244">
        <v>1</v>
      </c>
      <c r="I207" s="244"/>
      <c r="J207" s="170">
        <v>1</v>
      </c>
      <c r="K207" s="170">
        <v>6</v>
      </c>
      <c r="L207" s="170"/>
      <c r="M207" s="200">
        <v>0</v>
      </c>
      <c r="N207" s="515"/>
      <c r="O207" s="515"/>
      <c r="P207" s="515"/>
      <c r="Q207" s="371">
        <f>SUM(M207:M212)/K207</f>
        <v>0.66666666666666663</v>
      </c>
      <c r="R207" s="371"/>
      <c r="S207" s="371"/>
      <c r="T207" s="371"/>
      <c r="U207" s="126"/>
      <c r="V207" s="127"/>
      <c r="W207" s="127"/>
      <c r="X207" s="126"/>
      <c r="Y207" s="127"/>
      <c r="Z207" s="127"/>
      <c r="AA207" s="299">
        <v>0</v>
      </c>
      <c r="AC207" s="200">
        <v>1</v>
      </c>
      <c r="AE207" s="42"/>
      <c r="AF207" s="42"/>
    </row>
    <row r="208" spans="2:32" s="37" customFormat="1" x14ac:dyDescent="0.2">
      <c r="B208" s="62" t="s">
        <v>1099</v>
      </c>
      <c r="C208" s="170" t="s">
        <v>126</v>
      </c>
      <c r="D208" s="170"/>
      <c r="F208" s="170"/>
      <c r="G208" s="170"/>
      <c r="H208" s="244"/>
      <c r="I208" s="244"/>
      <c r="J208" s="170"/>
      <c r="K208" s="170"/>
      <c r="L208" s="170"/>
      <c r="M208" s="539">
        <v>1</v>
      </c>
      <c r="N208" s="515"/>
      <c r="O208" s="515"/>
      <c r="P208" s="515"/>
      <c r="Q208" s="371"/>
      <c r="R208" s="371"/>
      <c r="S208" s="371"/>
      <c r="T208" s="371"/>
      <c r="U208" s="126" t="s">
        <v>92</v>
      </c>
      <c r="V208" s="127"/>
      <c r="W208" s="127"/>
      <c r="X208" s="126" t="s">
        <v>27</v>
      </c>
      <c r="Y208" s="127"/>
      <c r="Z208" s="127"/>
      <c r="AA208" s="299">
        <v>0</v>
      </c>
      <c r="AC208" s="200">
        <v>1</v>
      </c>
      <c r="AE208" s="42"/>
      <c r="AF208" s="42"/>
    </row>
    <row r="209" spans="1:32" s="37" customFormat="1" x14ac:dyDescent="0.2">
      <c r="B209" s="62" t="s">
        <v>1100</v>
      </c>
      <c r="C209" s="170" t="s">
        <v>126</v>
      </c>
      <c r="D209" s="170" t="s">
        <v>938</v>
      </c>
      <c r="E209" s="37">
        <v>0</v>
      </c>
      <c r="F209" s="170"/>
      <c r="G209" s="170"/>
      <c r="H209" s="244"/>
      <c r="I209" s="244"/>
      <c r="J209" s="170"/>
      <c r="K209" s="170"/>
      <c r="L209" s="170"/>
      <c r="M209" s="200">
        <v>1</v>
      </c>
      <c r="N209" s="515"/>
      <c r="O209" s="515"/>
      <c r="P209" s="515"/>
      <c r="Q209" s="371"/>
      <c r="R209" s="371"/>
      <c r="S209" s="371"/>
      <c r="T209" s="371"/>
      <c r="U209" s="126"/>
      <c r="V209" s="127"/>
      <c r="W209" s="127"/>
      <c r="X209" s="126"/>
      <c r="Y209" s="127"/>
      <c r="Z209" s="127"/>
      <c r="AA209" s="299">
        <v>0</v>
      </c>
      <c r="AC209" s="200">
        <v>1</v>
      </c>
      <c r="AE209" s="42"/>
      <c r="AF209" s="42"/>
    </row>
    <row r="210" spans="1:32" s="37" customFormat="1" x14ac:dyDescent="0.2">
      <c r="B210" s="62" t="s">
        <v>1101</v>
      </c>
      <c r="C210" s="170" t="s">
        <v>126</v>
      </c>
      <c r="D210" s="170"/>
      <c r="F210" s="170"/>
      <c r="G210" s="170"/>
      <c r="H210" s="244"/>
      <c r="I210" s="244"/>
      <c r="J210" s="170"/>
      <c r="K210" s="170"/>
      <c r="L210" s="170"/>
      <c r="M210" s="200">
        <v>0</v>
      </c>
      <c r="N210" s="515"/>
      <c r="O210" s="515"/>
      <c r="P210" s="515"/>
      <c r="Q210" s="371"/>
      <c r="R210" s="371"/>
      <c r="S210" s="371"/>
      <c r="T210" s="371"/>
      <c r="U210" s="126"/>
      <c r="V210" s="127"/>
      <c r="W210" s="127"/>
      <c r="X210" s="126"/>
      <c r="Y210" s="127"/>
      <c r="Z210" s="127"/>
      <c r="AA210" s="299">
        <v>0</v>
      </c>
      <c r="AC210" s="200">
        <v>1</v>
      </c>
      <c r="AE210" s="42"/>
      <c r="AF210" s="42"/>
    </row>
    <row r="211" spans="1:32" s="37" customFormat="1" x14ac:dyDescent="0.2">
      <c r="B211" s="62" t="s">
        <v>1102</v>
      </c>
      <c r="C211" s="170" t="s">
        <v>126</v>
      </c>
      <c r="D211" s="170" t="s">
        <v>1103</v>
      </c>
      <c r="F211" s="170"/>
      <c r="G211" s="170"/>
      <c r="H211" s="244"/>
      <c r="I211" s="244"/>
      <c r="J211" s="170"/>
      <c r="K211" s="170"/>
      <c r="L211" s="170"/>
      <c r="M211" s="200">
        <v>1</v>
      </c>
      <c r="N211" s="515"/>
      <c r="O211" s="515"/>
      <c r="P211" s="515"/>
      <c r="Q211" s="371"/>
      <c r="R211" s="371"/>
      <c r="S211" s="371"/>
      <c r="T211" s="371"/>
      <c r="U211" s="126"/>
      <c r="V211" s="127"/>
      <c r="W211" s="127"/>
      <c r="X211" s="126"/>
      <c r="Y211" s="127"/>
      <c r="Z211" s="127"/>
      <c r="AA211" s="299">
        <v>0</v>
      </c>
      <c r="AC211" s="200">
        <v>1</v>
      </c>
      <c r="AE211" s="42"/>
      <c r="AF211" s="42"/>
    </row>
    <row r="212" spans="1:32" s="37" customFormat="1" x14ac:dyDescent="0.2">
      <c r="B212" s="62" t="s">
        <v>1104</v>
      </c>
      <c r="C212" s="170" t="s">
        <v>126</v>
      </c>
      <c r="D212" s="170"/>
      <c r="F212" s="170"/>
      <c r="G212" s="170"/>
      <c r="H212" s="244"/>
      <c r="I212" s="244"/>
      <c r="J212" s="170"/>
      <c r="K212" s="170"/>
      <c r="L212" s="170"/>
      <c r="M212" s="200">
        <v>1</v>
      </c>
      <c r="N212" s="515"/>
      <c r="O212" s="515"/>
      <c r="P212" s="515"/>
      <c r="Q212" s="371"/>
      <c r="R212" s="371"/>
      <c r="S212" s="371"/>
      <c r="T212" s="371"/>
      <c r="U212" s="126"/>
      <c r="V212" s="127"/>
      <c r="W212" s="127"/>
      <c r="X212" s="126"/>
      <c r="Y212" s="127"/>
      <c r="Z212" s="127"/>
      <c r="AA212" s="299">
        <v>0</v>
      </c>
      <c r="AC212" s="200">
        <v>0</v>
      </c>
      <c r="AE212" s="42"/>
      <c r="AF212" s="42"/>
    </row>
    <row r="213" spans="1:32" s="37" customFormat="1" x14ac:dyDescent="0.2">
      <c r="B213" s="62" t="s">
        <v>1105</v>
      </c>
      <c r="C213" s="170" t="s">
        <v>126</v>
      </c>
      <c r="D213" s="170"/>
      <c r="F213" s="170"/>
      <c r="G213" s="170"/>
      <c r="H213" s="244">
        <v>1</v>
      </c>
      <c r="I213" s="244"/>
      <c r="J213" s="170">
        <v>1</v>
      </c>
      <c r="K213" s="170">
        <v>5</v>
      </c>
      <c r="L213" s="170"/>
      <c r="M213" s="539">
        <v>1</v>
      </c>
      <c r="N213" s="515"/>
      <c r="O213" s="515"/>
      <c r="P213" s="515"/>
      <c r="Q213" s="371">
        <f>SUM(M213:M217)/K213</f>
        <v>0.8</v>
      </c>
      <c r="R213" s="371"/>
      <c r="S213" s="371"/>
      <c r="T213" s="371"/>
      <c r="U213" s="126" t="s">
        <v>92</v>
      </c>
      <c r="V213" s="127"/>
      <c r="W213" s="127"/>
      <c r="X213" s="126" t="s">
        <v>27</v>
      </c>
      <c r="Y213" s="127"/>
      <c r="Z213" s="127"/>
      <c r="AA213" s="299">
        <v>0</v>
      </c>
      <c r="AC213" s="200">
        <v>1</v>
      </c>
      <c r="AE213" s="42"/>
      <c r="AF213" s="42"/>
    </row>
    <row r="214" spans="1:32" s="37" customFormat="1" x14ac:dyDescent="0.2">
      <c r="B214" s="62" t="s">
        <v>1106</v>
      </c>
      <c r="C214" s="170" t="s">
        <v>126</v>
      </c>
      <c r="D214" s="170"/>
      <c r="F214" s="170"/>
      <c r="G214" s="170"/>
      <c r="H214" s="244"/>
      <c r="I214" s="244"/>
      <c r="J214" s="170"/>
      <c r="K214" s="170"/>
      <c r="L214" s="170"/>
      <c r="M214" s="200">
        <v>1</v>
      </c>
      <c r="N214" s="515"/>
      <c r="O214" s="515"/>
      <c r="P214" s="515"/>
      <c r="Q214" s="371"/>
      <c r="R214" s="371"/>
      <c r="S214" s="371"/>
      <c r="T214" s="371"/>
      <c r="U214" s="126"/>
      <c r="V214" s="127"/>
      <c r="W214" s="127"/>
      <c r="X214" s="126"/>
      <c r="Y214" s="127"/>
      <c r="Z214" s="127"/>
      <c r="AA214" s="299">
        <v>0</v>
      </c>
      <c r="AC214" s="200">
        <v>1</v>
      </c>
      <c r="AE214" s="42"/>
      <c r="AF214" s="42"/>
    </row>
    <row r="215" spans="1:32" s="37" customFormat="1" x14ac:dyDescent="0.2">
      <c r="B215" s="62" t="s">
        <v>1107</v>
      </c>
      <c r="C215" s="170" t="s">
        <v>126</v>
      </c>
      <c r="D215" s="170" t="s">
        <v>938</v>
      </c>
      <c r="F215" s="170"/>
      <c r="G215" s="170"/>
      <c r="H215" s="244"/>
      <c r="I215" s="244"/>
      <c r="J215" s="170"/>
      <c r="K215" s="170"/>
      <c r="L215" s="170"/>
      <c r="M215" s="200">
        <v>1</v>
      </c>
      <c r="N215" s="515"/>
      <c r="O215" s="515"/>
      <c r="P215" s="515"/>
      <c r="Q215" s="371"/>
      <c r="R215" s="371"/>
      <c r="S215" s="371"/>
      <c r="T215" s="371"/>
      <c r="U215" s="126"/>
      <c r="V215" s="127"/>
      <c r="W215" s="127"/>
      <c r="X215" s="126"/>
      <c r="Y215" s="127"/>
      <c r="Z215" s="127"/>
      <c r="AA215" s="299">
        <v>0</v>
      </c>
      <c r="AC215" s="200">
        <v>1</v>
      </c>
      <c r="AE215" s="42"/>
      <c r="AF215" s="42"/>
    </row>
    <row r="216" spans="1:32" s="37" customFormat="1" x14ac:dyDescent="0.2">
      <c r="B216" s="62" t="s">
        <v>1108</v>
      </c>
      <c r="C216" s="170" t="s">
        <v>126</v>
      </c>
      <c r="D216" s="170"/>
      <c r="F216" s="170"/>
      <c r="G216" s="170"/>
      <c r="H216" s="244"/>
      <c r="I216" s="244"/>
      <c r="J216" s="170"/>
      <c r="K216" s="170"/>
      <c r="L216" s="170"/>
      <c r="M216" s="200">
        <v>1</v>
      </c>
      <c r="N216" s="515"/>
      <c r="O216" s="515"/>
      <c r="P216" s="515"/>
      <c r="Q216" s="371"/>
      <c r="R216" s="371"/>
      <c r="S216" s="371"/>
      <c r="T216" s="371"/>
      <c r="U216" s="126"/>
      <c r="V216" s="127"/>
      <c r="W216" s="127"/>
      <c r="X216" s="126"/>
      <c r="Y216" s="127"/>
      <c r="Z216" s="127"/>
      <c r="AA216" s="299">
        <v>0</v>
      </c>
      <c r="AC216" s="200">
        <v>1</v>
      </c>
      <c r="AE216" s="42"/>
      <c r="AF216" s="42"/>
    </row>
    <row r="217" spans="1:32" s="37" customFormat="1" x14ac:dyDescent="0.2">
      <c r="B217" s="62" t="s">
        <v>1109</v>
      </c>
      <c r="C217" s="170" t="s">
        <v>126</v>
      </c>
      <c r="D217" s="170"/>
      <c r="F217" s="170"/>
      <c r="G217" s="170"/>
      <c r="H217" s="244"/>
      <c r="I217" s="244"/>
      <c r="J217" s="170"/>
      <c r="K217" s="170"/>
      <c r="L217" s="170"/>
      <c r="M217" s="200">
        <v>0</v>
      </c>
      <c r="N217" s="515"/>
      <c r="O217" s="515"/>
      <c r="P217" s="515"/>
      <c r="Q217" s="371"/>
      <c r="R217" s="371"/>
      <c r="S217" s="371"/>
      <c r="T217" s="371"/>
      <c r="U217" s="126"/>
      <c r="V217" s="127"/>
      <c r="W217" s="127"/>
      <c r="X217" s="126"/>
      <c r="Y217" s="127"/>
      <c r="Z217" s="127"/>
      <c r="AA217" s="299">
        <v>0</v>
      </c>
      <c r="AC217" s="200">
        <v>1</v>
      </c>
      <c r="AE217" s="42"/>
      <c r="AF217" s="42"/>
    </row>
    <row r="218" spans="1:32" s="37" customFormat="1" x14ac:dyDescent="0.2">
      <c r="B218" s="62" t="s">
        <v>1110</v>
      </c>
      <c r="C218" s="170" t="s">
        <v>126</v>
      </c>
      <c r="D218" s="170" t="s">
        <v>938</v>
      </c>
      <c r="E218" s="37">
        <v>0</v>
      </c>
      <c r="F218" s="170"/>
      <c r="G218" s="170"/>
      <c r="H218" s="244">
        <v>1</v>
      </c>
      <c r="I218" s="244"/>
      <c r="J218" s="170">
        <v>1</v>
      </c>
      <c r="K218" s="170">
        <v>6</v>
      </c>
      <c r="L218" s="170"/>
      <c r="M218" s="200">
        <v>1</v>
      </c>
      <c r="N218" s="515"/>
      <c r="O218" s="515"/>
      <c r="P218" s="515"/>
      <c r="Q218" s="371">
        <v>1</v>
      </c>
      <c r="R218" s="371"/>
      <c r="S218" s="371"/>
      <c r="T218" s="371"/>
      <c r="U218" s="126"/>
      <c r="V218" s="127"/>
      <c r="W218" s="127"/>
      <c r="X218" s="126"/>
      <c r="Y218" s="127"/>
      <c r="Z218" s="127"/>
      <c r="AA218" s="299">
        <v>1</v>
      </c>
      <c r="AC218" s="200">
        <v>1</v>
      </c>
      <c r="AE218" s="42"/>
      <c r="AF218" s="42"/>
    </row>
    <row r="219" spans="1:32" s="37" customFormat="1" x14ac:dyDescent="0.2">
      <c r="B219" s="62" t="s">
        <v>1111</v>
      </c>
      <c r="C219" s="170" t="s">
        <v>126</v>
      </c>
      <c r="D219" s="170"/>
      <c r="E219" s="37">
        <v>0</v>
      </c>
      <c r="F219" s="170"/>
      <c r="G219" s="170"/>
      <c r="H219" s="244"/>
      <c r="I219" s="244"/>
      <c r="J219" s="170"/>
      <c r="K219" s="170"/>
      <c r="L219" s="170"/>
      <c r="M219" s="200">
        <v>1</v>
      </c>
      <c r="N219" s="515"/>
      <c r="O219" s="515"/>
      <c r="P219" s="515"/>
      <c r="Q219" s="371"/>
      <c r="R219" s="371"/>
      <c r="S219" s="371"/>
      <c r="T219" s="371"/>
      <c r="U219" s="126"/>
      <c r="V219" s="127"/>
      <c r="W219" s="127"/>
      <c r="X219" s="126"/>
      <c r="Y219" s="127"/>
      <c r="Z219" s="127"/>
      <c r="AA219" s="299">
        <v>1</v>
      </c>
      <c r="AC219" s="200">
        <v>0</v>
      </c>
      <c r="AE219" s="42"/>
      <c r="AF219" s="42"/>
    </row>
    <row r="220" spans="1:32" s="37" customFormat="1" x14ac:dyDescent="0.2">
      <c r="B220" s="62" t="s">
        <v>1112</v>
      </c>
      <c r="C220" s="170" t="s">
        <v>126</v>
      </c>
      <c r="D220" s="170"/>
      <c r="E220" s="37">
        <v>0</v>
      </c>
      <c r="F220" s="170"/>
      <c r="G220" s="170"/>
      <c r="H220" s="244"/>
      <c r="I220" s="244"/>
      <c r="J220" s="170"/>
      <c r="K220" s="170"/>
      <c r="L220" s="170"/>
      <c r="M220" s="539">
        <v>1</v>
      </c>
      <c r="N220" s="515"/>
      <c r="O220" s="515"/>
      <c r="P220" s="515"/>
      <c r="Q220" s="371"/>
      <c r="R220" s="371"/>
      <c r="S220" s="371"/>
      <c r="T220" s="371"/>
      <c r="U220" s="126" t="s">
        <v>92</v>
      </c>
      <c r="V220" s="127"/>
      <c r="W220" s="127"/>
      <c r="X220" s="126"/>
      <c r="Y220" s="127"/>
      <c r="Z220" s="127"/>
      <c r="AA220" s="299">
        <v>0</v>
      </c>
      <c r="AC220" s="200">
        <v>1</v>
      </c>
      <c r="AE220" s="42"/>
      <c r="AF220" s="42"/>
    </row>
    <row r="221" spans="1:32" s="37" customFormat="1" x14ac:dyDescent="0.2">
      <c r="B221" s="62" t="s">
        <v>1113</v>
      </c>
      <c r="C221" s="170" t="s">
        <v>126</v>
      </c>
      <c r="D221" s="170"/>
      <c r="E221" s="37">
        <v>0</v>
      </c>
      <c r="F221" s="170"/>
      <c r="G221" s="170"/>
      <c r="H221" s="244"/>
      <c r="I221" s="244"/>
      <c r="J221" s="170"/>
      <c r="K221" s="170"/>
      <c r="L221" s="170"/>
      <c r="M221" s="200">
        <v>1</v>
      </c>
      <c r="N221" s="515"/>
      <c r="O221" s="515"/>
      <c r="P221" s="515"/>
      <c r="Q221" s="371"/>
      <c r="R221" s="371"/>
      <c r="S221" s="371"/>
      <c r="T221" s="371"/>
      <c r="U221" s="126"/>
      <c r="V221" s="127"/>
      <c r="W221" s="127"/>
      <c r="X221" s="126"/>
      <c r="Y221" s="127"/>
      <c r="Z221" s="127"/>
      <c r="AA221" s="299">
        <v>0</v>
      </c>
      <c r="AC221" s="200">
        <v>1</v>
      </c>
      <c r="AE221" s="42"/>
      <c r="AF221" s="42"/>
    </row>
    <row r="222" spans="1:32" s="37" customFormat="1" x14ac:dyDescent="0.2">
      <c r="B222" s="62" t="s">
        <v>1114</v>
      </c>
      <c r="C222" s="170" t="s">
        <v>126</v>
      </c>
      <c r="D222" s="170"/>
      <c r="E222" s="37">
        <v>0</v>
      </c>
      <c r="F222" s="170"/>
      <c r="G222" s="170"/>
      <c r="H222" s="244"/>
      <c r="I222" s="244"/>
      <c r="J222" s="170"/>
      <c r="K222" s="170"/>
      <c r="L222" s="170"/>
      <c r="M222" s="200">
        <v>1</v>
      </c>
      <c r="N222" s="515"/>
      <c r="O222" s="515"/>
      <c r="P222" s="515"/>
      <c r="Q222" s="371"/>
      <c r="R222" s="371"/>
      <c r="S222" s="371"/>
      <c r="T222" s="371"/>
      <c r="U222" s="126"/>
      <c r="V222" s="127"/>
      <c r="W222" s="127"/>
      <c r="X222" s="126"/>
      <c r="Y222" s="127"/>
      <c r="Z222" s="127"/>
      <c r="AA222" s="299">
        <v>0</v>
      </c>
      <c r="AC222" s="200">
        <v>0</v>
      </c>
      <c r="AE222" s="42"/>
      <c r="AF222" s="42"/>
    </row>
    <row r="223" spans="1:32" s="37" customFormat="1" x14ac:dyDescent="0.2">
      <c r="B223" s="62" t="s">
        <v>1115</v>
      </c>
      <c r="C223" s="170" t="s">
        <v>126</v>
      </c>
      <c r="D223" s="170"/>
      <c r="E223" s="37">
        <v>0</v>
      </c>
      <c r="F223" s="170"/>
      <c r="G223" s="170"/>
      <c r="H223" s="244"/>
      <c r="I223" s="244"/>
      <c r="J223" s="170"/>
      <c r="K223" s="170"/>
      <c r="L223" s="170"/>
      <c r="M223" s="200">
        <v>1</v>
      </c>
      <c r="N223" s="515"/>
      <c r="O223" s="515"/>
      <c r="P223" s="515"/>
      <c r="Q223" s="371"/>
      <c r="R223" s="371"/>
      <c r="S223" s="371"/>
      <c r="T223" s="371"/>
      <c r="U223" s="126"/>
      <c r="V223" s="127"/>
      <c r="W223" s="127"/>
      <c r="X223" s="126"/>
      <c r="Y223" s="127"/>
      <c r="Z223" s="127"/>
      <c r="AA223" s="299">
        <v>0</v>
      </c>
      <c r="AC223" s="200">
        <v>1</v>
      </c>
      <c r="AE223" s="42"/>
      <c r="AF223" s="42"/>
    </row>
    <row r="224" spans="1:32" s="37" customFormat="1" x14ac:dyDescent="0.2">
      <c r="A224" s="37">
        <v>2</v>
      </c>
      <c r="B224" s="62" t="s">
        <v>1116</v>
      </c>
      <c r="C224" s="170" t="s">
        <v>126</v>
      </c>
      <c r="D224" s="170"/>
      <c r="E224" s="37">
        <v>0</v>
      </c>
      <c r="F224" s="170"/>
      <c r="G224" s="170">
        <v>1</v>
      </c>
      <c r="H224" s="244">
        <v>1</v>
      </c>
      <c r="I224" s="244"/>
      <c r="J224" s="170">
        <v>1</v>
      </c>
      <c r="K224" s="170">
        <v>12</v>
      </c>
      <c r="L224" s="170"/>
      <c r="M224" s="200">
        <v>0</v>
      </c>
      <c r="N224" s="515"/>
      <c r="O224" s="515"/>
      <c r="P224" s="515"/>
      <c r="Q224" s="371">
        <f>SUM(M224:M235)/K224</f>
        <v>0.66666666666666663</v>
      </c>
      <c r="R224" s="371"/>
      <c r="S224" s="371"/>
      <c r="T224" s="371"/>
      <c r="U224" s="126"/>
      <c r="V224" s="127"/>
      <c r="W224" s="127"/>
      <c r="X224" s="126"/>
      <c r="Y224" s="127"/>
      <c r="Z224" s="127"/>
      <c r="AA224" s="299">
        <v>0</v>
      </c>
      <c r="AC224" s="200">
        <v>1</v>
      </c>
      <c r="AE224" s="42"/>
      <c r="AF224" s="42"/>
    </row>
    <row r="225" spans="1:32" s="37" customFormat="1" x14ac:dyDescent="0.2">
      <c r="B225" s="62" t="s">
        <v>1117</v>
      </c>
      <c r="C225" s="170" t="s">
        <v>126</v>
      </c>
      <c r="D225" s="170"/>
      <c r="F225" s="170"/>
      <c r="G225" s="170"/>
      <c r="H225" s="244"/>
      <c r="I225" s="244"/>
      <c r="J225" s="170"/>
      <c r="K225" s="170"/>
      <c r="L225" s="170"/>
      <c r="M225" s="200">
        <v>1</v>
      </c>
      <c r="N225" s="515"/>
      <c r="O225" s="515"/>
      <c r="P225" s="515"/>
      <c r="Q225" s="371"/>
      <c r="R225" s="371"/>
      <c r="S225" s="371"/>
      <c r="T225" s="371"/>
      <c r="U225" s="126"/>
      <c r="V225" s="127"/>
      <c r="W225" s="127"/>
      <c r="X225" s="126"/>
      <c r="Y225" s="127"/>
      <c r="Z225" s="127"/>
      <c r="AA225" s="299">
        <v>0</v>
      </c>
      <c r="AC225" s="200">
        <v>1</v>
      </c>
      <c r="AE225" s="42"/>
      <c r="AF225" s="42"/>
    </row>
    <row r="226" spans="1:32" s="37" customFormat="1" x14ac:dyDescent="0.2">
      <c r="A226" s="37" t="s">
        <v>27</v>
      </c>
      <c r="B226" s="62" t="s">
        <v>1118</v>
      </c>
      <c r="C226" s="170"/>
      <c r="D226" s="170"/>
      <c r="F226" s="170"/>
      <c r="G226" s="170"/>
      <c r="H226" s="244"/>
      <c r="I226" s="244"/>
      <c r="J226" s="170"/>
      <c r="K226" s="170"/>
      <c r="L226" s="170"/>
      <c r="M226" s="200">
        <v>1</v>
      </c>
      <c r="N226" s="515"/>
      <c r="O226" s="515"/>
      <c r="P226" s="515"/>
      <c r="Q226" s="371"/>
      <c r="R226" s="371"/>
      <c r="S226" s="371"/>
      <c r="T226" s="371"/>
      <c r="U226" s="126"/>
      <c r="V226" s="127"/>
      <c r="W226" s="127"/>
      <c r="X226" s="126"/>
      <c r="Y226" s="127"/>
      <c r="Z226" s="127"/>
      <c r="AA226" s="299">
        <v>0</v>
      </c>
      <c r="AC226" s="200">
        <v>1</v>
      </c>
      <c r="AE226" s="42"/>
      <c r="AF226" s="42"/>
    </row>
    <row r="227" spans="1:32" s="37" customFormat="1" x14ac:dyDescent="0.2">
      <c r="B227" s="62" t="s">
        <v>1119</v>
      </c>
      <c r="C227" s="170"/>
      <c r="D227" s="170"/>
      <c r="F227" s="170"/>
      <c r="G227" s="170"/>
      <c r="H227" s="244"/>
      <c r="I227" s="244"/>
      <c r="J227" s="170"/>
      <c r="K227" s="170"/>
      <c r="L227" s="170"/>
      <c r="M227" s="200">
        <v>0</v>
      </c>
      <c r="N227" s="515"/>
      <c r="O227" s="515"/>
      <c r="P227" s="515"/>
      <c r="Q227" s="371"/>
      <c r="R227" s="371"/>
      <c r="S227" s="371"/>
      <c r="T227" s="371"/>
      <c r="U227" s="126"/>
      <c r="V227" s="127"/>
      <c r="W227" s="127"/>
      <c r="X227" s="126"/>
      <c r="Y227" s="127"/>
      <c r="Z227" s="127"/>
      <c r="AA227" s="299">
        <v>0</v>
      </c>
      <c r="AC227" s="200">
        <v>1</v>
      </c>
      <c r="AE227" s="42"/>
      <c r="AF227" s="42"/>
    </row>
    <row r="228" spans="1:32" s="37" customFormat="1" x14ac:dyDescent="0.2">
      <c r="B228" s="62" t="s">
        <v>1120</v>
      </c>
      <c r="C228" s="170"/>
      <c r="D228" s="170"/>
      <c r="F228" s="170"/>
      <c r="G228" s="170"/>
      <c r="H228" s="244"/>
      <c r="I228" s="244"/>
      <c r="J228" s="170"/>
      <c r="K228" s="170"/>
      <c r="L228" s="170"/>
      <c r="M228" s="541">
        <v>1</v>
      </c>
      <c r="N228" s="515"/>
      <c r="O228" s="515"/>
      <c r="P228" s="515"/>
      <c r="Q228" s="371"/>
      <c r="R228" s="371"/>
      <c r="S228" s="371"/>
      <c r="T228" s="371"/>
      <c r="U228" s="126" t="s">
        <v>92</v>
      </c>
      <c r="V228" s="127"/>
      <c r="W228" s="127" t="s">
        <v>27</v>
      </c>
      <c r="X228" s="126"/>
      <c r="Y228" s="127"/>
      <c r="Z228" s="127"/>
      <c r="AA228" s="299">
        <v>0</v>
      </c>
      <c r="AC228" s="200">
        <v>0</v>
      </c>
      <c r="AE228" s="42"/>
      <c r="AF228" s="42"/>
    </row>
    <row r="229" spans="1:32" s="37" customFormat="1" x14ac:dyDescent="0.2">
      <c r="B229" s="62" t="s">
        <v>1121</v>
      </c>
      <c r="C229" s="170"/>
      <c r="D229" s="170"/>
      <c r="F229" s="170"/>
      <c r="G229" s="170"/>
      <c r="H229" s="244"/>
      <c r="I229" s="244"/>
      <c r="J229" s="170"/>
      <c r="K229" s="170"/>
      <c r="L229" s="170"/>
      <c r="M229" s="541">
        <v>1</v>
      </c>
      <c r="N229" s="515"/>
      <c r="O229" s="515"/>
      <c r="P229" s="515"/>
      <c r="Q229" s="371"/>
      <c r="R229" s="371"/>
      <c r="S229" s="371"/>
      <c r="T229" s="371"/>
      <c r="U229" s="126" t="s">
        <v>92</v>
      </c>
      <c r="V229" s="127"/>
      <c r="W229" s="127"/>
      <c r="X229" s="126"/>
      <c r="Y229" s="127"/>
      <c r="Z229" s="127"/>
      <c r="AA229" s="299">
        <v>0</v>
      </c>
      <c r="AC229" s="200">
        <v>0</v>
      </c>
      <c r="AE229" s="42"/>
      <c r="AF229" s="42"/>
    </row>
    <row r="230" spans="1:32" s="37" customFormat="1" x14ac:dyDescent="0.2">
      <c r="B230" s="62" t="s">
        <v>1122</v>
      </c>
      <c r="C230" s="170" t="s">
        <v>126</v>
      </c>
      <c r="D230" s="170"/>
      <c r="F230" s="170"/>
      <c r="G230" s="170"/>
      <c r="H230" s="244"/>
      <c r="I230" s="244"/>
      <c r="J230" s="170"/>
      <c r="K230" s="170"/>
      <c r="L230" s="170"/>
      <c r="M230" s="541">
        <v>1</v>
      </c>
      <c r="N230" s="515"/>
      <c r="O230" s="515"/>
      <c r="P230" s="515"/>
      <c r="Q230" s="371"/>
      <c r="R230" s="371"/>
      <c r="S230" s="371"/>
      <c r="T230" s="371"/>
      <c r="U230" s="126"/>
      <c r="V230" s="127"/>
      <c r="W230" s="127"/>
      <c r="X230" s="126" t="s">
        <v>92</v>
      </c>
      <c r="Y230" s="127"/>
      <c r="Z230" s="127"/>
      <c r="AA230" s="299">
        <v>0</v>
      </c>
      <c r="AC230" s="200">
        <v>1</v>
      </c>
      <c r="AE230" s="42"/>
      <c r="AF230" s="42"/>
    </row>
    <row r="231" spans="1:32" s="37" customFormat="1" x14ac:dyDescent="0.2">
      <c r="B231" s="62" t="s">
        <v>1123</v>
      </c>
      <c r="C231" s="170" t="s">
        <v>126</v>
      </c>
      <c r="D231" s="170"/>
      <c r="F231" s="170"/>
      <c r="G231" s="170"/>
      <c r="H231" s="244"/>
      <c r="I231" s="244"/>
      <c r="J231" s="170"/>
      <c r="K231" s="170"/>
      <c r="L231" s="170"/>
      <c r="M231" s="200">
        <v>1</v>
      </c>
      <c r="N231" s="515"/>
      <c r="O231" s="515"/>
      <c r="P231" s="515"/>
      <c r="Q231" s="371"/>
      <c r="R231" s="371"/>
      <c r="S231" s="371"/>
      <c r="T231" s="371"/>
      <c r="U231" s="126"/>
      <c r="V231" s="127"/>
      <c r="W231" s="127" t="s">
        <v>212</v>
      </c>
      <c r="X231" s="126"/>
      <c r="Y231" s="127"/>
      <c r="Z231" s="127" t="s">
        <v>212</v>
      </c>
      <c r="AA231" s="299">
        <v>0</v>
      </c>
      <c r="AC231" s="200">
        <v>1</v>
      </c>
      <c r="AE231" s="42"/>
      <c r="AF231" s="42"/>
    </row>
    <row r="232" spans="1:32" s="37" customFormat="1" x14ac:dyDescent="0.2">
      <c r="B232" s="62" t="s">
        <v>1124</v>
      </c>
      <c r="C232" s="170" t="s">
        <v>126</v>
      </c>
      <c r="D232" s="170"/>
      <c r="F232" s="170"/>
      <c r="G232" s="170"/>
      <c r="H232" s="244"/>
      <c r="I232" s="244"/>
      <c r="J232" s="170"/>
      <c r="K232" s="170"/>
      <c r="L232" s="170"/>
      <c r="M232" s="541">
        <v>1</v>
      </c>
      <c r="N232" s="515"/>
      <c r="O232" s="515"/>
      <c r="P232" s="515"/>
      <c r="Q232" s="371"/>
      <c r="R232" s="371"/>
      <c r="S232" s="371"/>
      <c r="T232" s="371"/>
      <c r="U232" s="126"/>
      <c r="V232" s="127"/>
      <c r="W232" s="127"/>
      <c r="X232" s="126" t="s">
        <v>92</v>
      </c>
      <c r="Y232" s="127"/>
      <c r="Z232" s="127"/>
      <c r="AA232" s="299">
        <v>1</v>
      </c>
      <c r="AC232" s="200">
        <v>1</v>
      </c>
      <c r="AE232" s="42"/>
      <c r="AF232" s="42"/>
    </row>
    <row r="233" spans="1:32" s="37" customFormat="1" x14ac:dyDescent="0.2">
      <c r="B233" s="62" t="s">
        <v>1125</v>
      </c>
      <c r="C233" s="170" t="s">
        <v>126</v>
      </c>
      <c r="D233" s="170"/>
      <c r="F233" s="170"/>
      <c r="G233" s="170"/>
      <c r="H233" s="244"/>
      <c r="I233" s="244"/>
      <c r="J233" s="170"/>
      <c r="K233" s="170"/>
      <c r="L233" s="170"/>
      <c r="M233" s="200">
        <v>0</v>
      </c>
      <c r="N233" s="515"/>
      <c r="O233" s="515"/>
      <c r="P233" s="515"/>
      <c r="Q233" s="371"/>
      <c r="R233" s="371"/>
      <c r="S233" s="371"/>
      <c r="T233" s="371"/>
      <c r="U233" s="126"/>
      <c r="V233" s="127"/>
      <c r="W233" s="127"/>
      <c r="X233" s="126"/>
      <c r="Y233" s="127"/>
      <c r="Z233" s="127"/>
      <c r="AA233" s="299">
        <v>0</v>
      </c>
      <c r="AC233" s="200">
        <v>1</v>
      </c>
      <c r="AE233" s="42"/>
      <c r="AF233" s="42"/>
    </row>
    <row r="234" spans="1:32" s="37" customFormat="1" x14ac:dyDescent="0.2">
      <c r="B234" s="62" t="s">
        <v>1126</v>
      </c>
      <c r="C234" s="170" t="s">
        <v>126</v>
      </c>
      <c r="D234" s="170"/>
      <c r="F234" s="170"/>
      <c r="G234" s="170"/>
      <c r="H234" s="244"/>
      <c r="I234" s="244"/>
      <c r="J234" s="170"/>
      <c r="K234" s="170"/>
      <c r="L234" s="170"/>
      <c r="M234" s="200">
        <v>0</v>
      </c>
      <c r="N234" s="515"/>
      <c r="O234" s="515"/>
      <c r="P234" s="515"/>
      <c r="Q234" s="371"/>
      <c r="R234" s="371"/>
      <c r="S234" s="371"/>
      <c r="T234" s="371"/>
      <c r="U234" s="126"/>
      <c r="V234" s="127"/>
      <c r="W234" s="127"/>
      <c r="X234" s="126"/>
      <c r="Y234" s="127"/>
      <c r="Z234" s="127"/>
      <c r="AA234" s="299">
        <v>0</v>
      </c>
      <c r="AC234" s="200">
        <v>0</v>
      </c>
      <c r="AE234" s="42"/>
      <c r="AF234" s="42"/>
    </row>
    <row r="235" spans="1:32" s="37" customFormat="1" x14ac:dyDescent="0.2">
      <c r="B235" s="62" t="s">
        <v>1127</v>
      </c>
      <c r="C235" s="170" t="s">
        <v>126</v>
      </c>
      <c r="D235" s="170"/>
      <c r="F235" s="170"/>
      <c r="G235" s="170"/>
      <c r="H235" s="244"/>
      <c r="I235" s="244"/>
      <c r="J235" s="170"/>
      <c r="K235" s="170"/>
      <c r="L235" s="170"/>
      <c r="M235" s="200">
        <v>1</v>
      </c>
      <c r="N235" s="515"/>
      <c r="O235" s="515"/>
      <c r="P235" s="515"/>
      <c r="Q235" s="371"/>
      <c r="R235" s="371"/>
      <c r="S235" s="371"/>
      <c r="T235" s="371"/>
      <c r="U235" s="126"/>
      <c r="V235" s="127"/>
      <c r="W235" s="127"/>
      <c r="X235" s="126"/>
      <c r="Y235" s="127"/>
      <c r="Z235" s="127"/>
      <c r="AA235" s="299">
        <v>0</v>
      </c>
      <c r="AC235" s="200">
        <v>1</v>
      </c>
      <c r="AE235" s="42"/>
      <c r="AF235" s="42"/>
    </row>
    <row r="236" spans="1:32" s="37" customFormat="1" x14ac:dyDescent="0.2">
      <c r="B236" s="62" t="s">
        <v>1128</v>
      </c>
      <c r="C236" s="170" t="s">
        <v>126</v>
      </c>
      <c r="D236" s="170"/>
      <c r="F236" s="170"/>
      <c r="G236" s="170"/>
      <c r="H236" s="244">
        <v>1</v>
      </c>
      <c r="I236" s="244"/>
      <c r="J236" s="170">
        <v>1</v>
      </c>
      <c r="K236" s="170">
        <v>9</v>
      </c>
      <c r="L236" s="170"/>
      <c r="M236" s="200">
        <v>1</v>
      </c>
      <c r="N236" s="515"/>
      <c r="O236" s="515"/>
      <c r="P236" s="515"/>
      <c r="Q236" s="371">
        <f>SUM(M236:M244)/K236</f>
        <v>0.66666666666666663</v>
      </c>
      <c r="R236" s="371"/>
      <c r="S236" s="371"/>
      <c r="T236" s="371"/>
      <c r="U236" s="126"/>
      <c r="V236" s="127"/>
      <c r="W236" s="127"/>
      <c r="X236" s="126"/>
      <c r="Y236" s="127"/>
      <c r="Z236" s="127"/>
      <c r="AA236" s="299">
        <v>1</v>
      </c>
      <c r="AC236" s="200">
        <v>0</v>
      </c>
      <c r="AE236" s="42"/>
      <c r="AF236" s="42"/>
    </row>
    <row r="237" spans="1:32" s="37" customFormat="1" x14ac:dyDescent="0.2">
      <c r="B237" s="62" t="s">
        <v>1129</v>
      </c>
      <c r="C237" s="170" t="s">
        <v>126</v>
      </c>
      <c r="D237" s="170"/>
      <c r="F237" s="170"/>
      <c r="G237" s="170"/>
      <c r="H237" s="244"/>
      <c r="I237" s="244"/>
      <c r="J237" s="170"/>
      <c r="K237" s="170"/>
      <c r="L237" s="170"/>
      <c r="M237" s="200">
        <v>1</v>
      </c>
      <c r="N237" s="515"/>
      <c r="O237" s="515"/>
      <c r="P237" s="515"/>
      <c r="Q237" s="371"/>
      <c r="R237" s="371"/>
      <c r="S237" s="371"/>
      <c r="T237" s="371"/>
      <c r="U237" s="126"/>
      <c r="V237" s="127"/>
      <c r="W237" s="127"/>
      <c r="X237" s="126"/>
      <c r="Y237" s="127"/>
      <c r="Z237" s="127"/>
      <c r="AA237" s="299">
        <v>1</v>
      </c>
      <c r="AC237" s="200">
        <v>1</v>
      </c>
      <c r="AE237" s="42"/>
      <c r="AF237" s="42"/>
    </row>
    <row r="238" spans="1:32" s="37" customFormat="1" x14ac:dyDescent="0.2">
      <c r="B238" s="62" t="s">
        <v>1130</v>
      </c>
      <c r="C238" s="170" t="s">
        <v>126</v>
      </c>
      <c r="D238" s="170"/>
      <c r="F238" s="170"/>
      <c r="G238" s="170"/>
      <c r="H238" s="244"/>
      <c r="I238" s="244"/>
      <c r="J238" s="170"/>
      <c r="K238" s="170"/>
      <c r="L238" s="170"/>
      <c r="M238" s="200">
        <v>1</v>
      </c>
      <c r="N238" s="515"/>
      <c r="O238" s="515"/>
      <c r="P238" s="515"/>
      <c r="Q238" s="371"/>
      <c r="R238" s="371"/>
      <c r="S238" s="371"/>
      <c r="T238" s="371"/>
      <c r="U238" s="126"/>
      <c r="V238" s="127"/>
      <c r="W238" s="127"/>
      <c r="X238" s="126"/>
      <c r="Y238" s="127"/>
      <c r="Z238" s="127"/>
      <c r="AA238" s="299">
        <v>0</v>
      </c>
      <c r="AC238" s="200">
        <v>1</v>
      </c>
      <c r="AE238" s="42"/>
      <c r="AF238" s="42"/>
    </row>
    <row r="239" spans="1:32" s="37" customFormat="1" x14ac:dyDescent="0.2">
      <c r="B239" s="62" t="s">
        <v>1131</v>
      </c>
      <c r="C239" s="170" t="s">
        <v>126</v>
      </c>
      <c r="D239" s="170"/>
      <c r="F239" s="170"/>
      <c r="G239" s="170"/>
      <c r="H239" s="244"/>
      <c r="I239" s="244"/>
      <c r="J239" s="170"/>
      <c r="K239" s="170"/>
      <c r="L239" s="170"/>
      <c r="M239" s="200">
        <v>0</v>
      </c>
      <c r="N239" s="515"/>
      <c r="O239" s="515"/>
      <c r="P239" s="515"/>
      <c r="Q239" s="371"/>
      <c r="R239" s="371"/>
      <c r="S239" s="371"/>
      <c r="T239" s="371"/>
      <c r="U239" s="126"/>
      <c r="V239" s="127"/>
      <c r="W239" s="127"/>
      <c r="X239" s="126"/>
      <c r="Y239" s="127"/>
      <c r="Z239" s="127"/>
      <c r="AA239" s="299">
        <v>0</v>
      </c>
      <c r="AC239" s="200">
        <v>0</v>
      </c>
      <c r="AE239" s="42"/>
      <c r="AF239" s="42"/>
    </row>
    <row r="240" spans="1:32" s="37" customFormat="1" x14ac:dyDescent="0.2">
      <c r="B240" s="62" t="s">
        <v>1132</v>
      </c>
      <c r="C240" s="170" t="s">
        <v>126</v>
      </c>
      <c r="D240" s="170"/>
      <c r="F240" s="170"/>
      <c r="G240" s="170"/>
      <c r="H240" s="244"/>
      <c r="I240" s="244"/>
      <c r="J240" s="170"/>
      <c r="K240" s="170"/>
      <c r="L240" s="170"/>
      <c r="M240" s="200">
        <v>1</v>
      </c>
      <c r="N240" s="515"/>
      <c r="O240" s="515"/>
      <c r="P240" s="515"/>
      <c r="Q240" s="371"/>
      <c r="R240" s="371"/>
      <c r="S240" s="371"/>
      <c r="T240" s="371"/>
      <c r="U240" s="126"/>
      <c r="V240" s="127"/>
      <c r="W240" s="127"/>
      <c r="X240" s="126"/>
      <c r="Y240" s="127"/>
      <c r="Z240" s="127"/>
      <c r="AA240" s="299">
        <v>0</v>
      </c>
      <c r="AC240" s="202">
        <v>1</v>
      </c>
      <c r="AE240" s="42"/>
      <c r="AF240" s="42"/>
    </row>
    <row r="241" spans="1:32" s="37" customFormat="1" x14ac:dyDescent="0.2">
      <c r="B241" s="62" t="s">
        <v>1133</v>
      </c>
      <c r="C241" s="170" t="s">
        <v>126</v>
      </c>
      <c r="D241" s="170"/>
      <c r="F241" s="170"/>
      <c r="G241" s="170"/>
      <c r="H241" s="244"/>
      <c r="I241" s="244"/>
      <c r="J241" s="170"/>
      <c r="K241" s="170"/>
      <c r="L241" s="170"/>
      <c r="M241" s="200">
        <v>0</v>
      </c>
      <c r="N241" s="515"/>
      <c r="O241" s="515"/>
      <c r="P241" s="515"/>
      <c r="Q241" s="371"/>
      <c r="R241" s="371"/>
      <c r="S241" s="371"/>
      <c r="T241" s="371"/>
      <c r="U241" s="126"/>
      <c r="V241" s="127"/>
      <c r="W241" s="127"/>
      <c r="X241" s="126"/>
      <c r="Y241" s="127"/>
      <c r="Z241" s="127"/>
      <c r="AA241" s="299">
        <v>0</v>
      </c>
      <c r="AC241" s="202" t="s">
        <v>907</v>
      </c>
      <c r="AE241" s="42"/>
      <c r="AF241" s="42"/>
    </row>
    <row r="242" spans="1:32" s="37" customFormat="1" x14ac:dyDescent="0.2">
      <c r="B242" s="62" t="s">
        <v>1134</v>
      </c>
      <c r="C242" s="170" t="s">
        <v>126</v>
      </c>
      <c r="D242" s="170"/>
      <c r="F242" s="170"/>
      <c r="G242" s="170"/>
      <c r="H242" s="244"/>
      <c r="I242" s="244"/>
      <c r="J242" s="170"/>
      <c r="K242" s="170"/>
      <c r="L242" s="170"/>
      <c r="M242" s="200">
        <v>1</v>
      </c>
      <c r="N242" s="515"/>
      <c r="O242" s="515"/>
      <c r="P242" s="515"/>
      <c r="Q242" s="371"/>
      <c r="R242" s="371"/>
      <c r="S242" s="371"/>
      <c r="T242" s="371"/>
      <c r="U242" s="126"/>
      <c r="V242" s="127"/>
      <c r="W242" s="127" t="s">
        <v>224</v>
      </c>
      <c r="X242" s="126"/>
      <c r="Y242" s="127"/>
      <c r="Z242" s="127" t="s">
        <v>224</v>
      </c>
      <c r="AA242" s="299">
        <v>0</v>
      </c>
      <c r="AC242" s="202">
        <v>1</v>
      </c>
      <c r="AE242" s="42"/>
      <c r="AF242" s="42"/>
    </row>
    <row r="243" spans="1:32" s="37" customFormat="1" x14ac:dyDescent="0.2">
      <c r="B243" s="62" t="s">
        <v>1135</v>
      </c>
      <c r="C243" s="170" t="s">
        <v>126</v>
      </c>
      <c r="D243" s="170"/>
      <c r="E243" s="19"/>
      <c r="F243" s="170"/>
      <c r="G243" s="170"/>
      <c r="H243" s="244"/>
      <c r="I243" s="244"/>
      <c r="J243" s="170"/>
      <c r="K243" s="170"/>
      <c r="L243" s="170"/>
      <c r="M243" s="200">
        <v>1</v>
      </c>
      <c r="N243" s="515"/>
      <c r="O243" s="515"/>
      <c r="P243" s="515"/>
      <c r="Q243" s="371"/>
      <c r="R243" s="371"/>
      <c r="S243" s="371"/>
      <c r="T243" s="371"/>
      <c r="U243" s="126"/>
      <c r="V243" s="127"/>
      <c r="W243" s="127" t="s">
        <v>224</v>
      </c>
      <c r="X243" s="126"/>
      <c r="Y243" s="127"/>
      <c r="Z243" s="127" t="s">
        <v>224</v>
      </c>
      <c r="AA243" s="299">
        <v>0</v>
      </c>
      <c r="AC243" s="202">
        <v>1</v>
      </c>
      <c r="AE243" s="42"/>
      <c r="AF243" s="42"/>
    </row>
    <row r="244" spans="1:32" s="37" customFormat="1" x14ac:dyDescent="0.2">
      <c r="B244" s="62" t="s">
        <v>1136</v>
      </c>
      <c r="C244" s="170" t="s">
        <v>126</v>
      </c>
      <c r="D244" s="170"/>
      <c r="E244" s="19"/>
      <c r="F244" s="170"/>
      <c r="G244" s="170"/>
      <c r="H244" s="244"/>
      <c r="I244" s="244"/>
      <c r="J244" s="170"/>
      <c r="K244" s="170"/>
      <c r="L244" s="170"/>
      <c r="M244" s="200">
        <v>0</v>
      </c>
      <c r="N244" s="515"/>
      <c r="O244" s="515"/>
      <c r="P244" s="515"/>
      <c r="Q244" s="371"/>
      <c r="R244" s="371"/>
      <c r="S244" s="371"/>
      <c r="T244" s="371"/>
      <c r="U244" s="126"/>
      <c r="V244" s="127"/>
      <c r="W244" s="127"/>
      <c r="X244" s="126"/>
      <c r="Y244" s="127"/>
      <c r="Z244" s="127"/>
      <c r="AA244" s="299">
        <v>0</v>
      </c>
      <c r="AC244" s="202">
        <v>1</v>
      </c>
      <c r="AE244" s="42"/>
      <c r="AF244" s="42"/>
    </row>
    <row r="245" spans="1:32" s="19" customFormat="1" x14ac:dyDescent="0.2">
      <c r="A245" s="19" t="s">
        <v>27</v>
      </c>
      <c r="B245" s="62" t="s">
        <v>1137</v>
      </c>
      <c r="C245" s="172"/>
      <c r="D245" s="172"/>
      <c r="F245" s="172"/>
      <c r="G245" s="172"/>
      <c r="H245" s="245">
        <v>1</v>
      </c>
      <c r="I245" s="245"/>
      <c r="J245" s="172">
        <v>1</v>
      </c>
      <c r="K245" s="172">
        <v>1</v>
      </c>
      <c r="L245" s="172"/>
      <c r="M245" s="540">
        <v>1</v>
      </c>
      <c r="N245" s="516"/>
      <c r="O245" s="516"/>
      <c r="P245" s="516"/>
      <c r="Q245" s="318">
        <v>1</v>
      </c>
      <c r="R245" s="318"/>
      <c r="S245" s="318"/>
      <c r="T245" s="318"/>
      <c r="U245" s="29"/>
      <c r="V245" s="127"/>
      <c r="W245" s="30"/>
      <c r="X245" s="29"/>
      <c r="Y245" s="127"/>
      <c r="Z245" s="30" t="s">
        <v>94</v>
      </c>
      <c r="AA245" s="300">
        <v>0</v>
      </c>
      <c r="AC245" s="202">
        <v>1</v>
      </c>
      <c r="AE245" s="42"/>
      <c r="AF245" s="42"/>
    </row>
    <row r="246" spans="1:32" s="19" customFormat="1" x14ac:dyDescent="0.2">
      <c r="B246" s="62" t="s">
        <v>1138</v>
      </c>
      <c r="C246" s="172"/>
      <c r="D246" s="172"/>
      <c r="F246" s="172"/>
      <c r="G246" s="172"/>
      <c r="H246" s="245" t="s">
        <v>27</v>
      </c>
      <c r="I246" s="245"/>
      <c r="J246" s="172"/>
      <c r="K246" s="172"/>
      <c r="L246" s="172"/>
      <c r="M246" s="202" t="s">
        <v>907</v>
      </c>
      <c r="N246" s="516"/>
      <c r="O246" s="516"/>
      <c r="P246" s="516"/>
      <c r="Q246" s="318"/>
      <c r="R246" s="318"/>
      <c r="S246" s="318"/>
      <c r="T246" s="318"/>
      <c r="U246" s="29"/>
      <c r="V246" s="127"/>
      <c r="W246" s="30"/>
      <c r="X246" s="29"/>
      <c r="Y246" s="127"/>
      <c r="Z246" s="30"/>
      <c r="AA246" s="300" t="s">
        <v>907</v>
      </c>
      <c r="AC246" s="202">
        <v>1</v>
      </c>
      <c r="AE246" s="42"/>
      <c r="AF246" s="42"/>
    </row>
    <row r="247" spans="1:32" s="19" customFormat="1" x14ac:dyDescent="0.2">
      <c r="A247" s="19">
        <v>3</v>
      </c>
      <c r="B247" s="62" t="s">
        <v>1139</v>
      </c>
      <c r="C247" s="172"/>
      <c r="D247" s="172"/>
      <c r="F247" s="172"/>
      <c r="G247" s="172">
        <v>1</v>
      </c>
      <c r="H247" s="245">
        <v>1</v>
      </c>
      <c r="I247" s="245"/>
      <c r="J247" s="172">
        <v>1</v>
      </c>
      <c r="K247" s="172">
        <v>10</v>
      </c>
      <c r="L247" s="172"/>
      <c r="M247" s="202">
        <v>1</v>
      </c>
      <c r="N247" s="516"/>
      <c r="O247" s="516"/>
      <c r="P247" s="516"/>
      <c r="Q247" s="318">
        <v>1</v>
      </c>
      <c r="R247" s="318"/>
      <c r="S247" s="318"/>
      <c r="T247" s="318"/>
      <c r="U247" s="29"/>
      <c r="V247" s="127"/>
      <c r="W247" s="30"/>
      <c r="X247" s="29"/>
      <c r="Y247" s="127"/>
      <c r="Z247" s="30"/>
      <c r="AA247" s="300">
        <v>1</v>
      </c>
      <c r="AC247" s="202">
        <v>1</v>
      </c>
      <c r="AE247" s="42"/>
      <c r="AF247" s="42"/>
    </row>
    <row r="248" spans="1:32" s="19" customFormat="1" x14ac:dyDescent="0.2">
      <c r="B248" s="62" t="s">
        <v>1140</v>
      </c>
      <c r="C248" s="172"/>
      <c r="D248" s="172"/>
      <c r="E248" s="233"/>
      <c r="F248" s="172"/>
      <c r="G248" s="172"/>
      <c r="H248" s="245"/>
      <c r="I248" s="245"/>
      <c r="J248" s="172"/>
      <c r="K248" s="172"/>
      <c r="L248" s="172"/>
      <c r="M248" s="202">
        <v>1</v>
      </c>
      <c r="N248" s="516"/>
      <c r="O248" s="516"/>
      <c r="P248" s="516"/>
      <c r="Q248" s="318"/>
      <c r="R248" s="318"/>
      <c r="S248" s="318"/>
      <c r="T248" s="318"/>
      <c r="U248" s="29"/>
      <c r="V248" s="127"/>
      <c r="W248" s="30"/>
      <c r="X248" s="29"/>
      <c r="Y248" s="127"/>
      <c r="Z248" s="30"/>
      <c r="AA248" s="300">
        <v>0</v>
      </c>
      <c r="AC248" s="202">
        <v>1</v>
      </c>
      <c r="AE248" s="42"/>
      <c r="AF248" s="42"/>
    </row>
    <row r="249" spans="1:32" s="19" customFormat="1" x14ac:dyDescent="0.2">
      <c r="B249" s="62" t="s">
        <v>1141</v>
      </c>
      <c r="C249" s="172"/>
      <c r="D249" s="172"/>
      <c r="F249" s="172"/>
      <c r="G249" s="172"/>
      <c r="H249" s="245"/>
      <c r="I249" s="245"/>
      <c r="J249" s="172"/>
      <c r="K249" s="172"/>
      <c r="L249" s="172"/>
      <c r="M249" s="202">
        <v>1</v>
      </c>
      <c r="N249" s="516"/>
      <c r="O249" s="516"/>
      <c r="P249" s="516"/>
      <c r="Q249" s="318"/>
      <c r="R249" s="318"/>
      <c r="S249" s="318"/>
      <c r="T249" s="318"/>
      <c r="U249" s="29"/>
      <c r="V249" s="127"/>
      <c r="W249" s="30"/>
      <c r="X249" s="29"/>
      <c r="Y249" s="127"/>
      <c r="Z249" s="30"/>
      <c r="AA249" s="300">
        <v>0</v>
      </c>
      <c r="AC249" s="202">
        <v>1</v>
      </c>
      <c r="AE249" s="42"/>
      <c r="AF249" s="42"/>
    </row>
    <row r="250" spans="1:32" s="19" customFormat="1" x14ac:dyDescent="0.2">
      <c r="B250" s="62" t="s">
        <v>1142</v>
      </c>
      <c r="C250" s="172" t="s">
        <v>126</v>
      </c>
      <c r="D250" s="172"/>
      <c r="F250" s="172"/>
      <c r="G250" s="172"/>
      <c r="H250" s="245"/>
      <c r="I250" s="245"/>
      <c r="J250" s="172"/>
      <c r="K250" s="172"/>
      <c r="L250" s="172"/>
      <c r="M250" s="540">
        <v>1</v>
      </c>
      <c r="N250" s="516"/>
      <c r="O250" s="516"/>
      <c r="P250" s="516"/>
      <c r="Q250" s="318"/>
      <c r="R250" s="318"/>
      <c r="S250" s="318"/>
      <c r="T250" s="318"/>
      <c r="U250" s="29"/>
      <c r="V250" s="127"/>
      <c r="W250" s="30"/>
      <c r="X250" s="29"/>
      <c r="Y250" s="127"/>
      <c r="Z250" s="30"/>
      <c r="AA250" s="542">
        <v>1</v>
      </c>
      <c r="AC250" s="202">
        <v>1</v>
      </c>
      <c r="AE250" s="42"/>
      <c r="AF250" s="42"/>
    </row>
    <row r="251" spans="1:32" s="19" customFormat="1" x14ac:dyDescent="0.2">
      <c r="B251" s="62" t="s">
        <v>1143</v>
      </c>
      <c r="C251" s="172" t="s">
        <v>126</v>
      </c>
      <c r="D251" s="172"/>
      <c r="F251" s="172"/>
      <c r="G251" s="172"/>
      <c r="H251" s="245"/>
      <c r="I251" s="245"/>
      <c r="J251" s="172"/>
      <c r="K251" s="172"/>
      <c r="L251" s="172"/>
      <c r="M251" s="202">
        <v>1</v>
      </c>
      <c r="N251" s="516"/>
      <c r="O251" s="516"/>
      <c r="P251" s="516"/>
      <c r="Q251" s="318"/>
      <c r="R251" s="318"/>
      <c r="S251" s="318"/>
      <c r="T251" s="318"/>
      <c r="U251" s="29"/>
      <c r="V251" s="127"/>
      <c r="W251" s="30"/>
      <c r="X251" s="29"/>
      <c r="Y251" s="127"/>
      <c r="Z251" s="30"/>
      <c r="AA251" s="300">
        <v>0</v>
      </c>
      <c r="AC251" s="202">
        <v>1</v>
      </c>
      <c r="AE251" s="42"/>
      <c r="AF251" s="42"/>
    </row>
    <row r="252" spans="1:32" s="19" customFormat="1" x14ac:dyDescent="0.2">
      <c r="B252" s="62" t="s">
        <v>1144</v>
      </c>
      <c r="C252" s="172" t="s">
        <v>126</v>
      </c>
      <c r="D252" s="172"/>
      <c r="F252" s="172"/>
      <c r="G252" s="172"/>
      <c r="H252" s="245"/>
      <c r="I252" s="245"/>
      <c r="J252" s="172"/>
      <c r="K252" s="172"/>
      <c r="L252" s="172"/>
      <c r="M252" s="540">
        <v>1</v>
      </c>
      <c r="N252" s="516"/>
      <c r="O252" s="516"/>
      <c r="P252" s="516"/>
      <c r="Q252" s="318"/>
      <c r="R252" s="318"/>
      <c r="S252" s="318"/>
      <c r="T252" s="318"/>
      <c r="U252" s="29" t="s">
        <v>234</v>
      </c>
      <c r="V252" s="127"/>
      <c r="W252" s="30" t="s">
        <v>234</v>
      </c>
      <c r="X252" s="29"/>
      <c r="Y252" s="127"/>
      <c r="Z252" s="30" t="s">
        <v>234</v>
      </c>
      <c r="AA252" s="300">
        <v>0</v>
      </c>
      <c r="AC252" s="202">
        <v>0</v>
      </c>
      <c r="AE252" s="42"/>
      <c r="AF252" s="42"/>
    </row>
    <row r="253" spans="1:32" s="19" customFormat="1" x14ac:dyDescent="0.2">
      <c r="B253" s="62" t="s">
        <v>1145</v>
      </c>
      <c r="C253" s="172" t="s">
        <v>126</v>
      </c>
      <c r="D253" s="172"/>
      <c r="F253" s="172"/>
      <c r="G253" s="172"/>
      <c r="H253" s="245"/>
      <c r="I253" s="245"/>
      <c r="J253" s="172"/>
      <c r="K253" s="172"/>
      <c r="L253" s="172"/>
      <c r="M253" s="202">
        <v>1</v>
      </c>
      <c r="N253" s="516"/>
      <c r="O253" s="516"/>
      <c r="P253" s="516"/>
      <c r="Q253" s="318"/>
      <c r="R253" s="318"/>
      <c r="S253" s="318"/>
      <c r="T253" s="318"/>
      <c r="U253" s="29" t="s">
        <v>27</v>
      </c>
      <c r="V253" s="127"/>
      <c r="W253" s="30" t="s">
        <v>234</v>
      </c>
      <c r="X253" s="29"/>
      <c r="Y253" s="127"/>
      <c r="Z253" s="30" t="s">
        <v>234</v>
      </c>
      <c r="AA253" s="300">
        <v>0</v>
      </c>
      <c r="AC253" s="202">
        <v>1</v>
      </c>
      <c r="AE253" s="42"/>
      <c r="AF253" s="42"/>
    </row>
    <row r="254" spans="1:32" s="19" customFormat="1" x14ac:dyDescent="0.2">
      <c r="B254" s="62" t="s">
        <v>1146</v>
      </c>
      <c r="C254" s="172" t="s">
        <v>126</v>
      </c>
      <c r="D254" s="172"/>
      <c r="F254" s="172"/>
      <c r="G254" s="172"/>
      <c r="H254" s="245"/>
      <c r="I254" s="245"/>
      <c r="J254" s="172"/>
      <c r="K254" s="172"/>
      <c r="L254" s="172"/>
      <c r="M254" s="540">
        <v>1</v>
      </c>
      <c r="N254" s="516"/>
      <c r="O254" s="516"/>
      <c r="P254" s="516"/>
      <c r="Q254" s="318"/>
      <c r="R254" s="318"/>
      <c r="S254" s="318"/>
      <c r="T254" s="318"/>
      <c r="U254" s="29" t="s">
        <v>92</v>
      </c>
      <c r="V254" s="127"/>
      <c r="W254" s="30" t="s">
        <v>94</v>
      </c>
      <c r="X254" s="29"/>
      <c r="Y254" s="127"/>
      <c r="Z254" s="30"/>
      <c r="AA254" s="300">
        <v>0</v>
      </c>
      <c r="AC254" s="202">
        <v>1</v>
      </c>
      <c r="AE254" s="42"/>
      <c r="AF254" s="42"/>
    </row>
    <row r="255" spans="1:32" s="19" customFormat="1" x14ac:dyDescent="0.2">
      <c r="B255" s="62" t="s">
        <v>1147</v>
      </c>
      <c r="C255" s="172" t="s">
        <v>126</v>
      </c>
      <c r="D255" s="172"/>
      <c r="F255" s="172"/>
      <c r="G255" s="172"/>
      <c r="H255" s="245"/>
      <c r="I255" s="245"/>
      <c r="J255" s="172"/>
      <c r="K255" s="172"/>
      <c r="L255" s="172"/>
      <c r="M255" s="202">
        <v>1</v>
      </c>
      <c r="N255" s="516"/>
      <c r="O255" s="516"/>
      <c r="P255" s="516"/>
      <c r="Q255" s="318"/>
      <c r="R255" s="318"/>
      <c r="S255" s="318"/>
      <c r="T255" s="318"/>
      <c r="U255" s="29"/>
      <c r="V255" s="127"/>
      <c r="W255" s="30"/>
      <c r="X255" s="29"/>
      <c r="Y255" s="127"/>
      <c r="Z255" s="30"/>
      <c r="AA255" s="300">
        <v>0</v>
      </c>
      <c r="AC255" s="202">
        <v>0</v>
      </c>
      <c r="AE255" s="42"/>
      <c r="AF255" s="42"/>
    </row>
    <row r="256" spans="1:32" s="19" customFormat="1" x14ac:dyDescent="0.2">
      <c r="B256" s="62" t="s">
        <v>1148</v>
      </c>
      <c r="C256" s="172" t="s">
        <v>126</v>
      </c>
      <c r="D256" s="172"/>
      <c r="F256" s="172"/>
      <c r="G256" s="172"/>
      <c r="H256" s="245"/>
      <c r="I256" s="245"/>
      <c r="J256" s="172"/>
      <c r="K256" s="172"/>
      <c r="L256" s="172"/>
      <c r="M256" s="202">
        <v>1</v>
      </c>
      <c r="N256" s="516"/>
      <c r="O256" s="516"/>
      <c r="P256" s="516"/>
      <c r="Q256" s="318"/>
      <c r="R256" s="318"/>
      <c r="S256" s="318"/>
      <c r="T256" s="318"/>
      <c r="U256" s="29"/>
      <c r="V256" s="127"/>
      <c r="W256" s="30"/>
      <c r="X256" s="29"/>
      <c r="Y256" s="127"/>
      <c r="Z256" s="30"/>
      <c r="AA256" s="300">
        <v>0</v>
      </c>
      <c r="AC256" s="202">
        <v>0</v>
      </c>
      <c r="AE256" s="42"/>
      <c r="AF256" s="42"/>
    </row>
    <row r="257" spans="1:32" s="19" customFormat="1" x14ac:dyDescent="0.2">
      <c r="A257" s="19" t="s">
        <v>27</v>
      </c>
      <c r="B257" s="62" t="s">
        <v>1149</v>
      </c>
      <c r="C257" s="172"/>
      <c r="D257" s="172"/>
      <c r="E257" s="1"/>
      <c r="F257" s="172"/>
      <c r="G257" s="172"/>
      <c r="H257" s="245">
        <v>1</v>
      </c>
      <c r="I257" s="245"/>
      <c r="J257" s="172">
        <v>1</v>
      </c>
      <c r="K257" s="172">
        <v>5</v>
      </c>
      <c r="L257" s="172"/>
      <c r="M257" s="202">
        <v>0</v>
      </c>
      <c r="N257" s="516"/>
      <c r="O257" s="516"/>
      <c r="P257" s="516"/>
      <c r="Q257" s="318">
        <f>SUM(M257:M261)/K257</f>
        <v>0.4</v>
      </c>
      <c r="R257" s="318"/>
      <c r="S257" s="318"/>
      <c r="T257" s="318"/>
      <c r="U257" s="29"/>
      <c r="V257" s="127"/>
      <c r="W257" s="30"/>
      <c r="X257" s="29"/>
      <c r="Y257" s="127"/>
      <c r="Z257" s="30"/>
      <c r="AA257" s="300">
        <v>0</v>
      </c>
      <c r="AC257" s="202">
        <v>0</v>
      </c>
      <c r="AE257" s="42"/>
      <c r="AF257" s="42"/>
    </row>
    <row r="258" spans="1:32" s="19" customFormat="1" x14ac:dyDescent="0.2">
      <c r="B258" s="62" t="s">
        <v>1150</v>
      </c>
      <c r="C258" s="172"/>
      <c r="D258" s="172"/>
      <c r="E258" s="1"/>
      <c r="F258" s="172"/>
      <c r="G258" s="172"/>
      <c r="H258" s="245" t="s">
        <v>27</v>
      </c>
      <c r="I258" s="245"/>
      <c r="J258" s="172"/>
      <c r="K258" s="172"/>
      <c r="L258" s="172"/>
      <c r="M258" s="540">
        <v>1</v>
      </c>
      <c r="N258" s="516"/>
      <c r="O258" s="516"/>
      <c r="P258" s="516"/>
      <c r="Q258" s="318"/>
      <c r="R258" s="318"/>
      <c r="S258" s="318"/>
      <c r="T258" s="318"/>
      <c r="U258" s="29" t="s">
        <v>1252</v>
      </c>
      <c r="V258" s="127"/>
      <c r="W258" s="30"/>
      <c r="X258" s="29"/>
      <c r="Y258" s="127"/>
      <c r="Z258" s="30"/>
      <c r="AA258" s="300">
        <v>0</v>
      </c>
      <c r="AC258" s="202">
        <v>0</v>
      </c>
      <c r="AE258" s="42"/>
      <c r="AF258" s="42"/>
    </row>
    <row r="259" spans="1:32" x14ac:dyDescent="0.2">
      <c r="A259" t="s">
        <v>27</v>
      </c>
      <c r="B259" s="62" t="s">
        <v>1151</v>
      </c>
      <c r="C259" s="90"/>
      <c r="D259" s="90"/>
      <c r="E259" s="19"/>
      <c r="F259" s="90"/>
      <c r="G259" s="90"/>
      <c r="H259" s="261" t="s">
        <v>27</v>
      </c>
      <c r="I259" s="261"/>
      <c r="J259" s="90"/>
      <c r="M259" s="202">
        <v>1</v>
      </c>
      <c r="U259" s="71"/>
      <c r="V259" s="127"/>
      <c r="W259" s="70"/>
      <c r="X259" s="71"/>
      <c r="Y259" s="127"/>
      <c r="Z259" s="70"/>
      <c r="AA259" s="300">
        <v>0</v>
      </c>
      <c r="AC259" s="202">
        <v>1</v>
      </c>
    </row>
    <row r="260" spans="1:32" x14ac:dyDescent="0.2">
      <c r="B260" s="62" t="s">
        <v>1152</v>
      </c>
      <c r="C260" s="90" t="s">
        <v>126</v>
      </c>
      <c r="D260" s="90"/>
      <c r="E260" s="19"/>
      <c r="F260" s="90"/>
      <c r="G260" s="90"/>
      <c r="H260" s="261" t="s">
        <v>27</v>
      </c>
      <c r="I260" s="261"/>
      <c r="J260" s="90" t="s">
        <v>27</v>
      </c>
      <c r="M260" s="202">
        <v>0</v>
      </c>
      <c r="U260" s="71"/>
      <c r="V260" s="127"/>
      <c r="W260" s="70"/>
      <c r="X260" s="71"/>
      <c r="Y260" s="127"/>
      <c r="Z260" s="70"/>
      <c r="AA260" s="300">
        <v>0</v>
      </c>
      <c r="AC260" s="202">
        <v>1</v>
      </c>
    </row>
    <row r="261" spans="1:32" s="19" customFormat="1" x14ac:dyDescent="0.2">
      <c r="A261" s="19" t="s">
        <v>27</v>
      </c>
      <c r="B261" s="62" t="s">
        <v>1153</v>
      </c>
      <c r="C261" s="172" t="s">
        <v>126</v>
      </c>
      <c r="D261" s="172"/>
      <c r="F261" s="172"/>
      <c r="G261" s="172"/>
      <c r="H261" s="245" t="s">
        <v>27</v>
      </c>
      <c r="I261" s="245"/>
      <c r="J261" s="172"/>
      <c r="K261" s="172" t="s">
        <v>27</v>
      </c>
      <c r="L261" s="172"/>
      <c r="M261" s="202">
        <v>0</v>
      </c>
      <c r="N261" s="516"/>
      <c r="O261" s="516"/>
      <c r="P261" s="516"/>
      <c r="Q261" s="318"/>
      <c r="R261" s="318"/>
      <c r="S261" s="318"/>
      <c r="T261" s="318"/>
      <c r="U261" s="29"/>
      <c r="V261" s="127"/>
      <c r="W261" s="30"/>
      <c r="X261" s="29"/>
      <c r="Y261" s="127"/>
      <c r="Z261" s="30"/>
      <c r="AA261" s="300">
        <v>0</v>
      </c>
      <c r="AC261" s="202">
        <v>1</v>
      </c>
      <c r="AE261" s="42"/>
      <c r="AF261" s="42"/>
    </row>
    <row r="262" spans="1:32" s="19" customFormat="1" x14ac:dyDescent="0.2">
      <c r="B262" s="62" t="s">
        <v>1154</v>
      </c>
      <c r="C262" s="172"/>
      <c r="D262" s="172"/>
      <c r="F262" s="172"/>
      <c r="G262" s="172"/>
      <c r="H262" s="245">
        <v>1</v>
      </c>
      <c r="I262" s="245"/>
      <c r="J262" s="172">
        <v>1</v>
      </c>
      <c r="K262" s="172">
        <v>2</v>
      </c>
      <c r="L262" s="172"/>
      <c r="M262" s="202">
        <v>0</v>
      </c>
      <c r="N262" s="516"/>
      <c r="O262" s="516"/>
      <c r="P262" s="516"/>
      <c r="Q262" s="318">
        <v>0</v>
      </c>
      <c r="R262" s="318"/>
      <c r="S262" s="318"/>
      <c r="T262" s="318"/>
      <c r="U262" s="29"/>
      <c r="V262" s="127"/>
      <c r="W262" s="30"/>
      <c r="X262" s="29"/>
      <c r="Y262" s="127"/>
      <c r="Z262" s="30"/>
      <c r="AA262" s="300">
        <v>0</v>
      </c>
      <c r="AC262" s="202">
        <v>1</v>
      </c>
      <c r="AE262" s="42"/>
      <c r="AF262" s="42"/>
    </row>
    <row r="263" spans="1:32" s="19" customFormat="1" x14ac:dyDescent="0.2">
      <c r="B263" s="62" t="s">
        <v>1155</v>
      </c>
      <c r="C263" s="172"/>
      <c r="D263" s="172"/>
      <c r="F263" s="172"/>
      <c r="G263" s="172"/>
      <c r="H263" s="245" t="s">
        <v>27</v>
      </c>
      <c r="I263" s="245"/>
      <c r="J263" s="172"/>
      <c r="K263" s="172"/>
      <c r="L263" s="172"/>
      <c r="M263" s="202">
        <v>0</v>
      </c>
      <c r="N263" s="516"/>
      <c r="O263" s="516"/>
      <c r="P263" s="516"/>
      <c r="Q263" s="318"/>
      <c r="R263" s="318"/>
      <c r="S263" s="318"/>
      <c r="T263" s="318"/>
      <c r="U263" s="29"/>
      <c r="V263" s="30"/>
      <c r="W263" s="30"/>
      <c r="X263" s="29"/>
      <c r="Y263" s="127"/>
      <c r="Z263" s="30"/>
      <c r="AA263" s="300">
        <v>0</v>
      </c>
      <c r="AC263" s="202">
        <v>1</v>
      </c>
      <c r="AE263" s="42"/>
      <c r="AF263" s="42"/>
    </row>
    <row r="264" spans="1:32" s="273" customFormat="1" x14ac:dyDescent="0.2">
      <c r="A264" s="273" t="s">
        <v>34</v>
      </c>
      <c r="B264" s="274" t="s">
        <v>35</v>
      </c>
      <c r="C264" s="275"/>
      <c r="D264" s="275"/>
      <c r="F264" s="275">
        <v>1</v>
      </c>
      <c r="G264" s="285">
        <v>1</v>
      </c>
      <c r="H264" s="292">
        <f>SUM(H265:H326)</f>
        <v>17</v>
      </c>
      <c r="I264" s="294">
        <f>SUM(J265:J296)/H264</f>
        <v>0.47058823529411764</v>
      </c>
      <c r="J264" s="292">
        <f>SUM(J265:J326)</f>
        <v>17</v>
      </c>
      <c r="K264" s="292">
        <f>SUM(K265:K326)</f>
        <v>62</v>
      </c>
      <c r="L264" s="291">
        <f>+M264/K264</f>
        <v>0.9838709677419355</v>
      </c>
      <c r="M264" s="292">
        <f>SUM(M265:M326)</f>
        <v>61</v>
      </c>
      <c r="N264" s="513"/>
      <c r="O264" s="513"/>
      <c r="P264" s="513"/>
      <c r="Q264" s="373">
        <f>SUM((Q265*K265)+(Q268*K268)+(Q274*K274)+(Q280*K280)+(Q283*K283)+(Q288*K288)+(Q292*K292)+(Q296*K296)+(Q300*K300)+(Q303*K303)+(Q307*K307)+(+Q311*K311)+(Q314*K314)+(Q317*K317)+(Q320*K320)+(Q324*K324)+(Q326*K326))/K264</f>
        <v>0.9838709677419355</v>
      </c>
      <c r="R264" s="373"/>
      <c r="S264" s="373">
        <f>_xlfn.STDEV.P(R265:R281)</f>
        <v>5.8823529411764698E-2</v>
      </c>
      <c r="T264" s="373">
        <f>+T282</f>
        <v>1.4705882352941175E-2</v>
      </c>
      <c r="U264" s="543">
        <f>COUNTA(U265:U326)</f>
        <v>4</v>
      </c>
      <c r="V264" s="543">
        <f t="shared" ref="V264:Z264" si="5">COUNTA(V265:V326)</f>
        <v>0</v>
      </c>
      <c r="W264" s="543">
        <f t="shared" si="5"/>
        <v>0</v>
      </c>
      <c r="X264" s="543">
        <f t="shared" si="5"/>
        <v>0</v>
      </c>
      <c r="Y264" s="543">
        <f t="shared" si="5"/>
        <v>0</v>
      </c>
      <c r="Z264" s="543">
        <f t="shared" si="5"/>
        <v>0</v>
      </c>
      <c r="AA264" s="316">
        <f>SUM(AA265:AA296)/K264</f>
        <v>0</v>
      </c>
      <c r="AC264" s="202">
        <v>1</v>
      </c>
      <c r="AD264" s="284">
        <f>+U264/M264</f>
        <v>6.5573770491803282E-2</v>
      </c>
      <c r="AE264" s="333"/>
      <c r="AF264" s="333"/>
    </row>
    <row r="265" spans="1:32" s="19" customFormat="1" x14ac:dyDescent="0.2">
      <c r="A265" s="19">
        <v>1</v>
      </c>
      <c r="B265" s="62" t="s">
        <v>1156</v>
      </c>
      <c r="C265" s="172" t="s">
        <v>27</v>
      </c>
      <c r="D265" s="172" t="s">
        <v>885</v>
      </c>
      <c r="F265" s="172"/>
      <c r="G265" s="172">
        <v>1</v>
      </c>
      <c r="H265" s="245">
        <v>1</v>
      </c>
      <c r="I265" s="245"/>
      <c r="J265" s="172">
        <v>1</v>
      </c>
      <c r="K265" s="172">
        <v>3</v>
      </c>
      <c r="L265" s="172"/>
      <c r="M265" s="202">
        <v>1</v>
      </c>
      <c r="N265" s="614">
        <f>AVERAGE(M265:M326)</f>
        <v>0.9838709677419355</v>
      </c>
      <c r="O265" s="614">
        <f>_xlfn.STDEV.P(M265:M326)</f>
        <v>0.12597176896623635</v>
      </c>
      <c r="P265" s="615">
        <f>STDEV(M265:M326)/(SQRT(COUNT(M265:M326)))</f>
        <v>1.6129032258064519E-2</v>
      </c>
      <c r="Q265" s="318">
        <v>1</v>
      </c>
      <c r="R265" s="318">
        <f>+Q265</f>
        <v>1</v>
      </c>
      <c r="S265" s="318"/>
      <c r="T265" s="318"/>
      <c r="U265" s="29"/>
      <c r="V265" s="30"/>
      <c r="W265" s="30"/>
      <c r="X265" s="29"/>
      <c r="Y265" s="30"/>
      <c r="Z265" s="30"/>
      <c r="AA265" s="300">
        <v>0</v>
      </c>
      <c r="AC265" s="202">
        <v>1</v>
      </c>
      <c r="AE265" s="42"/>
      <c r="AF265" s="42"/>
    </row>
    <row r="266" spans="1:32" s="19" customFormat="1" x14ac:dyDescent="0.2">
      <c r="B266" s="62" t="s">
        <v>1157</v>
      </c>
      <c r="C266" s="172" t="s">
        <v>27</v>
      </c>
      <c r="D266" s="172" t="s">
        <v>885</v>
      </c>
      <c r="F266" s="172"/>
      <c r="G266" s="172"/>
      <c r="H266" s="245"/>
      <c r="I266" s="245"/>
      <c r="J266" s="172"/>
      <c r="K266" s="172"/>
      <c r="L266" s="172"/>
      <c r="M266" s="202">
        <v>1</v>
      </c>
      <c r="N266" s="516"/>
      <c r="O266" s="516"/>
      <c r="P266" s="516"/>
      <c r="Q266" s="318"/>
      <c r="R266" s="318">
        <f>+Q268</f>
        <v>1</v>
      </c>
      <c r="S266" s="318"/>
      <c r="T266" s="318"/>
      <c r="U266" s="29" t="s">
        <v>27</v>
      </c>
      <c r="V266" s="30"/>
      <c r="W266" s="30"/>
      <c r="X266" s="29"/>
      <c r="Y266" s="30"/>
      <c r="Z266" s="30"/>
      <c r="AA266" s="300">
        <v>0</v>
      </c>
      <c r="AC266" s="202">
        <v>1</v>
      </c>
      <c r="AE266" s="42"/>
      <c r="AF266" s="42"/>
    </row>
    <row r="267" spans="1:32" s="19" customFormat="1" x14ac:dyDescent="0.2">
      <c r="B267" s="62" t="s">
        <v>1158</v>
      </c>
      <c r="C267" s="172" t="s">
        <v>27</v>
      </c>
      <c r="D267" s="172" t="s">
        <v>885</v>
      </c>
      <c r="F267" s="172"/>
      <c r="G267" s="172"/>
      <c r="H267" s="245"/>
      <c r="I267" s="245"/>
      <c r="J267" s="172"/>
      <c r="K267" s="172"/>
      <c r="L267" s="172"/>
      <c r="M267" s="202">
        <v>1</v>
      </c>
      <c r="N267" s="516"/>
      <c r="O267" s="516"/>
      <c r="P267" s="516"/>
      <c r="Q267" s="318"/>
      <c r="R267" s="318">
        <f>+Q274</f>
        <v>1</v>
      </c>
      <c r="S267" s="318"/>
      <c r="T267" s="318"/>
      <c r="U267" s="29" t="s">
        <v>92</v>
      </c>
      <c r="V267" s="30"/>
      <c r="W267" s="30"/>
      <c r="X267" s="29"/>
      <c r="Y267" s="30"/>
      <c r="Z267" s="30"/>
      <c r="AA267" s="300">
        <v>0</v>
      </c>
      <c r="AC267" s="202">
        <v>1</v>
      </c>
      <c r="AE267" s="42"/>
      <c r="AF267" s="42"/>
    </row>
    <row r="268" spans="1:32" s="19" customFormat="1" x14ac:dyDescent="0.2">
      <c r="A268" s="19" t="s">
        <v>27</v>
      </c>
      <c r="B268" s="62" t="s">
        <v>1159</v>
      </c>
      <c r="C268" s="172" t="s">
        <v>27</v>
      </c>
      <c r="D268" s="172" t="s">
        <v>885</v>
      </c>
      <c r="F268" s="172"/>
      <c r="G268" s="172"/>
      <c r="H268" s="245">
        <v>1</v>
      </c>
      <c r="I268" s="245"/>
      <c r="J268" s="172">
        <v>1</v>
      </c>
      <c r="K268" s="172">
        <v>6</v>
      </c>
      <c r="L268" s="172"/>
      <c r="M268" s="202">
        <v>1</v>
      </c>
      <c r="N268" s="516"/>
      <c r="O268" s="516"/>
      <c r="P268" s="516"/>
      <c r="Q268" s="318">
        <v>1</v>
      </c>
      <c r="R268" s="318">
        <f>+Q280</f>
        <v>1</v>
      </c>
      <c r="S268" s="318"/>
      <c r="T268" s="318"/>
      <c r="U268" s="29"/>
      <c r="V268" s="30"/>
      <c r="W268" s="30"/>
      <c r="X268" s="29"/>
      <c r="Y268" s="30"/>
      <c r="Z268" s="30"/>
      <c r="AA268" s="300">
        <v>0</v>
      </c>
      <c r="AC268" s="202">
        <v>1</v>
      </c>
      <c r="AE268" s="42"/>
      <c r="AF268" s="42"/>
    </row>
    <row r="269" spans="1:32" s="19" customFormat="1" x14ac:dyDescent="0.2">
      <c r="B269" s="62" t="s">
        <v>1160</v>
      </c>
      <c r="C269" s="172" t="s">
        <v>27</v>
      </c>
      <c r="D269" s="172" t="s">
        <v>885</v>
      </c>
      <c r="F269" s="172"/>
      <c r="G269" s="172"/>
      <c r="H269" s="245"/>
      <c r="I269" s="245"/>
      <c r="J269" s="172"/>
      <c r="K269" s="172"/>
      <c r="L269" s="172"/>
      <c r="M269" s="202">
        <v>1</v>
      </c>
      <c r="N269" s="516"/>
      <c r="O269" s="516"/>
      <c r="P269" s="516"/>
      <c r="Q269" s="318"/>
      <c r="R269" s="318">
        <f>+Q283</f>
        <v>1</v>
      </c>
      <c r="S269" s="318"/>
      <c r="T269" s="318"/>
      <c r="U269" s="29" t="s">
        <v>92</v>
      </c>
      <c r="V269" s="30"/>
      <c r="W269" s="30"/>
      <c r="X269" s="29"/>
      <c r="Y269" s="30"/>
      <c r="Z269" s="30"/>
      <c r="AA269" s="300">
        <v>0</v>
      </c>
      <c r="AC269" s="202">
        <v>1</v>
      </c>
      <c r="AE269" s="42"/>
      <c r="AF269" s="42"/>
    </row>
    <row r="270" spans="1:32" s="19" customFormat="1" x14ac:dyDescent="0.2">
      <c r="B270" s="62" t="s">
        <v>1161</v>
      </c>
      <c r="C270" s="172" t="s">
        <v>27</v>
      </c>
      <c r="D270" s="172" t="s">
        <v>885</v>
      </c>
      <c r="F270" s="172"/>
      <c r="G270" s="172"/>
      <c r="H270" s="245"/>
      <c r="I270" s="245"/>
      <c r="J270" s="172"/>
      <c r="K270" s="172"/>
      <c r="L270" s="172"/>
      <c r="M270" s="202">
        <v>1</v>
      </c>
      <c r="N270" s="516"/>
      <c r="O270" s="516"/>
      <c r="P270" s="516"/>
      <c r="Q270" s="318"/>
      <c r="R270" s="318">
        <f>+Q288</f>
        <v>1</v>
      </c>
      <c r="S270" s="318"/>
      <c r="T270" s="318"/>
      <c r="U270" s="29"/>
      <c r="V270" s="30"/>
      <c r="W270" s="30"/>
      <c r="X270" s="29"/>
      <c r="Y270" s="30"/>
      <c r="Z270" s="30"/>
      <c r="AA270" s="300">
        <v>0</v>
      </c>
      <c r="AC270" s="202">
        <v>1</v>
      </c>
      <c r="AE270" s="42"/>
      <c r="AF270" s="42"/>
    </row>
    <row r="271" spans="1:32" s="19" customFormat="1" x14ac:dyDescent="0.2">
      <c r="B271" s="62" t="s">
        <v>1162</v>
      </c>
      <c r="C271" s="172"/>
      <c r="D271" s="172"/>
      <c r="F271" s="172"/>
      <c r="G271" s="172"/>
      <c r="H271" s="245"/>
      <c r="I271" s="245"/>
      <c r="J271" s="172"/>
      <c r="K271" s="172" t="s">
        <v>27</v>
      </c>
      <c r="L271" s="172"/>
      <c r="M271" s="202">
        <v>1</v>
      </c>
      <c r="N271" s="516"/>
      <c r="O271" s="516"/>
      <c r="P271" s="516"/>
      <c r="Q271" s="318" t="s">
        <v>27</v>
      </c>
      <c r="R271" s="318">
        <f>+Q292</f>
        <v>0.75</v>
      </c>
      <c r="S271" s="318"/>
      <c r="T271" s="318"/>
      <c r="U271" s="29"/>
      <c r="V271" s="30"/>
      <c r="W271" s="30"/>
      <c r="X271" s="29"/>
      <c r="Y271" s="30"/>
      <c r="Z271" s="30"/>
      <c r="AA271" s="300"/>
      <c r="AC271" s="202">
        <v>1</v>
      </c>
      <c r="AE271" s="42"/>
      <c r="AF271" s="42"/>
    </row>
    <row r="272" spans="1:32" s="19" customFormat="1" x14ac:dyDescent="0.2">
      <c r="B272" s="62" t="s">
        <v>1163</v>
      </c>
      <c r="C272" s="172"/>
      <c r="D272" s="172"/>
      <c r="F272" s="172"/>
      <c r="G272" s="172"/>
      <c r="H272" s="245"/>
      <c r="I272" s="245"/>
      <c r="J272" s="172"/>
      <c r="K272" s="172"/>
      <c r="L272" s="172"/>
      <c r="M272" s="202">
        <v>1</v>
      </c>
      <c r="N272" s="516"/>
      <c r="O272" s="516"/>
      <c r="P272" s="516"/>
      <c r="Q272" s="318"/>
      <c r="R272" s="318">
        <f>+Q296</f>
        <v>1</v>
      </c>
      <c r="S272" s="318"/>
      <c r="T272" s="318"/>
      <c r="U272" s="29"/>
      <c r="V272" s="30"/>
      <c r="W272" s="30"/>
      <c r="X272" s="29"/>
      <c r="Y272" s="30"/>
      <c r="Z272" s="30"/>
      <c r="AA272" s="300"/>
      <c r="AC272" s="202">
        <v>1</v>
      </c>
      <c r="AE272" s="42"/>
      <c r="AF272" s="42"/>
    </row>
    <row r="273" spans="1:32" s="19" customFormat="1" x14ac:dyDescent="0.2">
      <c r="B273" s="62" t="s">
        <v>1164</v>
      </c>
      <c r="C273" s="172"/>
      <c r="D273" s="172"/>
      <c r="F273" s="172"/>
      <c r="G273" s="172"/>
      <c r="H273" s="245"/>
      <c r="I273" s="245"/>
      <c r="J273" s="172"/>
      <c r="K273" s="172"/>
      <c r="L273" s="172"/>
      <c r="M273" s="202">
        <v>1</v>
      </c>
      <c r="N273" s="516"/>
      <c r="O273" s="516"/>
      <c r="P273" s="516"/>
      <c r="Q273" s="318"/>
      <c r="R273" s="318">
        <f>+Q300</f>
        <v>1</v>
      </c>
      <c r="S273" s="318"/>
      <c r="T273" s="318"/>
      <c r="U273" s="29"/>
      <c r="V273" s="30"/>
      <c r="W273" s="30"/>
      <c r="X273" s="29"/>
      <c r="Y273" s="30"/>
      <c r="Z273" s="30"/>
      <c r="AA273" s="300"/>
      <c r="AC273" s="202">
        <v>1</v>
      </c>
      <c r="AE273" s="42"/>
      <c r="AF273" s="42"/>
    </row>
    <row r="274" spans="1:32" s="19" customFormat="1" x14ac:dyDescent="0.2">
      <c r="A274" s="19" t="s">
        <v>27</v>
      </c>
      <c r="B274" s="62" t="s">
        <v>1165</v>
      </c>
      <c r="C274" s="172" t="s">
        <v>27</v>
      </c>
      <c r="D274" s="172" t="s">
        <v>885</v>
      </c>
      <c r="F274" s="172"/>
      <c r="G274" s="172"/>
      <c r="H274" s="245">
        <v>1</v>
      </c>
      <c r="I274" s="245"/>
      <c r="J274" s="172">
        <v>1</v>
      </c>
      <c r="K274" s="172">
        <v>6</v>
      </c>
      <c r="L274" s="172"/>
      <c r="M274" s="202">
        <v>1</v>
      </c>
      <c r="N274" s="516"/>
      <c r="O274" s="516"/>
      <c r="P274" s="516"/>
      <c r="Q274" s="318">
        <v>1</v>
      </c>
      <c r="R274" s="318">
        <f>+Q303</f>
        <v>1</v>
      </c>
      <c r="S274" s="318"/>
      <c r="T274" s="318"/>
      <c r="U274" s="29"/>
      <c r="V274" s="30"/>
      <c r="W274" s="30"/>
      <c r="X274" s="29"/>
      <c r="Y274" s="30"/>
      <c r="Z274" s="30"/>
      <c r="AA274" s="300">
        <v>0</v>
      </c>
      <c r="AC274" s="202">
        <v>1</v>
      </c>
      <c r="AE274" s="42"/>
      <c r="AF274" s="42"/>
    </row>
    <row r="275" spans="1:32" s="19" customFormat="1" x14ac:dyDescent="0.2">
      <c r="B275" s="62" t="s">
        <v>1166</v>
      </c>
      <c r="C275" s="172" t="s">
        <v>27</v>
      </c>
      <c r="D275" s="172" t="s">
        <v>885</v>
      </c>
      <c r="F275" s="172"/>
      <c r="G275" s="172"/>
      <c r="H275" s="245"/>
      <c r="I275" s="245"/>
      <c r="J275" s="172"/>
      <c r="K275" s="172"/>
      <c r="L275" s="172"/>
      <c r="M275" s="202">
        <v>1</v>
      </c>
      <c r="N275" s="516"/>
      <c r="O275" s="516"/>
      <c r="P275" s="516"/>
      <c r="Q275" s="318"/>
      <c r="R275" s="318">
        <f>+Q307</f>
        <v>1</v>
      </c>
      <c r="S275" s="318"/>
      <c r="T275" s="318"/>
      <c r="U275" s="29" t="s">
        <v>27</v>
      </c>
      <c r="V275" s="30"/>
      <c r="W275" s="30"/>
      <c r="X275" s="29"/>
      <c r="Y275" s="30"/>
      <c r="Z275" s="30"/>
      <c r="AA275" s="300">
        <v>0</v>
      </c>
      <c r="AC275" s="202">
        <v>1</v>
      </c>
      <c r="AE275" s="42"/>
      <c r="AF275" s="42"/>
    </row>
    <row r="276" spans="1:32" s="19" customFormat="1" x14ac:dyDescent="0.2">
      <c r="B276" s="62" t="s">
        <v>1167</v>
      </c>
      <c r="C276" s="172" t="s">
        <v>27</v>
      </c>
      <c r="D276" s="172" t="s">
        <v>885</v>
      </c>
      <c r="F276" s="172"/>
      <c r="G276" s="172"/>
      <c r="H276" s="245"/>
      <c r="I276" s="245"/>
      <c r="J276" s="172"/>
      <c r="K276" s="172"/>
      <c r="L276" s="172"/>
      <c r="M276" s="202">
        <v>1</v>
      </c>
      <c r="N276" s="516"/>
      <c r="O276" s="516"/>
      <c r="P276" s="516"/>
      <c r="Q276" s="318"/>
      <c r="R276" s="318">
        <f>+Q311</f>
        <v>1</v>
      </c>
      <c r="S276" s="318"/>
      <c r="T276" s="318"/>
      <c r="U276" s="29"/>
      <c r="V276" s="30"/>
      <c r="W276" s="30"/>
      <c r="X276" s="29"/>
      <c r="Y276" s="30"/>
      <c r="Z276" s="30"/>
      <c r="AA276" s="300">
        <v>0</v>
      </c>
      <c r="AC276" s="202">
        <v>1</v>
      </c>
      <c r="AE276" s="42"/>
      <c r="AF276" s="42"/>
    </row>
    <row r="277" spans="1:32" s="19" customFormat="1" x14ac:dyDescent="0.2">
      <c r="B277" s="62" t="s">
        <v>1168</v>
      </c>
      <c r="C277" s="172"/>
      <c r="D277" s="172"/>
      <c r="F277" s="172"/>
      <c r="G277" s="172"/>
      <c r="H277" s="245" t="s">
        <v>27</v>
      </c>
      <c r="I277" s="245"/>
      <c r="J277" s="172" t="s">
        <v>27</v>
      </c>
      <c r="K277" s="172" t="s">
        <v>27</v>
      </c>
      <c r="L277" s="172"/>
      <c r="M277" s="202">
        <v>1</v>
      </c>
      <c r="N277" s="516"/>
      <c r="O277" s="516"/>
      <c r="P277" s="516"/>
      <c r="Q277" s="318" t="s">
        <v>27</v>
      </c>
      <c r="R277" s="318">
        <f>+Q314</f>
        <v>1</v>
      </c>
      <c r="S277" s="318"/>
      <c r="T277" s="318"/>
      <c r="U277" s="29"/>
      <c r="V277" s="30"/>
      <c r="W277" s="30"/>
      <c r="X277" s="29"/>
      <c r="Y277" s="30"/>
      <c r="Z277" s="30"/>
      <c r="AA277" s="300"/>
      <c r="AC277" s="202">
        <v>1</v>
      </c>
      <c r="AE277" s="42"/>
      <c r="AF277" s="42"/>
    </row>
    <row r="278" spans="1:32" s="19" customFormat="1" x14ac:dyDescent="0.2">
      <c r="B278" s="62" t="s">
        <v>1169</v>
      </c>
      <c r="C278" s="172"/>
      <c r="D278" s="172"/>
      <c r="F278" s="172"/>
      <c r="G278" s="172"/>
      <c r="H278" s="245"/>
      <c r="I278" s="245"/>
      <c r="J278" s="172"/>
      <c r="K278" s="172"/>
      <c r="L278" s="172"/>
      <c r="M278" s="202">
        <v>1</v>
      </c>
      <c r="N278" s="516"/>
      <c r="O278" s="516"/>
      <c r="P278" s="516"/>
      <c r="Q278" s="318"/>
      <c r="R278" s="318">
        <f>+Q317</f>
        <v>1</v>
      </c>
      <c r="S278" s="318"/>
      <c r="T278" s="318"/>
      <c r="U278" s="29"/>
      <c r="V278" s="30"/>
      <c r="W278" s="30"/>
      <c r="X278" s="29"/>
      <c r="Y278" s="30"/>
      <c r="Z278" s="30"/>
      <c r="AA278" s="300"/>
      <c r="AC278" s="202">
        <v>1</v>
      </c>
      <c r="AE278" s="42"/>
      <c r="AF278" s="42"/>
    </row>
    <row r="279" spans="1:32" s="19" customFormat="1" x14ac:dyDescent="0.2">
      <c r="B279" s="62" t="s">
        <v>1170</v>
      </c>
      <c r="C279" s="172"/>
      <c r="D279" s="172"/>
      <c r="F279" s="172"/>
      <c r="G279" s="172"/>
      <c r="H279" s="245"/>
      <c r="I279" s="245"/>
      <c r="J279" s="172"/>
      <c r="K279" s="172"/>
      <c r="L279" s="172"/>
      <c r="M279" s="202">
        <v>1</v>
      </c>
      <c r="N279" s="516"/>
      <c r="O279" s="516"/>
      <c r="P279" s="516"/>
      <c r="Q279" s="318"/>
      <c r="R279" s="318">
        <f>+Q320</f>
        <v>1</v>
      </c>
      <c r="S279" s="318"/>
      <c r="T279" s="318"/>
      <c r="U279" s="29"/>
      <c r="V279" s="30"/>
      <c r="W279" s="30"/>
      <c r="X279" s="29"/>
      <c r="Y279" s="30"/>
      <c r="Z279" s="30"/>
      <c r="AA279" s="300"/>
      <c r="AC279" s="202">
        <v>1</v>
      </c>
      <c r="AE279" s="42"/>
      <c r="AF279" s="42"/>
    </row>
    <row r="280" spans="1:32" s="19" customFormat="1" x14ac:dyDescent="0.2">
      <c r="B280" s="62" t="s">
        <v>1171</v>
      </c>
      <c r="C280" s="172"/>
      <c r="D280" s="172"/>
      <c r="F280" s="172"/>
      <c r="G280" s="172"/>
      <c r="H280" s="245">
        <v>1</v>
      </c>
      <c r="I280" s="245"/>
      <c r="J280" s="172">
        <v>1</v>
      </c>
      <c r="K280" s="172">
        <v>3</v>
      </c>
      <c r="L280" s="172"/>
      <c r="M280" s="202">
        <v>1</v>
      </c>
      <c r="N280" s="516"/>
      <c r="O280" s="516"/>
      <c r="P280" s="516"/>
      <c r="Q280" s="318">
        <v>1</v>
      </c>
      <c r="R280" s="318">
        <f>+Q324</f>
        <v>1</v>
      </c>
      <c r="S280" s="318"/>
      <c r="T280" s="318"/>
      <c r="U280" s="29"/>
      <c r="V280" s="30"/>
      <c r="W280" s="30"/>
      <c r="X280" s="29"/>
      <c r="Y280" s="30"/>
      <c r="Z280" s="30"/>
      <c r="AA280" s="300"/>
      <c r="AC280" s="202">
        <v>1</v>
      </c>
      <c r="AE280" s="42"/>
      <c r="AF280" s="42"/>
    </row>
    <row r="281" spans="1:32" s="19" customFormat="1" x14ac:dyDescent="0.2">
      <c r="B281" s="62" t="s">
        <v>1172</v>
      </c>
      <c r="C281" s="172"/>
      <c r="D281" s="172"/>
      <c r="F281" s="172"/>
      <c r="G281" s="172"/>
      <c r="H281" s="245"/>
      <c r="I281" s="245"/>
      <c r="J281" s="172"/>
      <c r="K281" s="172"/>
      <c r="L281" s="172"/>
      <c r="M281" s="202">
        <v>1</v>
      </c>
      <c r="N281" s="516"/>
      <c r="O281" s="516"/>
      <c r="P281" s="516"/>
      <c r="Q281" s="318"/>
      <c r="R281" s="318">
        <f>+Q326</f>
        <v>1</v>
      </c>
      <c r="S281" s="318"/>
      <c r="T281" s="318"/>
      <c r="U281" s="29"/>
      <c r="V281" s="30"/>
      <c r="W281" s="30"/>
      <c r="X281" s="29"/>
      <c r="Y281" s="30"/>
      <c r="Z281" s="30"/>
      <c r="AA281" s="300"/>
      <c r="AC281" s="202">
        <v>1</v>
      </c>
      <c r="AE281" s="42"/>
      <c r="AF281" s="42"/>
    </row>
    <row r="282" spans="1:32" s="19" customFormat="1" x14ac:dyDescent="0.2">
      <c r="B282" s="62" t="s">
        <v>1173</v>
      </c>
      <c r="C282" s="172"/>
      <c r="D282" s="172"/>
      <c r="F282" s="172"/>
      <c r="G282" s="172"/>
      <c r="H282" s="245"/>
      <c r="I282" s="245"/>
      <c r="J282" s="172"/>
      <c r="K282" s="172"/>
      <c r="L282" s="172"/>
      <c r="M282" s="202">
        <v>1</v>
      </c>
      <c r="N282" s="516"/>
      <c r="O282" s="516"/>
      <c r="P282" s="516"/>
      <c r="Q282" s="318"/>
      <c r="R282" s="383">
        <f>AVERAGE(R265:R281)</f>
        <v>0.98529411764705888</v>
      </c>
      <c r="S282" s="383"/>
      <c r="T282" s="380">
        <f>STDEV(R265:R281)/(SQRT(COUNT(R265:R281)))</f>
        <v>1.4705882352941175E-2</v>
      </c>
      <c r="U282" s="29"/>
      <c r="V282" s="30"/>
      <c r="W282" s="30"/>
      <c r="X282" s="29"/>
      <c r="Y282" s="30"/>
      <c r="Z282" s="30"/>
      <c r="AA282" s="300"/>
      <c r="AC282" s="202">
        <v>1</v>
      </c>
      <c r="AE282" s="42"/>
      <c r="AF282" s="42"/>
    </row>
    <row r="283" spans="1:32" s="19" customFormat="1" x14ac:dyDescent="0.2">
      <c r="B283" s="62" t="s">
        <v>1174</v>
      </c>
      <c r="C283" s="172"/>
      <c r="D283" s="172"/>
      <c r="F283" s="172"/>
      <c r="G283" s="172"/>
      <c r="H283" s="245">
        <v>1</v>
      </c>
      <c r="I283" s="245"/>
      <c r="J283" s="172">
        <v>1</v>
      </c>
      <c r="K283" s="172">
        <v>5</v>
      </c>
      <c r="L283" s="172"/>
      <c r="M283" s="202">
        <v>1</v>
      </c>
      <c r="N283" s="516"/>
      <c r="O283" s="516"/>
      <c r="P283" s="516"/>
      <c r="Q283" s="318">
        <v>1</v>
      </c>
      <c r="R283" s="318"/>
      <c r="S283" s="318"/>
      <c r="T283" s="318"/>
      <c r="U283" s="29"/>
      <c r="V283" s="30"/>
      <c r="W283" s="30"/>
      <c r="X283" s="29"/>
      <c r="Y283" s="30"/>
      <c r="Z283" s="30"/>
      <c r="AA283" s="300"/>
      <c r="AC283" s="202">
        <v>1</v>
      </c>
      <c r="AE283" s="42"/>
      <c r="AF283" s="42"/>
    </row>
    <row r="284" spans="1:32" s="19" customFormat="1" x14ac:dyDescent="0.2">
      <c r="B284" s="62" t="s">
        <v>1175</v>
      </c>
      <c r="C284" s="172"/>
      <c r="D284" s="172"/>
      <c r="F284" s="172"/>
      <c r="G284" s="172"/>
      <c r="H284" s="245"/>
      <c r="I284" s="245"/>
      <c r="J284" s="172"/>
      <c r="K284" s="172"/>
      <c r="L284" s="172"/>
      <c r="M284" s="202">
        <v>1</v>
      </c>
      <c r="N284" s="516"/>
      <c r="O284" s="516"/>
      <c r="P284" s="516"/>
      <c r="Q284" s="318"/>
      <c r="R284" s="318"/>
      <c r="S284" s="318"/>
      <c r="T284" s="318"/>
      <c r="U284" s="29"/>
      <c r="V284" s="30"/>
      <c r="W284" s="30"/>
      <c r="X284" s="29"/>
      <c r="Y284" s="30"/>
      <c r="Z284" s="30"/>
      <c r="AA284" s="300"/>
      <c r="AC284" s="202">
        <v>1</v>
      </c>
      <c r="AE284" s="42"/>
      <c r="AF284" s="42"/>
    </row>
    <row r="285" spans="1:32" s="19" customFormat="1" x14ac:dyDescent="0.2">
      <c r="B285" s="62" t="s">
        <v>1176</v>
      </c>
      <c r="C285" s="172"/>
      <c r="D285" s="172"/>
      <c r="F285" s="172"/>
      <c r="G285" s="172"/>
      <c r="H285" s="245"/>
      <c r="I285" s="245"/>
      <c r="J285" s="172"/>
      <c r="K285" s="172"/>
      <c r="L285" s="172"/>
      <c r="M285" s="202">
        <v>1</v>
      </c>
      <c r="N285" s="516"/>
      <c r="O285" s="516"/>
      <c r="P285" s="516"/>
      <c r="Q285" s="318"/>
      <c r="R285" s="318"/>
      <c r="S285" s="318"/>
      <c r="T285" s="318"/>
      <c r="U285" s="29"/>
      <c r="V285" s="30"/>
      <c r="W285" s="30"/>
      <c r="X285" s="29"/>
      <c r="Y285" s="30"/>
      <c r="Z285" s="30"/>
      <c r="AA285" s="300"/>
      <c r="AC285" s="202">
        <v>1</v>
      </c>
      <c r="AE285" s="42"/>
      <c r="AF285" s="42"/>
    </row>
    <row r="286" spans="1:32" s="19" customFormat="1" x14ac:dyDescent="0.2">
      <c r="B286" s="62" t="s">
        <v>1177</v>
      </c>
      <c r="C286" s="172"/>
      <c r="D286" s="172"/>
      <c r="F286" s="172"/>
      <c r="G286" s="172"/>
      <c r="K286" s="172" t="s">
        <v>27</v>
      </c>
      <c r="L286" s="172"/>
      <c r="M286" s="202">
        <v>1</v>
      </c>
      <c r="N286" s="516"/>
      <c r="O286" s="516"/>
      <c r="P286" s="516"/>
      <c r="Q286" s="318" t="s">
        <v>27</v>
      </c>
      <c r="R286" s="318"/>
      <c r="S286" s="318"/>
      <c r="T286" s="318"/>
      <c r="U286" s="29"/>
      <c r="V286" s="30"/>
      <c r="W286" s="30"/>
      <c r="X286" s="29"/>
      <c r="Y286" s="30"/>
      <c r="Z286" s="30"/>
      <c r="AA286" s="300"/>
      <c r="AC286" s="202">
        <v>0</v>
      </c>
      <c r="AE286" s="42"/>
      <c r="AF286" s="42"/>
    </row>
    <row r="287" spans="1:32" s="19" customFormat="1" x14ac:dyDescent="0.2">
      <c r="B287" s="62" t="s">
        <v>1178</v>
      </c>
      <c r="C287" s="172"/>
      <c r="D287" s="172"/>
      <c r="F287" s="172"/>
      <c r="G287" s="172"/>
      <c r="H287" s="245"/>
      <c r="I287" s="245"/>
      <c r="J287" s="172"/>
      <c r="K287" s="172"/>
      <c r="L287" s="172"/>
      <c r="M287" s="202">
        <v>1</v>
      </c>
      <c r="N287" s="516"/>
      <c r="O287" s="516"/>
      <c r="P287" s="516"/>
      <c r="Q287" s="318"/>
      <c r="R287" s="318"/>
      <c r="S287" s="318"/>
      <c r="T287" s="318"/>
      <c r="U287" s="29"/>
      <c r="V287" s="30"/>
      <c r="W287" s="30"/>
      <c r="X287" s="29"/>
      <c r="Y287" s="30"/>
      <c r="Z287" s="30"/>
      <c r="AA287" s="300"/>
      <c r="AC287" s="202">
        <v>1</v>
      </c>
      <c r="AE287" s="42"/>
      <c r="AF287" s="42"/>
    </row>
    <row r="288" spans="1:32" s="19" customFormat="1" x14ac:dyDescent="0.2">
      <c r="B288" s="62" t="s">
        <v>1179</v>
      </c>
      <c r="C288" s="172"/>
      <c r="D288" s="172"/>
      <c r="F288" s="172"/>
      <c r="G288" s="172"/>
      <c r="H288" s="245">
        <v>1</v>
      </c>
      <c r="I288" s="245"/>
      <c r="J288" s="172">
        <v>1</v>
      </c>
      <c r="K288" s="172">
        <v>4</v>
      </c>
      <c r="L288" s="172"/>
      <c r="M288" s="202">
        <v>1</v>
      </c>
      <c r="N288" s="516"/>
      <c r="O288" s="516"/>
      <c r="P288" s="516"/>
      <c r="Q288" s="318">
        <v>1</v>
      </c>
      <c r="R288" s="318"/>
      <c r="S288" s="318"/>
      <c r="T288" s="318"/>
      <c r="U288" s="29"/>
      <c r="V288" s="30"/>
      <c r="W288" s="30"/>
      <c r="X288" s="29"/>
      <c r="Y288" s="30"/>
      <c r="Z288" s="30"/>
      <c r="AA288" s="300"/>
      <c r="AC288" s="202">
        <v>1</v>
      </c>
      <c r="AE288" s="42"/>
      <c r="AF288" s="42"/>
    </row>
    <row r="289" spans="1:32" s="19" customFormat="1" x14ac:dyDescent="0.2">
      <c r="B289" s="62" t="s">
        <v>1180</v>
      </c>
      <c r="C289" s="172"/>
      <c r="D289" s="172"/>
      <c r="F289" s="172"/>
      <c r="G289" s="172"/>
      <c r="H289" s="245"/>
      <c r="I289" s="245"/>
      <c r="J289" s="172"/>
      <c r="K289" s="172"/>
      <c r="L289" s="172"/>
      <c r="M289" s="202">
        <v>1</v>
      </c>
      <c r="N289" s="516"/>
      <c r="O289" s="516"/>
      <c r="P289" s="516"/>
      <c r="Q289" s="318"/>
      <c r="R289" s="318"/>
      <c r="S289" s="318"/>
      <c r="T289" s="318"/>
      <c r="U289" s="29"/>
      <c r="V289" s="30"/>
      <c r="W289" s="30"/>
      <c r="X289" s="29"/>
      <c r="Y289" s="30"/>
      <c r="Z289" s="30"/>
      <c r="AA289" s="300"/>
      <c r="AC289" s="202">
        <v>1</v>
      </c>
      <c r="AE289" s="42"/>
      <c r="AF289" s="42"/>
    </row>
    <row r="290" spans="1:32" s="19" customFormat="1" x14ac:dyDescent="0.2">
      <c r="B290" s="62" t="s">
        <v>1181</v>
      </c>
      <c r="C290" s="172"/>
      <c r="D290" s="172"/>
      <c r="F290" s="172"/>
      <c r="G290" s="172"/>
      <c r="H290" s="245"/>
      <c r="I290" s="245"/>
      <c r="J290" s="172"/>
      <c r="K290" s="172"/>
      <c r="L290" s="172"/>
      <c r="M290" s="202">
        <v>1</v>
      </c>
      <c r="N290" s="516"/>
      <c r="O290" s="516"/>
      <c r="P290" s="516"/>
      <c r="Q290" s="318"/>
      <c r="R290" s="318"/>
      <c r="S290" s="318"/>
      <c r="T290" s="318"/>
      <c r="U290" s="29"/>
      <c r="V290" s="30"/>
      <c r="W290" s="30"/>
      <c r="X290" s="29"/>
      <c r="Y290" s="30"/>
      <c r="Z290" s="30"/>
      <c r="AA290" s="300"/>
      <c r="AC290" s="202">
        <v>1</v>
      </c>
      <c r="AE290" s="42"/>
      <c r="AF290" s="42"/>
    </row>
    <row r="291" spans="1:32" s="19" customFormat="1" x14ac:dyDescent="0.2">
      <c r="B291" s="62" t="s">
        <v>1182</v>
      </c>
      <c r="C291" s="172"/>
      <c r="D291" s="172"/>
      <c r="F291" s="172"/>
      <c r="G291" s="172"/>
      <c r="H291" s="245"/>
      <c r="I291" s="245"/>
      <c r="J291" s="172"/>
      <c r="K291" s="172"/>
      <c r="L291" s="172"/>
      <c r="M291" s="202">
        <v>1</v>
      </c>
      <c r="N291" s="516"/>
      <c r="O291" s="516"/>
      <c r="P291" s="516"/>
      <c r="Q291" s="318"/>
      <c r="R291" s="318"/>
      <c r="S291" s="318"/>
      <c r="T291" s="318"/>
      <c r="U291" s="29"/>
      <c r="V291" s="30"/>
      <c r="W291" s="30"/>
      <c r="X291" s="29"/>
      <c r="Y291" s="30"/>
      <c r="Z291" s="30"/>
      <c r="AA291" s="300"/>
      <c r="AC291" s="202">
        <v>1</v>
      </c>
      <c r="AE291" s="42"/>
      <c r="AF291" s="42"/>
    </row>
    <row r="292" spans="1:32" s="19" customFormat="1" x14ac:dyDescent="0.2">
      <c r="B292" s="62" t="s">
        <v>1183</v>
      </c>
      <c r="C292" s="172"/>
      <c r="D292" s="172"/>
      <c r="F292" s="172"/>
      <c r="G292" s="172"/>
      <c r="H292" s="245">
        <v>1</v>
      </c>
      <c r="I292" s="245"/>
      <c r="J292" s="172">
        <v>1</v>
      </c>
      <c r="K292" s="172">
        <v>4</v>
      </c>
      <c r="L292" s="172"/>
      <c r="M292" s="202">
        <v>0</v>
      </c>
      <c r="N292" s="516"/>
      <c r="O292" s="516"/>
      <c r="P292" s="516"/>
      <c r="Q292" s="318">
        <v>0.75</v>
      </c>
      <c r="R292" s="318"/>
      <c r="S292" s="318"/>
      <c r="T292" s="318"/>
      <c r="U292" s="29"/>
      <c r="V292" s="30"/>
      <c r="W292" s="30"/>
      <c r="X292" s="29"/>
      <c r="Y292" s="30"/>
      <c r="Z292" s="30"/>
      <c r="AA292" s="300"/>
      <c r="AC292" s="202">
        <v>1</v>
      </c>
      <c r="AE292" s="42"/>
      <c r="AF292" s="42"/>
    </row>
    <row r="293" spans="1:32" s="19" customFormat="1" x14ac:dyDescent="0.2">
      <c r="B293" s="62" t="s">
        <v>1184</v>
      </c>
      <c r="C293" s="172"/>
      <c r="D293" s="172"/>
      <c r="F293" s="172"/>
      <c r="G293" s="172"/>
      <c r="H293" s="245"/>
      <c r="I293" s="245"/>
      <c r="J293" s="172"/>
      <c r="K293" s="172"/>
      <c r="L293" s="172"/>
      <c r="M293" s="202">
        <v>1</v>
      </c>
      <c r="N293" s="516"/>
      <c r="O293" s="516"/>
      <c r="P293" s="516"/>
      <c r="Q293" s="318"/>
      <c r="R293" s="318"/>
      <c r="S293" s="318"/>
      <c r="T293" s="318"/>
      <c r="U293" s="29"/>
      <c r="V293" s="30"/>
      <c r="W293" s="30"/>
      <c r="X293" s="29"/>
      <c r="Y293" s="30"/>
      <c r="Z293" s="30"/>
      <c r="AA293" s="300"/>
      <c r="AC293" s="202">
        <v>1</v>
      </c>
      <c r="AE293" s="42"/>
      <c r="AF293" s="42"/>
    </row>
    <row r="294" spans="1:32" s="19" customFormat="1" x14ac:dyDescent="0.2">
      <c r="B294" s="62" t="s">
        <v>1185</v>
      </c>
      <c r="C294" s="172"/>
      <c r="D294" s="172"/>
      <c r="F294" s="172"/>
      <c r="G294" s="172"/>
      <c r="H294" s="245"/>
      <c r="I294" s="245"/>
      <c r="J294" s="172"/>
      <c r="K294" s="172"/>
      <c r="L294" s="172"/>
      <c r="M294" s="202">
        <v>1</v>
      </c>
      <c r="N294" s="516"/>
      <c r="O294" s="516"/>
      <c r="P294" s="516"/>
      <c r="Q294" s="318"/>
      <c r="R294" s="318"/>
      <c r="S294" s="318"/>
      <c r="T294" s="318"/>
      <c r="U294" s="29"/>
      <c r="V294" s="30"/>
      <c r="W294" s="30"/>
      <c r="X294" s="29"/>
      <c r="Y294" s="30"/>
      <c r="Z294" s="30"/>
      <c r="AA294" s="300"/>
      <c r="AC294" s="202">
        <v>1</v>
      </c>
      <c r="AE294" s="42"/>
      <c r="AF294" s="42"/>
    </row>
    <row r="295" spans="1:32" s="19" customFormat="1" x14ac:dyDescent="0.2">
      <c r="B295" s="62" t="s">
        <v>1186</v>
      </c>
      <c r="C295" s="172"/>
      <c r="D295" s="172"/>
      <c r="F295" s="172"/>
      <c r="G295" s="172"/>
      <c r="H295" s="245"/>
      <c r="I295" s="245"/>
      <c r="J295" s="172"/>
      <c r="K295" s="172"/>
      <c r="L295" s="172"/>
      <c r="M295" s="202">
        <v>1</v>
      </c>
      <c r="N295" s="516"/>
      <c r="O295" s="516"/>
      <c r="P295" s="516"/>
      <c r="Q295" s="318"/>
      <c r="R295" s="318"/>
      <c r="S295" s="318"/>
      <c r="T295" s="318"/>
      <c r="U295" s="29"/>
      <c r="V295" s="30"/>
      <c r="W295" s="30"/>
      <c r="X295" s="29"/>
      <c r="Y295" s="30"/>
      <c r="Z295" s="30"/>
      <c r="AA295" s="300"/>
      <c r="AC295" s="202">
        <v>1</v>
      </c>
      <c r="AE295" s="42"/>
      <c r="AF295" s="42"/>
    </row>
    <row r="296" spans="1:32" s="19" customFormat="1" x14ac:dyDescent="0.2">
      <c r="A296" s="19" t="s">
        <v>27</v>
      </c>
      <c r="B296" s="62" t="s">
        <v>1187</v>
      </c>
      <c r="C296" s="172" t="s">
        <v>27</v>
      </c>
      <c r="D296" s="172"/>
      <c r="F296" s="172"/>
      <c r="G296" s="172"/>
      <c r="H296" s="245">
        <v>1</v>
      </c>
      <c r="I296" s="245"/>
      <c r="J296" s="172">
        <v>1</v>
      </c>
      <c r="K296" s="172">
        <v>4</v>
      </c>
      <c r="L296" s="172"/>
      <c r="M296" s="202">
        <v>1</v>
      </c>
      <c r="N296" s="516"/>
      <c r="O296" s="516"/>
      <c r="P296" s="516"/>
      <c r="Q296" s="318">
        <v>1</v>
      </c>
      <c r="R296" s="318"/>
      <c r="S296" s="318"/>
      <c r="T296" s="318"/>
      <c r="U296" s="29"/>
      <c r="V296" s="30"/>
      <c r="W296" s="30"/>
      <c r="X296" s="29"/>
      <c r="Y296" s="30"/>
      <c r="Z296" s="30"/>
      <c r="AA296" s="300">
        <v>0</v>
      </c>
      <c r="AC296" s="202">
        <v>1</v>
      </c>
      <c r="AE296" s="42"/>
      <c r="AF296" s="42"/>
    </row>
    <row r="297" spans="1:32" s="19" customFormat="1" x14ac:dyDescent="0.2">
      <c r="B297" s="62" t="s">
        <v>1188</v>
      </c>
      <c r="C297" s="172"/>
      <c r="D297" s="172"/>
      <c r="F297" s="172"/>
      <c r="G297" s="172"/>
      <c r="H297" s="245"/>
      <c r="I297" s="245"/>
      <c r="J297" s="172"/>
      <c r="K297" s="172"/>
      <c r="L297" s="172"/>
      <c r="M297" s="202">
        <v>1</v>
      </c>
      <c r="N297" s="516"/>
      <c r="O297" s="516"/>
      <c r="P297" s="516"/>
      <c r="Q297" s="318"/>
      <c r="R297" s="318"/>
      <c r="S297" s="318"/>
      <c r="T297" s="318"/>
      <c r="U297" s="29"/>
      <c r="V297" s="30"/>
      <c r="W297" s="30"/>
      <c r="X297" s="29"/>
      <c r="Y297" s="30"/>
      <c r="Z297" s="30"/>
      <c r="AA297" s="300"/>
      <c r="AC297" s="202">
        <v>1</v>
      </c>
      <c r="AE297" s="42"/>
      <c r="AF297" s="42"/>
    </row>
    <row r="298" spans="1:32" s="19" customFormat="1" x14ac:dyDescent="0.2">
      <c r="B298" s="62" t="s">
        <v>1189</v>
      </c>
      <c r="C298" s="172"/>
      <c r="D298" s="172"/>
      <c r="F298" s="172"/>
      <c r="G298" s="172"/>
      <c r="H298" s="245"/>
      <c r="I298" s="245"/>
      <c r="J298" s="172"/>
      <c r="K298" s="172"/>
      <c r="L298" s="172"/>
      <c r="M298" s="202">
        <v>1</v>
      </c>
      <c r="N298" s="516"/>
      <c r="O298" s="516"/>
      <c r="P298" s="516"/>
      <c r="Q298" s="318"/>
      <c r="R298" s="318"/>
      <c r="S298" s="318"/>
      <c r="T298" s="318"/>
      <c r="U298" s="29"/>
      <c r="V298" s="30"/>
      <c r="W298" s="30"/>
      <c r="X298" s="29"/>
      <c r="Y298" s="30"/>
      <c r="Z298" s="30"/>
      <c r="AA298" s="300"/>
      <c r="AC298" s="202">
        <v>1</v>
      </c>
      <c r="AE298" s="42"/>
      <c r="AF298" s="42"/>
    </row>
    <row r="299" spans="1:32" s="19" customFormat="1" x14ac:dyDescent="0.2">
      <c r="B299" s="62" t="s">
        <v>1190</v>
      </c>
      <c r="C299" s="172"/>
      <c r="D299" s="172"/>
      <c r="F299" s="172"/>
      <c r="G299" s="172"/>
      <c r="H299" s="245"/>
      <c r="I299" s="245"/>
      <c r="J299" s="172"/>
      <c r="K299" s="172"/>
      <c r="L299" s="172"/>
      <c r="M299" s="202">
        <v>1</v>
      </c>
      <c r="N299" s="516"/>
      <c r="O299" s="516"/>
      <c r="P299" s="516"/>
      <c r="Q299" s="318"/>
      <c r="R299" s="318"/>
      <c r="S299" s="318"/>
      <c r="T299" s="318"/>
      <c r="U299" s="29"/>
      <c r="V299" s="30"/>
      <c r="W299" s="30"/>
      <c r="X299" s="29"/>
      <c r="Y299" s="30"/>
      <c r="Z299" s="30"/>
      <c r="AA299" s="300"/>
      <c r="AC299" s="202">
        <v>1</v>
      </c>
      <c r="AE299" s="42"/>
      <c r="AF299" s="42"/>
    </row>
    <row r="300" spans="1:32" s="19" customFormat="1" x14ac:dyDescent="0.2">
      <c r="B300" s="62" t="s">
        <v>1191</v>
      </c>
      <c r="C300" s="172"/>
      <c r="D300" s="172"/>
      <c r="F300" s="172"/>
      <c r="G300" s="172"/>
      <c r="H300" s="245">
        <v>1</v>
      </c>
      <c r="I300" s="245"/>
      <c r="J300" s="172">
        <v>1</v>
      </c>
      <c r="K300" s="172">
        <v>3</v>
      </c>
      <c r="L300" s="172"/>
      <c r="M300" s="202">
        <v>1</v>
      </c>
      <c r="N300" s="516"/>
      <c r="O300" s="516"/>
      <c r="P300" s="516"/>
      <c r="Q300" s="318">
        <v>1</v>
      </c>
      <c r="R300" s="318"/>
      <c r="S300" s="318"/>
      <c r="T300" s="318"/>
      <c r="U300" s="29"/>
      <c r="V300" s="30"/>
      <c r="W300" s="30"/>
      <c r="X300" s="29"/>
      <c r="Y300" s="30"/>
      <c r="Z300" s="30"/>
      <c r="AA300" s="300"/>
      <c r="AC300" s="202">
        <v>1</v>
      </c>
      <c r="AE300" s="42"/>
      <c r="AF300" s="42"/>
    </row>
    <row r="301" spans="1:32" s="19" customFormat="1" x14ac:dyDescent="0.2">
      <c r="B301" s="62" t="s">
        <v>1192</v>
      </c>
      <c r="C301" s="172"/>
      <c r="D301" s="172"/>
      <c r="F301" s="172"/>
      <c r="G301" s="172"/>
      <c r="H301" s="245"/>
      <c r="I301" s="245"/>
      <c r="J301" s="172"/>
      <c r="K301" s="172"/>
      <c r="L301" s="172"/>
      <c r="M301" s="202">
        <v>1</v>
      </c>
      <c r="N301" s="516"/>
      <c r="O301" s="516"/>
      <c r="P301" s="516"/>
      <c r="Q301" s="318"/>
      <c r="R301" s="318"/>
      <c r="S301" s="318"/>
      <c r="T301" s="318"/>
      <c r="U301" s="29"/>
      <c r="V301" s="30"/>
      <c r="W301" s="30"/>
      <c r="X301" s="29"/>
      <c r="Y301" s="30"/>
      <c r="Z301" s="30"/>
      <c r="AA301" s="300"/>
      <c r="AC301" s="202">
        <v>1</v>
      </c>
      <c r="AE301" s="42"/>
      <c r="AF301" s="42"/>
    </row>
    <row r="302" spans="1:32" s="19" customFormat="1" x14ac:dyDescent="0.2">
      <c r="B302" s="62" t="s">
        <v>1193</v>
      </c>
      <c r="C302" s="172"/>
      <c r="D302" s="172"/>
      <c r="F302" s="172"/>
      <c r="G302" s="172"/>
      <c r="H302" s="245"/>
      <c r="I302" s="245"/>
      <c r="J302" s="172"/>
      <c r="K302" s="172"/>
      <c r="L302" s="172"/>
      <c r="M302" s="202">
        <v>1</v>
      </c>
      <c r="N302" s="516"/>
      <c r="O302" s="516"/>
      <c r="P302" s="516"/>
      <c r="Q302" s="318"/>
      <c r="R302" s="318"/>
      <c r="S302" s="318"/>
      <c r="T302" s="318"/>
      <c r="U302" s="29"/>
      <c r="V302" s="30"/>
      <c r="W302" s="30"/>
      <c r="X302" s="29"/>
      <c r="Y302" s="30"/>
      <c r="Z302" s="30"/>
      <c r="AA302" s="300"/>
      <c r="AC302" s="202">
        <v>1</v>
      </c>
      <c r="AE302" s="42"/>
      <c r="AF302" s="42"/>
    </row>
    <row r="303" spans="1:32" s="19" customFormat="1" x14ac:dyDescent="0.2">
      <c r="B303" s="62" t="s">
        <v>1194</v>
      </c>
      <c r="C303" s="172"/>
      <c r="D303" s="172"/>
      <c r="F303" s="172"/>
      <c r="G303" s="172"/>
      <c r="H303" s="245">
        <v>1</v>
      </c>
      <c r="I303" s="245"/>
      <c r="J303" s="172">
        <v>1</v>
      </c>
      <c r="K303" s="172">
        <v>4</v>
      </c>
      <c r="L303" s="172"/>
      <c r="M303" s="202">
        <v>1</v>
      </c>
      <c r="N303" s="516"/>
      <c r="O303" s="516"/>
      <c r="P303" s="516"/>
      <c r="Q303" s="318">
        <v>1</v>
      </c>
      <c r="R303" s="318"/>
      <c r="S303" s="318"/>
      <c r="T303" s="318"/>
      <c r="U303" s="29"/>
      <c r="V303" s="30"/>
      <c r="W303" s="30"/>
      <c r="X303" s="29"/>
      <c r="Y303" s="30"/>
      <c r="Z303" s="30"/>
      <c r="AA303" s="300"/>
      <c r="AC303" s="202">
        <v>1</v>
      </c>
      <c r="AE303" s="42"/>
      <c r="AF303" s="42"/>
    </row>
    <row r="304" spans="1:32" s="19" customFormat="1" x14ac:dyDescent="0.2">
      <c r="B304" s="62" t="s">
        <v>1195</v>
      </c>
      <c r="C304" s="172"/>
      <c r="D304" s="172"/>
      <c r="F304" s="172"/>
      <c r="G304" s="172"/>
      <c r="H304" s="245"/>
      <c r="I304" s="245"/>
      <c r="J304" s="172"/>
      <c r="K304" s="172"/>
      <c r="L304" s="172"/>
      <c r="M304" s="202">
        <v>1</v>
      </c>
      <c r="N304" s="516"/>
      <c r="O304" s="516"/>
      <c r="P304" s="516"/>
      <c r="Q304" s="318"/>
      <c r="R304" s="318"/>
      <c r="S304" s="318"/>
      <c r="T304" s="318"/>
      <c r="U304" s="29"/>
      <c r="V304" s="30"/>
      <c r="W304" s="30"/>
      <c r="X304" s="29"/>
      <c r="Y304" s="30"/>
      <c r="Z304" s="30"/>
      <c r="AA304" s="300"/>
      <c r="AC304" s="202">
        <v>1</v>
      </c>
      <c r="AE304" s="42"/>
      <c r="AF304" s="42"/>
    </row>
    <row r="305" spans="2:32" s="19" customFormat="1" x14ac:dyDescent="0.2">
      <c r="B305" s="62" t="s">
        <v>1196</v>
      </c>
      <c r="C305" s="172"/>
      <c r="D305" s="172"/>
      <c r="F305" s="172"/>
      <c r="G305" s="172"/>
      <c r="H305" s="245"/>
      <c r="I305" s="245"/>
      <c r="J305" s="172"/>
      <c r="K305" s="172"/>
      <c r="L305" s="172"/>
      <c r="M305" s="202">
        <v>1</v>
      </c>
      <c r="N305" s="516"/>
      <c r="O305" s="516"/>
      <c r="P305" s="516"/>
      <c r="Q305" s="318"/>
      <c r="R305" s="318"/>
      <c r="S305" s="318"/>
      <c r="T305" s="318"/>
      <c r="U305" s="29"/>
      <c r="V305" s="30"/>
      <c r="W305" s="30"/>
      <c r="X305" s="29"/>
      <c r="Y305" s="30"/>
      <c r="Z305" s="30"/>
      <c r="AA305" s="300"/>
      <c r="AC305" s="202">
        <v>1</v>
      </c>
      <c r="AE305" s="42"/>
      <c r="AF305" s="42"/>
    </row>
    <row r="306" spans="2:32" s="19" customFormat="1" x14ac:dyDescent="0.2">
      <c r="B306" s="62" t="s">
        <v>1197</v>
      </c>
      <c r="C306" s="172"/>
      <c r="D306" s="172"/>
      <c r="F306" s="172"/>
      <c r="G306" s="172"/>
      <c r="H306" s="245"/>
      <c r="I306" s="245"/>
      <c r="J306" s="172"/>
      <c r="K306" s="172"/>
      <c r="L306" s="172"/>
      <c r="M306" s="202">
        <v>1</v>
      </c>
      <c r="N306" s="516"/>
      <c r="O306" s="516"/>
      <c r="P306" s="516"/>
      <c r="Q306" s="318"/>
      <c r="R306" s="318"/>
      <c r="S306" s="318"/>
      <c r="T306" s="318"/>
      <c r="U306" s="29"/>
      <c r="V306" s="30"/>
      <c r="W306" s="30"/>
      <c r="X306" s="29"/>
      <c r="Y306" s="30"/>
      <c r="Z306" s="30"/>
      <c r="AA306" s="300"/>
      <c r="AC306" s="202">
        <v>1</v>
      </c>
      <c r="AE306" s="42"/>
      <c r="AF306" s="42"/>
    </row>
    <row r="307" spans="2:32" s="19" customFormat="1" x14ac:dyDescent="0.2">
      <c r="B307" s="62" t="s">
        <v>1198</v>
      </c>
      <c r="C307" s="172"/>
      <c r="D307" s="172"/>
      <c r="F307" s="172"/>
      <c r="G307" s="172"/>
      <c r="H307" s="245">
        <v>1</v>
      </c>
      <c r="I307" s="245"/>
      <c r="J307" s="172">
        <v>1</v>
      </c>
      <c r="K307" s="172">
        <v>4</v>
      </c>
      <c r="L307" s="172"/>
      <c r="M307" s="202">
        <v>1</v>
      </c>
      <c r="N307" s="516"/>
      <c r="O307" s="516"/>
      <c r="P307" s="516"/>
      <c r="Q307" s="318">
        <v>1</v>
      </c>
      <c r="R307" s="318"/>
      <c r="S307" s="318"/>
      <c r="T307" s="318"/>
      <c r="U307" s="29"/>
      <c r="V307" s="30"/>
      <c r="W307" s="30"/>
      <c r="X307" s="29"/>
      <c r="Y307" s="30"/>
      <c r="Z307" s="30"/>
      <c r="AA307" s="300"/>
      <c r="AC307" s="202">
        <v>1</v>
      </c>
      <c r="AE307" s="42"/>
      <c r="AF307" s="42"/>
    </row>
    <row r="308" spans="2:32" s="19" customFormat="1" x14ac:dyDescent="0.2">
      <c r="B308" s="62" t="s">
        <v>1199</v>
      </c>
      <c r="C308" s="172"/>
      <c r="D308" s="172"/>
      <c r="F308" s="172"/>
      <c r="G308" s="172"/>
      <c r="H308" s="245"/>
      <c r="I308" s="245"/>
      <c r="J308" s="172"/>
      <c r="K308" s="172"/>
      <c r="L308" s="172"/>
      <c r="M308" s="202">
        <v>1</v>
      </c>
      <c r="N308" s="516"/>
      <c r="O308" s="516"/>
      <c r="P308" s="516"/>
      <c r="Q308" s="318"/>
      <c r="R308" s="318"/>
      <c r="S308" s="318"/>
      <c r="T308" s="318"/>
      <c r="U308" s="29"/>
      <c r="V308" s="30"/>
      <c r="W308" s="30"/>
      <c r="X308" s="29"/>
      <c r="Y308" s="30"/>
      <c r="Z308" s="30"/>
      <c r="AA308" s="300"/>
      <c r="AC308" s="202">
        <v>1</v>
      </c>
      <c r="AE308" s="42"/>
      <c r="AF308" s="42"/>
    </row>
    <row r="309" spans="2:32" s="19" customFormat="1" x14ac:dyDescent="0.2">
      <c r="B309" s="62" t="s">
        <v>1200</v>
      </c>
      <c r="C309" s="172"/>
      <c r="D309" s="172"/>
      <c r="F309" s="172"/>
      <c r="G309" s="172"/>
      <c r="H309" s="245"/>
      <c r="I309" s="245"/>
      <c r="J309" s="172"/>
      <c r="K309" s="172"/>
      <c r="L309" s="172"/>
      <c r="M309" s="202">
        <v>1</v>
      </c>
      <c r="N309" s="516"/>
      <c r="O309" s="516"/>
      <c r="P309" s="516"/>
      <c r="Q309" s="318"/>
      <c r="R309" s="318"/>
      <c r="S309" s="318"/>
      <c r="T309" s="318"/>
      <c r="U309" s="29"/>
      <c r="V309" s="30"/>
      <c r="W309" s="30"/>
      <c r="X309" s="29"/>
      <c r="Y309" s="30"/>
      <c r="Z309" s="30"/>
      <c r="AA309" s="300"/>
      <c r="AC309" s="202">
        <v>1</v>
      </c>
      <c r="AE309" s="42"/>
      <c r="AF309" s="42"/>
    </row>
    <row r="310" spans="2:32" s="19" customFormat="1" x14ac:dyDescent="0.2">
      <c r="B310" s="62" t="s">
        <v>1201</v>
      </c>
      <c r="C310" s="172"/>
      <c r="D310" s="172"/>
      <c r="F310" s="172"/>
      <c r="G310" s="172"/>
      <c r="H310" s="245"/>
      <c r="I310" s="245"/>
      <c r="J310" s="172"/>
      <c r="K310" s="172"/>
      <c r="L310" s="172"/>
      <c r="M310" s="202">
        <v>1</v>
      </c>
      <c r="N310" s="516"/>
      <c r="O310" s="516"/>
      <c r="P310" s="516"/>
      <c r="Q310" s="318"/>
      <c r="R310" s="318"/>
      <c r="S310" s="318"/>
      <c r="T310" s="318"/>
      <c r="U310" s="29"/>
      <c r="V310" s="30"/>
      <c r="W310" s="30"/>
      <c r="X310" s="29"/>
      <c r="Y310" s="30"/>
      <c r="Z310" s="30"/>
      <c r="AA310" s="300"/>
      <c r="AC310" s="202">
        <v>1</v>
      </c>
      <c r="AE310" s="42"/>
      <c r="AF310" s="42"/>
    </row>
    <row r="311" spans="2:32" s="19" customFormat="1" x14ac:dyDescent="0.2">
      <c r="B311" s="62" t="s">
        <v>1202</v>
      </c>
      <c r="C311" s="172"/>
      <c r="D311" s="172"/>
      <c r="F311" s="172"/>
      <c r="G311" s="172"/>
      <c r="H311" s="245">
        <v>1</v>
      </c>
      <c r="I311" s="245"/>
      <c r="J311" s="172">
        <v>1</v>
      </c>
      <c r="K311" s="172">
        <v>3</v>
      </c>
      <c r="L311" s="172"/>
      <c r="M311" s="202">
        <v>1</v>
      </c>
      <c r="N311" s="516"/>
      <c r="O311" s="516"/>
      <c r="P311" s="516"/>
      <c r="Q311" s="318">
        <v>1</v>
      </c>
      <c r="R311" s="318"/>
      <c r="S311" s="318"/>
      <c r="T311" s="318"/>
      <c r="U311" s="29"/>
      <c r="V311" s="30"/>
      <c r="W311" s="30"/>
      <c r="X311" s="29"/>
      <c r="Y311" s="30"/>
      <c r="Z311" s="30"/>
      <c r="AA311" s="300"/>
      <c r="AC311" s="202">
        <v>1</v>
      </c>
      <c r="AE311" s="42"/>
      <c r="AF311" s="42"/>
    </row>
    <row r="312" spans="2:32" s="19" customFormat="1" x14ac:dyDescent="0.2">
      <c r="B312" s="62" t="s">
        <v>1203</v>
      </c>
      <c r="C312" s="172"/>
      <c r="D312" s="172"/>
      <c r="F312" s="172"/>
      <c r="G312" s="172"/>
      <c r="H312" s="245"/>
      <c r="I312" s="245"/>
      <c r="J312" s="172"/>
      <c r="K312" s="172"/>
      <c r="L312" s="172"/>
      <c r="M312" s="202">
        <v>1</v>
      </c>
      <c r="N312" s="516"/>
      <c r="O312" s="516"/>
      <c r="P312" s="516"/>
      <c r="Q312" s="318"/>
      <c r="R312" s="318"/>
      <c r="S312" s="318"/>
      <c r="T312" s="318"/>
      <c r="U312" s="29"/>
      <c r="V312" s="30"/>
      <c r="W312" s="30"/>
      <c r="X312" s="29"/>
      <c r="Y312" s="30"/>
      <c r="Z312" s="30"/>
      <c r="AA312" s="300"/>
      <c r="AC312" s="202">
        <v>1</v>
      </c>
      <c r="AE312" s="42"/>
      <c r="AF312" s="42"/>
    </row>
    <row r="313" spans="2:32" s="19" customFormat="1" x14ac:dyDescent="0.2">
      <c r="B313" s="62" t="s">
        <v>1204</v>
      </c>
      <c r="C313" s="172"/>
      <c r="D313" s="172"/>
      <c r="F313" s="172"/>
      <c r="G313" s="172"/>
      <c r="H313" s="245"/>
      <c r="I313" s="245"/>
      <c r="J313" s="172"/>
      <c r="K313" s="172"/>
      <c r="L313" s="172"/>
      <c r="M313" s="202">
        <v>1</v>
      </c>
      <c r="N313" s="516"/>
      <c r="O313" s="516"/>
      <c r="P313" s="516"/>
      <c r="Q313" s="318"/>
      <c r="R313" s="318"/>
      <c r="S313" s="318"/>
      <c r="T313" s="318"/>
      <c r="U313" s="29"/>
      <c r="V313" s="30"/>
      <c r="W313" s="30"/>
      <c r="X313" s="29"/>
      <c r="Y313" s="30"/>
      <c r="Z313" s="30"/>
      <c r="AA313" s="300"/>
      <c r="AC313" s="202">
        <v>1</v>
      </c>
      <c r="AE313" s="42"/>
      <c r="AF313" s="42"/>
    </row>
    <row r="314" spans="2:32" s="19" customFormat="1" x14ac:dyDescent="0.2">
      <c r="B314" s="62" t="s">
        <v>1205</v>
      </c>
      <c r="C314" s="172"/>
      <c r="D314" s="172"/>
      <c r="F314" s="172"/>
      <c r="G314" s="172"/>
      <c r="H314" s="245">
        <v>1</v>
      </c>
      <c r="I314" s="245"/>
      <c r="J314" s="172">
        <v>1</v>
      </c>
      <c r="K314" s="172">
        <v>3</v>
      </c>
      <c r="L314" s="172"/>
      <c r="M314" s="202">
        <v>1</v>
      </c>
      <c r="N314" s="516"/>
      <c r="O314" s="516"/>
      <c r="P314" s="516"/>
      <c r="Q314" s="318">
        <v>1</v>
      </c>
      <c r="R314" s="318"/>
      <c r="S314" s="318"/>
      <c r="T314" s="318"/>
      <c r="U314" s="29"/>
      <c r="V314" s="30"/>
      <c r="W314" s="30"/>
      <c r="X314" s="29"/>
      <c r="Y314" s="30"/>
      <c r="Z314" s="30"/>
      <c r="AA314" s="300"/>
      <c r="AC314" s="202">
        <v>1</v>
      </c>
      <c r="AE314" s="42"/>
      <c r="AF314" s="42"/>
    </row>
    <row r="315" spans="2:32" s="19" customFormat="1" x14ac:dyDescent="0.2">
      <c r="B315" s="62" t="s">
        <v>1206</v>
      </c>
      <c r="C315" s="172"/>
      <c r="D315" s="172"/>
      <c r="F315" s="172"/>
      <c r="G315" s="172"/>
      <c r="H315" s="245"/>
      <c r="I315" s="245"/>
      <c r="J315" s="172"/>
      <c r="K315" s="172"/>
      <c r="L315" s="172"/>
      <c r="M315" s="202">
        <v>1</v>
      </c>
      <c r="N315" s="516"/>
      <c r="O315" s="516"/>
      <c r="P315" s="516"/>
      <c r="Q315" s="318"/>
      <c r="R315" s="318"/>
      <c r="S315" s="318"/>
      <c r="T315" s="318"/>
      <c r="U315" s="29"/>
      <c r="V315" s="30"/>
      <c r="W315" s="30"/>
      <c r="X315" s="29"/>
      <c r="Y315" s="30"/>
      <c r="Z315" s="30"/>
      <c r="AA315" s="300"/>
      <c r="AC315" s="202">
        <v>1</v>
      </c>
      <c r="AE315" s="42"/>
      <c r="AF315" s="42"/>
    </row>
    <row r="316" spans="2:32" s="19" customFormat="1" x14ac:dyDescent="0.2">
      <c r="B316" s="62" t="s">
        <v>1207</v>
      </c>
      <c r="C316" s="172"/>
      <c r="D316" s="172"/>
      <c r="F316" s="172"/>
      <c r="G316" s="172"/>
      <c r="H316" s="245"/>
      <c r="I316" s="245"/>
      <c r="J316" s="172"/>
      <c r="K316" s="172"/>
      <c r="L316" s="172"/>
      <c r="M316" s="202">
        <v>1</v>
      </c>
      <c r="N316" s="516"/>
      <c r="O316" s="516"/>
      <c r="P316" s="516"/>
      <c r="Q316" s="318"/>
      <c r="R316" s="318"/>
      <c r="S316" s="318"/>
      <c r="T316" s="318"/>
      <c r="U316" s="29"/>
      <c r="V316" s="30"/>
      <c r="W316" s="30"/>
      <c r="X316" s="29"/>
      <c r="Y316" s="30"/>
      <c r="Z316" s="30"/>
      <c r="AA316" s="300"/>
      <c r="AC316" s="202">
        <v>1</v>
      </c>
      <c r="AE316" s="42"/>
      <c r="AF316" s="42"/>
    </row>
    <row r="317" spans="2:32" s="19" customFormat="1" x14ac:dyDescent="0.2">
      <c r="B317" s="62" t="s">
        <v>1208</v>
      </c>
      <c r="C317" s="172"/>
      <c r="D317" s="172"/>
      <c r="F317" s="172"/>
      <c r="G317" s="172"/>
      <c r="H317" s="245">
        <v>1</v>
      </c>
      <c r="I317" s="245"/>
      <c r="J317" s="172">
        <v>1</v>
      </c>
      <c r="K317" s="172">
        <v>3</v>
      </c>
      <c r="L317" s="172"/>
      <c r="M317" s="202">
        <v>1</v>
      </c>
      <c r="N317" s="516"/>
      <c r="O317" s="516"/>
      <c r="P317" s="516"/>
      <c r="Q317" s="318">
        <v>1</v>
      </c>
      <c r="R317" s="318"/>
      <c r="S317" s="318"/>
      <c r="T317" s="318"/>
      <c r="U317" s="29"/>
      <c r="V317" s="30"/>
      <c r="W317" s="30"/>
      <c r="X317" s="29"/>
      <c r="Y317" s="30"/>
      <c r="Z317" s="30"/>
      <c r="AA317" s="300"/>
      <c r="AC317" s="202">
        <v>1</v>
      </c>
      <c r="AE317" s="42"/>
      <c r="AF317" s="42"/>
    </row>
    <row r="318" spans="2:32" s="19" customFormat="1" x14ac:dyDescent="0.2">
      <c r="B318" s="62" t="s">
        <v>1209</v>
      </c>
      <c r="C318" s="172"/>
      <c r="D318" s="172"/>
      <c r="F318" s="172"/>
      <c r="G318" s="172"/>
      <c r="H318" s="245"/>
      <c r="I318" s="245"/>
      <c r="J318" s="172"/>
      <c r="K318" s="172"/>
      <c r="L318" s="172"/>
      <c r="M318" s="202">
        <v>1</v>
      </c>
      <c r="N318" s="516"/>
      <c r="O318" s="516"/>
      <c r="P318" s="516"/>
      <c r="Q318" s="318"/>
      <c r="R318" s="318"/>
      <c r="S318" s="318"/>
      <c r="T318" s="318"/>
      <c r="U318" s="29"/>
      <c r="V318" s="30"/>
      <c r="W318" s="30"/>
      <c r="X318" s="29"/>
      <c r="Y318" s="30"/>
      <c r="Z318" s="30"/>
      <c r="AA318" s="300"/>
      <c r="AC318" s="202">
        <v>1</v>
      </c>
      <c r="AE318" s="42"/>
      <c r="AF318" s="42"/>
    </row>
    <row r="319" spans="2:32" s="19" customFormat="1" x14ac:dyDescent="0.2">
      <c r="B319" s="62" t="s">
        <v>1210</v>
      </c>
      <c r="C319" s="172"/>
      <c r="D319" s="172"/>
      <c r="F319" s="172"/>
      <c r="G319" s="172"/>
      <c r="H319" s="245"/>
      <c r="I319" s="245"/>
      <c r="J319" s="172"/>
      <c r="K319" s="172"/>
      <c r="L319" s="172"/>
      <c r="M319" s="202">
        <v>1</v>
      </c>
      <c r="N319" s="516"/>
      <c r="O319" s="516"/>
      <c r="P319" s="516"/>
      <c r="Q319" s="318"/>
      <c r="R319" s="318"/>
      <c r="S319" s="318"/>
      <c r="T319" s="318"/>
      <c r="U319" s="29"/>
      <c r="V319" s="30"/>
      <c r="W319" s="30"/>
      <c r="X319" s="29"/>
      <c r="Y319" s="30"/>
      <c r="Z319" s="30"/>
      <c r="AA319" s="300"/>
      <c r="AC319" s="202">
        <v>1</v>
      </c>
      <c r="AE319" s="42"/>
      <c r="AF319" s="42"/>
    </row>
    <row r="320" spans="2:32" s="19" customFormat="1" x14ac:dyDescent="0.2">
      <c r="B320" s="62" t="s">
        <v>1211</v>
      </c>
      <c r="C320" s="172"/>
      <c r="D320" s="172"/>
      <c r="F320" s="172"/>
      <c r="G320" s="172"/>
      <c r="H320" s="245">
        <v>1</v>
      </c>
      <c r="I320" s="245"/>
      <c r="J320" s="172">
        <v>1</v>
      </c>
      <c r="K320" s="172">
        <v>4</v>
      </c>
      <c r="L320" s="172"/>
      <c r="M320" s="202">
        <v>1</v>
      </c>
      <c r="N320" s="516"/>
      <c r="O320" s="516"/>
      <c r="P320" s="516"/>
      <c r="Q320" s="318">
        <v>1</v>
      </c>
      <c r="R320" s="318"/>
      <c r="S320" s="318"/>
      <c r="T320" s="318"/>
      <c r="U320" s="29"/>
      <c r="V320" s="30"/>
      <c r="W320" s="30"/>
      <c r="X320" s="29"/>
      <c r="Y320" s="30"/>
      <c r="Z320" s="30"/>
      <c r="AA320" s="300"/>
      <c r="AC320" s="202">
        <v>1</v>
      </c>
      <c r="AE320" s="42"/>
      <c r="AF320" s="42"/>
    </row>
    <row r="321" spans="1:32" s="19" customFormat="1" x14ac:dyDescent="0.2">
      <c r="B321" s="62" t="s">
        <v>1212</v>
      </c>
      <c r="C321" s="172"/>
      <c r="D321" s="172"/>
      <c r="F321" s="172"/>
      <c r="G321" s="172"/>
      <c r="H321" s="245"/>
      <c r="I321" s="245"/>
      <c r="J321" s="172"/>
      <c r="K321" s="172"/>
      <c r="L321" s="172"/>
      <c r="M321" s="202">
        <v>1</v>
      </c>
      <c r="N321" s="516"/>
      <c r="O321" s="516"/>
      <c r="P321" s="516"/>
      <c r="Q321" s="318"/>
      <c r="R321" s="318"/>
      <c r="S321" s="318"/>
      <c r="T321" s="318"/>
      <c r="U321" s="29"/>
      <c r="V321" s="30"/>
      <c r="W321" s="30"/>
      <c r="X321" s="29"/>
      <c r="Y321" s="30"/>
      <c r="Z321" s="30"/>
      <c r="AA321" s="300"/>
      <c r="AC321" s="202">
        <v>1</v>
      </c>
      <c r="AE321" s="42"/>
      <c r="AF321" s="42"/>
    </row>
    <row r="322" spans="1:32" s="19" customFormat="1" x14ac:dyDescent="0.2">
      <c r="B322" s="62" t="s">
        <v>1213</v>
      </c>
      <c r="C322" s="172"/>
      <c r="D322" s="172"/>
      <c r="F322" s="172"/>
      <c r="G322" s="172"/>
      <c r="H322" s="245"/>
      <c r="I322" s="245"/>
      <c r="J322" s="172"/>
      <c r="K322" s="172"/>
      <c r="L322" s="172"/>
      <c r="M322" s="202">
        <v>1</v>
      </c>
      <c r="N322" s="516"/>
      <c r="O322" s="516"/>
      <c r="P322" s="516"/>
      <c r="Q322" s="318"/>
      <c r="R322" s="318"/>
      <c r="S322" s="318"/>
      <c r="T322" s="318"/>
      <c r="U322" s="29"/>
      <c r="V322" s="30"/>
      <c r="W322" s="30"/>
      <c r="X322" s="29"/>
      <c r="Y322" s="30"/>
      <c r="Z322" s="30"/>
      <c r="AA322" s="300"/>
      <c r="AC322" s="202">
        <v>1</v>
      </c>
      <c r="AE322" s="42"/>
      <c r="AF322" s="42"/>
    </row>
    <row r="323" spans="1:32" s="19" customFormat="1" x14ac:dyDescent="0.2">
      <c r="B323" s="62" t="s">
        <v>1214</v>
      </c>
      <c r="C323" s="172"/>
      <c r="D323" s="172"/>
      <c r="F323" s="172"/>
      <c r="G323" s="172"/>
      <c r="H323" s="245"/>
      <c r="I323" s="245"/>
      <c r="J323" s="172"/>
      <c r="K323" s="172"/>
      <c r="L323" s="172"/>
      <c r="M323" s="202">
        <v>1</v>
      </c>
      <c r="N323" s="516"/>
      <c r="O323" s="516"/>
      <c r="P323" s="516"/>
      <c r="Q323" s="318"/>
      <c r="R323" s="318"/>
      <c r="S323" s="318"/>
      <c r="T323" s="318"/>
      <c r="U323" s="29"/>
      <c r="V323" s="30"/>
      <c r="W323" s="30"/>
      <c r="X323" s="29"/>
      <c r="Y323" s="30"/>
      <c r="Z323" s="30"/>
      <c r="AA323" s="300"/>
      <c r="AC323" s="202">
        <v>1</v>
      </c>
      <c r="AE323" s="42"/>
      <c r="AF323" s="42"/>
    </row>
    <row r="324" spans="1:32" s="19" customFormat="1" x14ac:dyDescent="0.2">
      <c r="B324" s="62" t="s">
        <v>1215</v>
      </c>
      <c r="C324" s="172"/>
      <c r="D324" s="172"/>
      <c r="F324" s="172"/>
      <c r="G324" s="172"/>
      <c r="H324" s="245">
        <v>1</v>
      </c>
      <c r="I324" s="245"/>
      <c r="J324" s="172">
        <v>1</v>
      </c>
      <c r="K324" s="172">
        <v>2</v>
      </c>
      <c r="L324" s="172"/>
      <c r="M324" s="202">
        <v>1</v>
      </c>
      <c r="N324" s="516"/>
      <c r="O324" s="516"/>
      <c r="P324" s="516"/>
      <c r="Q324" s="318">
        <v>1</v>
      </c>
      <c r="R324" s="318"/>
      <c r="S324" s="318"/>
      <c r="T324" s="318"/>
      <c r="U324" s="29"/>
      <c r="V324" s="30"/>
      <c r="W324" s="30"/>
      <c r="X324" s="29"/>
      <c r="Y324" s="30"/>
      <c r="Z324" s="30"/>
      <c r="AA324" s="300"/>
      <c r="AC324" s="202">
        <v>1</v>
      </c>
      <c r="AE324" s="42"/>
      <c r="AF324" s="42"/>
    </row>
    <row r="325" spans="1:32" s="19" customFormat="1" x14ac:dyDescent="0.2">
      <c r="B325" s="62" t="s">
        <v>1216</v>
      </c>
      <c r="C325" s="172"/>
      <c r="D325" s="172"/>
      <c r="F325" s="172"/>
      <c r="G325" s="172"/>
      <c r="H325" s="245"/>
      <c r="I325" s="245"/>
      <c r="J325" s="172"/>
      <c r="K325" s="172"/>
      <c r="L325" s="172"/>
      <c r="M325" s="202">
        <v>1</v>
      </c>
      <c r="N325" s="516"/>
      <c r="O325" s="516"/>
      <c r="P325" s="516"/>
      <c r="Q325" s="318"/>
      <c r="R325" s="318"/>
      <c r="S325" s="318"/>
      <c r="T325" s="318"/>
      <c r="U325" s="29"/>
      <c r="V325" s="30"/>
      <c r="W325" s="30"/>
      <c r="X325" s="29"/>
      <c r="Y325" s="30"/>
      <c r="Z325" s="30"/>
      <c r="AA325" s="300"/>
      <c r="AC325" s="202">
        <v>1</v>
      </c>
      <c r="AE325" s="42"/>
      <c r="AF325" s="42"/>
    </row>
    <row r="326" spans="1:32" s="19" customFormat="1" x14ac:dyDescent="0.2">
      <c r="B326" s="62" t="s">
        <v>1217</v>
      </c>
      <c r="C326" s="172"/>
      <c r="D326" s="172"/>
      <c r="F326" s="172"/>
      <c r="G326" s="172"/>
      <c r="H326" s="245">
        <v>1</v>
      </c>
      <c r="I326" s="245"/>
      <c r="J326" s="172">
        <v>1</v>
      </c>
      <c r="K326" s="172">
        <v>1</v>
      </c>
      <c r="L326" s="172"/>
      <c r="M326" s="202">
        <v>1</v>
      </c>
      <c r="N326" s="516"/>
      <c r="O326" s="516"/>
      <c r="P326" s="516"/>
      <c r="Q326" s="318">
        <v>1</v>
      </c>
      <c r="R326" s="318"/>
      <c r="S326" s="318"/>
      <c r="T326" s="318"/>
      <c r="U326" s="29"/>
      <c r="V326" s="30"/>
      <c r="W326" s="30"/>
      <c r="X326" s="29"/>
      <c r="Y326" s="30"/>
      <c r="Z326" s="30"/>
      <c r="AA326" s="300"/>
      <c r="AC326" s="202">
        <v>1</v>
      </c>
      <c r="AE326" s="42"/>
      <c r="AF326" s="42"/>
    </row>
    <row r="327" spans="1:32" s="273" customFormat="1" x14ac:dyDescent="0.2">
      <c r="A327" s="273" t="s">
        <v>28</v>
      </c>
      <c r="B327" s="274" t="s">
        <v>29</v>
      </c>
      <c r="C327" s="275"/>
      <c r="D327" s="275"/>
      <c r="F327" s="275">
        <v>3</v>
      </c>
      <c r="G327" s="316">
        <f>SUM(G328:G431)/F327</f>
        <v>1</v>
      </c>
      <c r="H327" s="292">
        <f>SUM(H328:H431)</f>
        <v>19</v>
      </c>
      <c r="I327" s="294">
        <f>SUM(J328:J429)/J327</f>
        <v>0.94736842105263153</v>
      </c>
      <c r="J327" s="292">
        <f>SUM(J328:J431)</f>
        <v>19</v>
      </c>
      <c r="K327" s="292">
        <f>SUM(K328:K431)</f>
        <v>102</v>
      </c>
      <c r="L327" s="291">
        <f>+M327/K327</f>
        <v>0.99019607843137258</v>
      </c>
      <c r="M327" s="292">
        <f>SUM(M328:M431)</f>
        <v>101</v>
      </c>
      <c r="N327" s="513"/>
      <c r="O327" s="513"/>
      <c r="P327" s="513"/>
      <c r="Q327" s="373">
        <f>((K328*Q328)+(Q332*K332)+(Q336*K336)+(Q340*K340)+(Q344*K344)+(Q347*K347)+(Q351*K351)+(Q354*K354)+(Q359*K359)+(K364*Q364)+(K367*Q367)+(K373*Q373)+(K376*Q376)+(K387*Q387)+(K397*Q397)+(K404*Q404)+(K414*Q414)+(K423*Q423)+(K430*Q430))/K327</f>
        <v>0.98039215686274506</v>
      </c>
      <c r="R327" s="373"/>
      <c r="S327" s="373">
        <f>_xlfn.STDEV.P(R328:R346)</f>
        <v>6.2738042361949783E-2</v>
      </c>
      <c r="T327" s="373">
        <f>+T347</f>
        <v>1.4787498397501191E-2</v>
      </c>
      <c r="U327" s="277">
        <f>COUNTA(U328:U431)</f>
        <v>13</v>
      </c>
      <c r="V327" s="277">
        <f t="shared" ref="V327:Z327" si="6">COUNTA(V328:V431)</f>
        <v>0</v>
      </c>
      <c r="W327" s="277">
        <f t="shared" si="6"/>
        <v>12</v>
      </c>
      <c r="X327" s="277">
        <f t="shared" si="6"/>
        <v>8</v>
      </c>
      <c r="Y327" s="277">
        <f t="shared" si="6"/>
        <v>0</v>
      </c>
      <c r="Z327" s="277">
        <f t="shared" si="6"/>
        <v>5</v>
      </c>
      <c r="AA327" s="316">
        <f>SUM(AA328:AA429)/K327</f>
        <v>0</v>
      </c>
      <c r="AC327" s="202">
        <v>1</v>
      </c>
      <c r="AD327" s="284">
        <f>+U327/M327</f>
        <v>0.12871287128712872</v>
      </c>
      <c r="AE327" s="333"/>
      <c r="AF327" s="333"/>
    </row>
    <row r="328" spans="1:32" s="55" customFormat="1" x14ac:dyDescent="0.2">
      <c r="A328" s="37">
        <v>1</v>
      </c>
      <c r="B328" s="62" t="s">
        <v>1218</v>
      </c>
      <c r="C328" s="170" t="s">
        <v>126</v>
      </c>
      <c r="D328" s="170"/>
      <c r="E328" s="37"/>
      <c r="F328" s="170"/>
      <c r="G328" s="170">
        <v>1</v>
      </c>
      <c r="H328" s="244">
        <v>1</v>
      </c>
      <c r="I328" s="244"/>
      <c r="J328" s="170">
        <v>1</v>
      </c>
      <c r="K328" s="170">
        <v>4</v>
      </c>
      <c r="L328" s="170"/>
      <c r="M328" s="202">
        <v>1</v>
      </c>
      <c r="N328" s="614">
        <f>AVERAGE(M328:M431)</f>
        <v>0.98058252427184467</v>
      </c>
      <c r="O328" s="614">
        <f>_xlfn.STDEV.P(M328:M431)</f>
        <v>0.13798709129662035</v>
      </c>
      <c r="P328" s="615">
        <f>STDEV(M328:M431)/(SQRT(COUNT(M328:M431)))</f>
        <v>1.3662757940984675E-2</v>
      </c>
      <c r="Q328" s="318">
        <v>1</v>
      </c>
      <c r="R328" s="318">
        <f>+Q328</f>
        <v>1</v>
      </c>
      <c r="S328" s="318"/>
      <c r="T328" s="318"/>
      <c r="U328" s="126" t="s">
        <v>92</v>
      </c>
      <c r="V328" s="127"/>
      <c r="W328" s="127" t="s">
        <v>94</v>
      </c>
      <c r="X328" s="126" t="s">
        <v>92</v>
      </c>
      <c r="Y328" s="127"/>
      <c r="Z328" s="127" t="s">
        <v>94</v>
      </c>
      <c r="AA328" s="300">
        <v>0</v>
      </c>
      <c r="AC328" s="202">
        <v>0</v>
      </c>
      <c r="AE328" s="42"/>
      <c r="AF328" s="42"/>
    </row>
    <row r="329" spans="1:32" s="55" customFormat="1" x14ac:dyDescent="0.2">
      <c r="A329" s="37"/>
      <c r="B329" s="62" t="s">
        <v>1219</v>
      </c>
      <c r="C329" s="170" t="s">
        <v>126</v>
      </c>
      <c r="D329" s="170"/>
      <c r="E329" s="37"/>
      <c r="F329" s="170"/>
      <c r="G329" s="244"/>
      <c r="H329" s="244"/>
      <c r="I329" s="244"/>
      <c r="J329" s="240"/>
      <c r="K329" s="170"/>
      <c r="L329" s="170"/>
      <c r="M329" s="202">
        <v>1</v>
      </c>
      <c r="N329" s="516"/>
      <c r="O329" s="516"/>
      <c r="P329" s="516"/>
      <c r="Q329" s="318"/>
      <c r="R329" s="318">
        <f>+Q332</f>
        <v>0.75</v>
      </c>
      <c r="S329" s="318"/>
      <c r="T329" s="318"/>
      <c r="U329" s="126"/>
      <c r="V329" s="127"/>
      <c r="W329" s="127"/>
      <c r="X329" s="126"/>
      <c r="Y329" s="127"/>
      <c r="Z329" s="127"/>
      <c r="AA329" s="300">
        <v>0</v>
      </c>
      <c r="AC329" s="202">
        <v>1</v>
      </c>
      <c r="AE329" s="42"/>
      <c r="AF329" s="42"/>
    </row>
    <row r="330" spans="1:32" s="55" customFormat="1" x14ac:dyDescent="0.2">
      <c r="A330" s="37"/>
      <c r="B330" s="62" t="s">
        <v>1220</v>
      </c>
      <c r="C330" s="170" t="s">
        <v>126</v>
      </c>
      <c r="D330" s="170"/>
      <c r="E330" s="37"/>
      <c r="F330" s="170"/>
      <c r="G330" s="170"/>
      <c r="H330" s="244"/>
      <c r="I330" s="244"/>
      <c r="J330" s="240"/>
      <c r="K330" s="170"/>
      <c r="L330" s="170"/>
      <c r="M330" s="202">
        <v>1</v>
      </c>
      <c r="N330" s="516"/>
      <c r="O330" s="516"/>
      <c r="P330" s="516"/>
      <c r="Q330" s="318"/>
      <c r="R330" s="318">
        <f>+Q336</f>
        <v>1</v>
      </c>
      <c r="S330" s="318"/>
      <c r="T330" s="318"/>
      <c r="U330" s="126"/>
      <c r="V330" s="127"/>
      <c r="W330" s="127"/>
      <c r="X330" s="126"/>
      <c r="Y330" s="127"/>
      <c r="Z330" s="127"/>
      <c r="AA330" s="300">
        <v>0</v>
      </c>
      <c r="AC330" s="202">
        <v>1</v>
      </c>
      <c r="AE330" s="42"/>
      <c r="AF330" s="42"/>
    </row>
    <row r="331" spans="1:32" s="55" customFormat="1" x14ac:dyDescent="0.2">
      <c r="A331" s="37"/>
      <c r="B331" s="62" t="s">
        <v>1221</v>
      </c>
      <c r="C331" s="170" t="s">
        <v>126</v>
      </c>
      <c r="D331" s="170"/>
      <c r="E331" s="37"/>
      <c r="F331" s="170"/>
      <c r="G331" s="170"/>
      <c r="H331" s="244"/>
      <c r="I331" s="244"/>
      <c r="J331" s="240"/>
      <c r="K331" s="170"/>
      <c r="L331" s="170"/>
      <c r="M331" s="202">
        <v>1</v>
      </c>
      <c r="N331" s="516"/>
      <c r="O331" s="516"/>
      <c r="P331" s="516"/>
      <c r="Q331" s="318"/>
      <c r="R331" s="318">
        <f>+Q340</f>
        <v>1</v>
      </c>
      <c r="S331" s="318"/>
      <c r="T331" s="318"/>
      <c r="U331" s="126" t="s">
        <v>92</v>
      </c>
      <c r="V331" s="127"/>
      <c r="W331" s="127"/>
      <c r="X331" s="126"/>
      <c r="Y331" s="127"/>
      <c r="Z331" s="127"/>
      <c r="AA331" s="300">
        <v>0</v>
      </c>
      <c r="AC331" s="202">
        <v>1</v>
      </c>
      <c r="AE331" s="42"/>
      <c r="AF331" s="42"/>
    </row>
    <row r="332" spans="1:32" s="55" customFormat="1" x14ac:dyDescent="0.2">
      <c r="A332" s="37"/>
      <c r="B332" s="62" t="s">
        <v>1222</v>
      </c>
      <c r="C332" s="170"/>
      <c r="D332" s="170"/>
      <c r="E332" s="37"/>
      <c r="F332" s="170"/>
      <c r="G332" s="170"/>
      <c r="H332" s="244">
        <v>1</v>
      </c>
      <c r="I332" s="244"/>
      <c r="J332" s="243">
        <v>1</v>
      </c>
      <c r="K332" s="170">
        <v>4</v>
      </c>
      <c r="L332" s="170"/>
      <c r="M332" s="202">
        <v>1</v>
      </c>
      <c r="N332" s="516"/>
      <c r="O332" s="516"/>
      <c r="P332" s="516"/>
      <c r="Q332" s="318">
        <v>0.75</v>
      </c>
      <c r="R332" s="318">
        <f>+Q344</f>
        <v>1</v>
      </c>
      <c r="S332" s="318"/>
      <c r="T332" s="318"/>
      <c r="U332" s="126"/>
      <c r="V332" s="127"/>
      <c r="W332" s="127"/>
      <c r="X332" s="126"/>
      <c r="Y332" s="127"/>
      <c r="Z332" s="127"/>
      <c r="AA332" s="300"/>
      <c r="AC332" s="202">
        <v>1</v>
      </c>
      <c r="AE332" s="42"/>
      <c r="AF332" s="42"/>
    </row>
    <row r="333" spans="1:32" s="55" customFormat="1" x14ac:dyDescent="0.2">
      <c r="A333" s="37"/>
      <c r="B333" s="62" t="s">
        <v>1223</v>
      </c>
      <c r="C333" s="170"/>
      <c r="D333" s="170"/>
      <c r="E333" s="37"/>
      <c r="F333" s="170"/>
      <c r="G333" s="170"/>
      <c r="H333" s="244"/>
      <c r="I333" s="244"/>
      <c r="J333" s="240"/>
      <c r="K333" s="170"/>
      <c r="L333" s="170"/>
      <c r="M333" s="202">
        <v>1</v>
      </c>
      <c r="N333" s="516"/>
      <c r="O333" s="516"/>
      <c r="P333" s="516"/>
      <c r="Q333" s="318"/>
      <c r="R333" s="318">
        <f>+Q347</f>
        <v>1</v>
      </c>
      <c r="S333" s="318"/>
      <c r="T333" s="318"/>
      <c r="U333" s="126"/>
      <c r="V333" s="127"/>
      <c r="W333" s="127"/>
      <c r="X333" s="126"/>
      <c r="Y333" s="127"/>
      <c r="Z333" s="127"/>
      <c r="AA333" s="300"/>
      <c r="AC333" s="202">
        <v>1</v>
      </c>
      <c r="AE333" s="42"/>
      <c r="AF333" s="42"/>
    </row>
    <row r="334" spans="1:32" s="55" customFormat="1" x14ac:dyDescent="0.2">
      <c r="A334" s="37"/>
      <c r="B334" s="62" t="s">
        <v>1224</v>
      </c>
      <c r="C334" s="170"/>
      <c r="D334" s="170"/>
      <c r="E334" s="37"/>
      <c r="F334" s="170"/>
      <c r="G334" s="170"/>
      <c r="H334" s="244"/>
      <c r="I334" s="244"/>
      <c r="J334" s="240"/>
      <c r="K334" s="170"/>
      <c r="L334" s="170"/>
      <c r="M334" s="202">
        <v>1</v>
      </c>
      <c r="N334" s="516"/>
      <c r="O334" s="516"/>
      <c r="P334" s="516"/>
      <c r="Q334" s="318"/>
      <c r="R334" s="318">
        <f>+Q351</f>
        <v>1</v>
      </c>
      <c r="S334" s="318"/>
      <c r="T334" s="318"/>
      <c r="U334" s="126"/>
      <c r="V334" s="127"/>
      <c r="W334" s="127"/>
      <c r="X334" s="126"/>
      <c r="Y334" s="127"/>
      <c r="Z334" s="127"/>
      <c r="AA334" s="300"/>
      <c r="AC334" s="202">
        <v>1</v>
      </c>
      <c r="AE334" s="42"/>
      <c r="AF334" s="42"/>
    </row>
    <row r="335" spans="1:32" s="55" customFormat="1" x14ac:dyDescent="0.2">
      <c r="A335" s="37"/>
      <c r="B335" s="62" t="s">
        <v>1225</v>
      </c>
      <c r="C335" s="170"/>
      <c r="D335" s="170"/>
      <c r="E335" s="37"/>
      <c r="F335" s="170"/>
      <c r="G335" s="170"/>
      <c r="H335" s="244"/>
      <c r="I335" s="244"/>
      <c r="J335" s="240"/>
      <c r="K335" s="170"/>
      <c r="L335" s="170"/>
      <c r="M335" s="202">
        <v>0</v>
      </c>
      <c r="N335" s="516"/>
      <c r="O335" s="516"/>
      <c r="P335" s="516"/>
      <c r="Q335" s="318"/>
      <c r="R335" s="318">
        <f>+Q354</f>
        <v>1</v>
      </c>
      <c r="S335" s="318"/>
      <c r="T335" s="318"/>
      <c r="U335" s="126"/>
      <c r="V335" s="127"/>
      <c r="W335" s="127"/>
      <c r="X335" s="126"/>
      <c r="Y335" s="127"/>
      <c r="Z335" s="127"/>
      <c r="AA335" s="300"/>
      <c r="AC335" s="202">
        <v>1</v>
      </c>
      <c r="AE335" s="42"/>
      <c r="AF335" s="42"/>
    </row>
    <row r="336" spans="1:32" s="55" customFormat="1" x14ac:dyDescent="0.2">
      <c r="A336" s="37"/>
      <c r="B336" s="62" t="s">
        <v>1226</v>
      </c>
      <c r="C336" s="170"/>
      <c r="D336" s="170"/>
      <c r="E336" s="37"/>
      <c r="F336" s="170"/>
      <c r="G336" s="170"/>
      <c r="H336" s="244">
        <v>1</v>
      </c>
      <c r="I336" s="244"/>
      <c r="J336" s="243">
        <v>1</v>
      </c>
      <c r="K336" s="170">
        <v>4</v>
      </c>
      <c r="L336" s="170"/>
      <c r="M336" s="202">
        <v>1</v>
      </c>
      <c r="N336" s="516"/>
      <c r="O336" s="516"/>
      <c r="P336" s="516"/>
      <c r="Q336" s="318">
        <v>1</v>
      </c>
      <c r="R336" s="318">
        <f>+Q359</f>
        <v>1</v>
      </c>
      <c r="S336" s="318"/>
      <c r="T336" s="318"/>
      <c r="U336" s="126"/>
      <c r="V336" s="127"/>
      <c r="W336" s="127"/>
      <c r="X336" s="126"/>
      <c r="Y336" s="127"/>
      <c r="Z336" s="127"/>
      <c r="AA336" s="300"/>
      <c r="AC336" s="202">
        <v>1</v>
      </c>
      <c r="AE336" s="42"/>
      <c r="AF336" s="42"/>
    </row>
    <row r="337" spans="1:32" s="55" customFormat="1" x14ac:dyDescent="0.2">
      <c r="A337" s="37"/>
      <c r="B337" s="62" t="s">
        <v>1227</v>
      </c>
      <c r="C337" s="170"/>
      <c r="D337" s="170"/>
      <c r="E337" s="37"/>
      <c r="F337" s="170"/>
      <c r="G337" s="170"/>
      <c r="H337" s="244"/>
      <c r="I337" s="244"/>
      <c r="J337" s="240"/>
      <c r="K337" s="170"/>
      <c r="L337" s="170"/>
      <c r="M337" s="202">
        <v>1</v>
      </c>
      <c r="N337" s="516"/>
      <c r="O337" s="516"/>
      <c r="P337" s="516"/>
      <c r="Q337" s="318"/>
      <c r="R337" s="318">
        <f>+Q364</f>
        <v>1</v>
      </c>
      <c r="S337" s="318"/>
      <c r="T337" s="318"/>
      <c r="U337" s="126"/>
      <c r="V337" s="127"/>
      <c r="W337" s="127"/>
      <c r="X337" s="126"/>
      <c r="Y337" s="127"/>
      <c r="Z337" s="127"/>
      <c r="AA337" s="300"/>
      <c r="AC337" s="202">
        <v>1</v>
      </c>
      <c r="AE337" s="42"/>
      <c r="AF337" s="42"/>
    </row>
    <row r="338" spans="1:32" s="55" customFormat="1" x14ac:dyDescent="0.2">
      <c r="A338" s="37"/>
      <c r="B338" s="62" t="s">
        <v>1228</v>
      </c>
      <c r="C338" s="170"/>
      <c r="D338" s="170"/>
      <c r="E338" s="37"/>
      <c r="F338" s="170"/>
      <c r="G338" s="170"/>
      <c r="H338" s="244"/>
      <c r="I338" s="244"/>
      <c r="J338" s="240"/>
      <c r="K338" s="170"/>
      <c r="L338" s="170"/>
      <c r="M338" s="202">
        <v>1</v>
      </c>
      <c r="N338" s="516"/>
      <c r="O338" s="516"/>
      <c r="P338" s="516"/>
      <c r="Q338" s="318"/>
      <c r="R338" s="318">
        <f>+Q367</f>
        <v>1</v>
      </c>
      <c r="S338" s="318"/>
      <c r="T338" s="318"/>
      <c r="U338" s="126"/>
      <c r="V338" s="127"/>
      <c r="W338" s="127"/>
      <c r="X338" s="126"/>
      <c r="Y338" s="127"/>
      <c r="Z338" s="127"/>
      <c r="AA338" s="300"/>
      <c r="AC338" s="202">
        <v>1</v>
      </c>
      <c r="AE338" s="42"/>
      <c r="AF338" s="42"/>
    </row>
    <row r="339" spans="1:32" s="55" customFormat="1" x14ac:dyDescent="0.2">
      <c r="A339" s="37"/>
      <c r="B339" s="62" t="s">
        <v>1229</v>
      </c>
      <c r="C339" s="170"/>
      <c r="D339" s="170"/>
      <c r="E339" s="37"/>
      <c r="F339" s="170"/>
      <c r="G339" s="170"/>
      <c r="H339" s="244"/>
      <c r="I339" s="244"/>
      <c r="J339" s="240"/>
      <c r="K339" s="170"/>
      <c r="L339" s="170"/>
      <c r="M339" s="202">
        <v>1</v>
      </c>
      <c r="N339" s="516"/>
      <c r="O339" s="516"/>
      <c r="P339" s="516"/>
      <c r="Q339" s="318"/>
      <c r="R339" s="318">
        <f>+Q373</f>
        <v>1</v>
      </c>
      <c r="S339" s="318"/>
      <c r="T339" s="318"/>
      <c r="U339" s="126"/>
      <c r="V339" s="127"/>
      <c r="W339" s="127"/>
      <c r="X339" s="126"/>
      <c r="Y339" s="127"/>
      <c r="Z339" s="127"/>
      <c r="AA339" s="300"/>
      <c r="AC339" s="202">
        <v>1</v>
      </c>
      <c r="AE339" s="42"/>
      <c r="AF339" s="42"/>
    </row>
    <row r="340" spans="1:32" s="55" customFormat="1" x14ac:dyDescent="0.2">
      <c r="A340" s="37"/>
      <c r="B340" s="62" t="s">
        <v>1230</v>
      </c>
      <c r="C340" s="170"/>
      <c r="D340" s="170" t="s">
        <v>258</v>
      </c>
      <c r="E340" s="37"/>
      <c r="F340" s="170"/>
      <c r="G340" s="170"/>
      <c r="H340" s="244">
        <v>1</v>
      </c>
      <c r="I340" s="244"/>
      <c r="J340" s="243">
        <v>1</v>
      </c>
      <c r="K340" s="170">
        <v>4</v>
      </c>
      <c r="L340" s="170"/>
      <c r="M340" s="538">
        <v>1</v>
      </c>
      <c r="N340" s="516"/>
      <c r="O340" s="516"/>
      <c r="P340" s="516"/>
      <c r="Q340" s="318">
        <v>1</v>
      </c>
      <c r="R340" s="318">
        <f>+Q376</f>
        <v>1</v>
      </c>
      <c r="S340" s="318"/>
      <c r="T340" s="318"/>
      <c r="U340" s="126" t="s">
        <v>92</v>
      </c>
      <c r="V340" s="127"/>
      <c r="W340" s="127"/>
      <c r="X340" s="126"/>
      <c r="Y340" s="127"/>
      <c r="Z340" s="127"/>
      <c r="AA340" s="300"/>
      <c r="AC340" s="202">
        <v>1</v>
      </c>
      <c r="AE340" s="42"/>
      <c r="AF340" s="42"/>
    </row>
    <row r="341" spans="1:32" s="55" customFormat="1" x14ac:dyDescent="0.2">
      <c r="A341" s="37"/>
      <c r="B341" s="62" t="s">
        <v>1231</v>
      </c>
      <c r="C341" s="170"/>
      <c r="D341" s="170"/>
      <c r="E341" s="37"/>
      <c r="F341" s="170"/>
      <c r="G341" s="170"/>
      <c r="H341" s="244"/>
      <c r="I341" s="244"/>
      <c r="J341" s="240"/>
      <c r="K341" s="170"/>
      <c r="L341" s="170"/>
      <c r="M341" s="202">
        <v>1</v>
      </c>
      <c r="N341" s="516"/>
      <c r="O341" s="516"/>
      <c r="P341" s="516"/>
      <c r="Q341" s="318"/>
      <c r="R341" s="318">
        <f>+Q387</f>
        <v>1</v>
      </c>
      <c r="S341" s="318"/>
      <c r="T341" s="318"/>
      <c r="U341" s="126"/>
      <c r="V341" s="127"/>
      <c r="W341" s="127"/>
      <c r="X341" s="126"/>
      <c r="Y341" s="127"/>
      <c r="Z341" s="127"/>
      <c r="AA341" s="300"/>
      <c r="AC341" s="202">
        <v>1</v>
      </c>
      <c r="AE341" s="42"/>
      <c r="AF341" s="42"/>
    </row>
    <row r="342" spans="1:32" s="55" customFormat="1" x14ac:dyDescent="0.2">
      <c r="A342" s="37"/>
      <c r="B342" s="62" t="s">
        <v>1232</v>
      </c>
      <c r="C342" s="170"/>
      <c r="D342" s="170"/>
      <c r="E342" s="37"/>
      <c r="F342" s="170"/>
      <c r="G342" s="170"/>
      <c r="H342" s="244"/>
      <c r="I342" s="244"/>
      <c r="J342" s="240"/>
      <c r="K342" s="170"/>
      <c r="L342" s="170"/>
      <c r="M342" s="202">
        <v>1</v>
      </c>
      <c r="N342" s="516"/>
      <c r="O342" s="516"/>
      <c r="P342" s="516"/>
      <c r="Q342" s="318"/>
      <c r="R342" s="318">
        <f>+Q397</f>
        <v>1</v>
      </c>
      <c r="S342" s="318"/>
      <c r="T342" s="318"/>
      <c r="U342" s="126"/>
      <c r="V342" s="127"/>
      <c r="W342" s="127"/>
      <c r="X342" s="126"/>
      <c r="Y342" s="127"/>
      <c r="Z342" s="127"/>
      <c r="AA342" s="300"/>
      <c r="AC342" s="202">
        <v>1</v>
      </c>
      <c r="AE342" s="42"/>
      <c r="AF342" s="42"/>
    </row>
    <row r="343" spans="1:32" s="55" customFormat="1" x14ac:dyDescent="0.2">
      <c r="A343" s="37"/>
      <c r="B343" s="62" t="s">
        <v>1233</v>
      </c>
      <c r="C343" s="170"/>
      <c r="D343" s="170"/>
      <c r="E343" s="37"/>
      <c r="F343" s="170"/>
      <c r="G343" s="170"/>
      <c r="H343" s="244"/>
      <c r="I343" s="244"/>
      <c r="J343" s="240"/>
      <c r="K343" s="170"/>
      <c r="L343" s="170"/>
      <c r="M343" s="202">
        <v>1</v>
      </c>
      <c r="N343" s="516"/>
      <c r="O343" s="516"/>
      <c r="P343" s="516"/>
      <c r="Q343" s="318"/>
      <c r="R343" s="318">
        <f>+Q404</f>
        <v>1</v>
      </c>
      <c r="S343" s="318"/>
      <c r="T343" s="318"/>
      <c r="U343" s="126"/>
      <c r="V343" s="127"/>
      <c r="W343" s="127"/>
      <c r="X343" s="126"/>
      <c r="Y343" s="127"/>
      <c r="Z343" s="127"/>
      <c r="AA343" s="300"/>
      <c r="AC343" s="202">
        <v>1</v>
      </c>
      <c r="AE343" s="42"/>
      <c r="AF343" s="42"/>
    </row>
    <row r="344" spans="1:32" s="55" customFormat="1" x14ac:dyDescent="0.2">
      <c r="A344" s="37"/>
      <c r="B344" s="62" t="s">
        <v>1234</v>
      </c>
      <c r="C344" s="313" t="s">
        <v>27</v>
      </c>
      <c r="D344" s="170"/>
      <c r="E344" s="37"/>
      <c r="F344" s="170"/>
      <c r="G344" s="170"/>
      <c r="H344" s="244">
        <v>1</v>
      </c>
      <c r="I344" s="244"/>
      <c r="J344" s="243">
        <v>1</v>
      </c>
      <c r="K344" s="170">
        <v>3</v>
      </c>
      <c r="L344" s="170"/>
      <c r="M344" s="202">
        <v>1</v>
      </c>
      <c r="N344" s="516"/>
      <c r="O344" s="516"/>
      <c r="P344" s="516"/>
      <c r="Q344" s="318">
        <v>1</v>
      </c>
      <c r="R344" s="318">
        <f>+Q414</f>
        <v>1</v>
      </c>
      <c r="S344" s="318"/>
      <c r="T344" s="318"/>
      <c r="U344" s="126"/>
      <c r="V344" s="127"/>
      <c r="W344" s="127" t="s">
        <v>224</v>
      </c>
      <c r="X344" s="126"/>
      <c r="Y344" s="127"/>
      <c r="Z344" s="127"/>
      <c r="AA344" s="300"/>
      <c r="AC344" s="202">
        <v>1</v>
      </c>
      <c r="AE344" s="42"/>
      <c r="AF344" s="42"/>
    </row>
    <row r="345" spans="1:32" s="55" customFormat="1" x14ac:dyDescent="0.2">
      <c r="A345" s="37"/>
      <c r="B345" s="62" t="s">
        <v>1235</v>
      </c>
      <c r="C345" s="170"/>
      <c r="D345" s="170"/>
      <c r="E345" s="37"/>
      <c r="F345" s="170"/>
      <c r="G345" s="170"/>
      <c r="H345" s="244"/>
      <c r="I345" s="244"/>
      <c r="J345" s="240"/>
      <c r="K345" s="170"/>
      <c r="L345" s="170"/>
      <c r="M345" s="202">
        <v>1</v>
      </c>
      <c r="N345" s="516"/>
      <c r="O345" s="516"/>
      <c r="P345" s="516"/>
      <c r="Q345" s="318"/>
      <c r="R345" s="318">
        <f>+Q423</f>
        <v>0.8571428571428571</v>
      </c>
      <c r="S345" s="318"/>
      <c r="T345" s="318"/>
      <c r="U345" s="126" t="s">
        <v>92</v>
      </c>
      <c r="V345" s="127"/>
      <c r="W345" s="127" t="s">
        <v>234</v>
      </c>
      <c r="X345" s="126"/>
      <c r="Y345" s="127"/>
      <c r="Z345" s="127"/>
      <c r="AA345" s="300"/>
      <c r="AC345" s="202">
        <v>1</v>
      </c>
      <c r="AE345" s="42"/>
      <c r="AF345" s="42"/>
    </row>
    <row r="346" spans="1:32" s="55" customFormat="1" x14ac:dyDescent="0.2">
      <c r="A346" s="37"/>
      <c r="B346" s="62" t="s">
        <v>1236</v>
      </c>
      <c r="C346" s="313" t="s">
        <v>1237</v>
      </c>
      <c r="D346" s="170"/>
      <c r="E346" s="37"/>
      <c r="F346" s="170"/>
      <c r="G346" s="170"/>
      <c r="H346" s="244"/>
      <c r="I346" s="244"/>
      <c r="J346" s="240"/>
      <c r="K346" s="170"/>
      <c r="L346" s="170"/>
      <c r="M346" s="202">
        <v>1</v>
      </c>
      <c r="N346" s="516"/>
      <c r="O346" s="516"/>
      <c r="P346" s="516"/>
      <c r="Q346" s="318"/>
      <c r="R346" s="318">
        <f>+Q430</f>
        <v>1</v>
      </c>
      <c r="S346" s="318"/>
      <c r="T346" s="318"/>
      <c r="U346" s="126"/>
      <c r="V346" s="127"/>
      <c r="W346" s="127"/>
      <c r="X346" s="126"/>
      <c r="Y346" s="127"/>
      <c r="Z346" s="127"/>
      <c r="AA346" s="300"/>
      <c r="AC346" s="202">
        <v>1</v>
      </c>
      <c r="AE346" s="42"/>
      <c r="AF346" s="42"/>
    </row>
    <row r="347" spans="1:32" s="55" customFormat="1" x14ac:dyDescent="0.2">
      <c r="A347" s="37"/>
      <c r="B347" s="62" t="s">
        <v>1238</v>
      </c>
      <c r="C347" s="313" t="s">
        <v>1239</v>
      </c>
      <c r="D347" s="170"/>
      <c r="E347" s="37"/>
      <c r="F347" s="170"/>
      <c r="G347" s="170"/>
      <c r="H347" s="244">
        <v>1</v>
      </c>
      <c r="I347" s="244"/>
      <c r="J347" s="243">
        <v>1</v>
      </c>
      <c r="K347" s="170">
        <v>4</v>
      </c>
      <c r="L347" s="170"/>
      <c r="M347" s="202">
        <v>1</v>
      </c>
      <c r="N347" s="516"/>
      <c r="O347" s="516"/>
      <c r="P347" s="516"/>
      <c r="Q347" s="318">
        <v>1</v>
      </c>
      <c r="R347" s="383">
        <f>AVERAGE(R328:R346)</f>
        <v>0.97932330827067671</v>
      </c>
      <c r="S347" s="383"/>
      <c r="T347" s="380">
        <f>STDEV(R328:R346)/(SQRT(COUNT(R328:R346)))</f>
        <v>1.4787498397501191E-2</v>
      </c>
      <c r="U347" s="126"/>
      <c r="V347" s="127"/>
      <c r="W347" s="127"/>
      <c r="X347" s="126"/>
      <c r="Y347" s="127"/>
      <c r="Z347" s="127"/>
      <c r="AA347" s="300"/>
      <c r="AC347" s="202">
        <v>1</v>
      </c>
      <c r="AE347" s="42"/>
      <c r="AF347" s="42"/>
    </row>
    <row r="348" spans="1:32" s="55" customFormat="1" x14ac:dyDescent="0.2">
      <c r="A348" s="37"/>
      <c r="B348" s="62" t="s">
        <v>1240</v>
      </c>
      <c r="C348" s="170"/>
      <c r="D348" s="170"/>
      <c r="E348" s="37"/>
      <c r="F348" s="170"/>
      <c r="G348" s="170"/>
      <c r="H348" s="244"/>
      <c r="I348" s="244"/>
      <c r="J348" s="240"/>
      <c r="K348" s="170"/>
      <c r="L348" s="170"/>
      <c r="M348" s="202">
        <v>1</v>
      </c>
      <c r="N348" s="516"/>
      <c r="O348" s="516"/>
      <c r="P348" s="516"/>
      <c r="Q348" s="318"/>
      <c r="R348" s="318"/>
      <c r="S348" s="318"/>
      <c r="T348" s="318"/>
      <c r="U348" s="126"/>
      <c r="V348" s="127"/>
      <c r="W348" s="127"/>
      <c r="X348" s="126"/>
      <c r="Y348" s="127"/>
      <c r="Z348" s="127"/>
      <c r="AA348" s="300"/>
      <c r="AC348" s="202">
        <v>1</v>
      </c>
      <c r="AE348" s="42"/>
      <c r="AF348" s="42"/>
    </row>
    <row r="349" spans="1:32" s="55" customFormat="1" x14ac:dyDescent="0.2">
      <c r="A349" s="37"/>
      <c r="B349" s="62" t="s">
        <v>1241</v>
      </c>
      <c r="C349" s="170"/>
      <c r="D349" s="170"/>
      <c r="E349" s="37"/>
      <c r="F349" s="170"/>
      <c r="G349" s="170"/>
      <c r="H349" s="244"/>
      <c r="I349" s="244"/>
      <c r="J349" s="240"/>
      <c r="K349" s="170"/>
      <c r="L349" s="170"/>
      <c r="M349" s="202">
        <v>1</v>
      </c>
      <c r="N349" s="516"/>
      <c r="O349" s="516"/>
      <c r="P349" s="516"/>
      <c r="Q349" s="318"/>
      <c r="R349" s="318"/>
      <c r="S349" s="318"/>
      <c r="T349" s="318"/>
      <c r="U349" s="126"/>
      <c r="V349" s="127"/>
      <c r="W349" s="127"/>
      <c r="X349" s="126"/>
      <c r="Y349" s="127"/>
      <c r="Z349" s="127"/>
      <c r="AA349" s="300"/>
      <c r="AC349" s="202">
        <v>1</v>
      </c>
      <c r="AE349" s="42"/>
      <c r="AF349" s="42"/>
    </row>
    <row r="350" spans="1:32" s="55" customFormat="1" x14ac:dyDescent="0.2">
      <c r="A350" s="37"/>
      <c r="B350" s="62" t="s">
        <v>1242</v>
      </c>
      <c r="C350" s="170"/>
      <c r="D350" s="170"/>
      <c r="E350" s="37"/>
      <c r="F350" s="170"/>
      <c r="G350" s="170"/>
      <c r="H350" s="244"/>
      <c r="I350" s="244"/>
      <c r="J350" s="240"/>
      <c r="K350" s="170"/>
      <c r="L350" s="170"/>
      <c r="M350" s="202">
        <v>1</v>
      </c>
      <c r="N350" s="516"/>
      <c r="O350" s="516"/>
      <c r="P350" s="516"/>
      <c r="Q350" s="318"/>
      <c r="R350" s="318"/>
      <c r="S350" s="318"/>
      <c r="T350" s="318"/>
      <c r="U350" s="126"/>
      <c r="V350" s="127"/>
      <c r="W350" s="127"/>
      <c r="X350" s="126"/>
      <c r="Y350" s="127"/>
      <c r="Z350" s="127"/>
      <c r="AA350" s="300"/>
      <c r="AC350" s="202">
        <v>1</v>
      </c>
      <c r="AE350" s="42"/>
      <c r="AF350" s="42"/>
    </row>
    <row r="351" spans="1:32" s="55" customFormat="1" x14ac:dyDescent="0.2">
      <c r="A351" s="37">
        <v>2</v>
      </c>
      <c r="B351" s="62" t="s">
        <v>1243</v>
      </c>
      <c r="C351" s="170"/>
      <c r="D351" s="170"/>
      <c r="E351" s="37"/>
      <c r="F351" s="170"/>
      <c r="G351" s="170">
        <v>1</v>
      </c>
      <c r="H351" s="244">
        <v>1</v>
      </c>
      <c r="I351" s="244"/>
      <c r="J351" s="244">
        <v>1</v>
      </c>
      <c r="K351" s="170">
        <v>3</v>
      </c>
      <c r="L351" s="170"/>
      <c r="M351" s="202">
        <v>1</v>
      </c>
      <c r="N351" s="516"/>
      <c r="O351" s="516"/>
      <c r="P351" s="516"/>
      <c r="Q351" s="318">
        <v>1</v>
      </c>
      <c r="R351" s="318"/>
      <c r="S351" s="318"/>
      <c r="T351" s="318"/>
      <c r="U351" s="126"/>
      <c r="V351" s="127"/>
      <c r="W351" s="127"/>
      <c r="X351" s="126"/>
      <c r="Y351" s="127"/>
      <c r="Z351" s="127"/>
      <c r="AA351" s="300"/>
      <c r="AC351" s="202">
        <v>1</v>
      </c>
      <c r="AE351" s="42"/>
      <c r="AF351" s="42"/>
    </row>
    <row r="352" spans="1:32" s="55" customFormat="1" x14ac:dyDescent="0.2">
      <c r="A352" s="37"/>
      <c r="B352" s="62" t="s">
        <v>1244</v>
      </c>
      <c r="C352" s="170"/>
      <c r="D352" s="170"/>
      <c r="E352" s="37"/>
      <c r="F352" s="170"/>
      <c r="G352" s="170"/>
      <c r="H352" s="244"/>
      <c r="I352" s="244"/>
      <c r="J352" s="240"/>
      <c r="K352" s="170"/>
      <c r="L352" s="170"/>
      <c r="M352" s="202">
        <v>1</v>
      </c>
      <c r="N352" s="516"/>
      <c r="O352" s="516"/>
      <c r="P352" s="516"/>
      <c r="Q352" s="318"/>
      <c r="R352" s="318"/>
      <c r="S352" s="318"/>
      <c r="T352" s="318"/>
      <c r="U352" s="126"/>
      <c r="V352" s="127"/>
      <c r="W352" s="127"/>
      <c r="X352" s="126"/>
      <c r="Y352" s="127"/>
      <c r="Z352" s="127"/>
      <c r="AA352" s="300"/>
      <c r="AC352" s="202">
        <v>1</v>
      </c>
      <c r="AE352" s="42"/>
      <c r="AF352" s="42"/>
    </row>
    <row r="353" spans="1:32" s="55" customFormat="1" x14ac:dyDescent="0.2">
      <c r="A353" s="37"/>
      <c r="B353" s="62" t="s">
        <v>1245</v>
      </c>
      <c r="C353" s="170"/>
      <c r="D353" s="170"/>
      <c r="E353" s="37"/>
      <c r="F353" s="170"/>
      <c r="G353" s="170"/>
      <c r="H353" s="244"/>
      <c r="I353" s="244"/>
      <c r="J353" s="240"/>
      <c r="K353" s="170"/>
      <c r="L353" s="170"/>
      <c r="M353" s="202">
        <v>1</v>
      </c>
      <c r="N353" s="516"/>
      <c r="O353" s="516"/>
      <c r="P353" s="516"/>
      <c r="Q353" s="318"/>
      <c r="R353" s="318"/>
      <c r="S353" s="318"/>
      <c r="T353" s="318"/>
      <c r="U353" s="126"/>
      <c r="V353" s="127"/>
      <c r="W353" s="127"/>
      <c r="X353" s="126"/>
      <c r="Y353" s="127"/>
      <c r="Z353" s="127"/>
      <c r="AA353" s="300"/>
      <c r="AC353" s="202">
        <v>1</v>
      </c>
      <c r="AE353" s="42"/>
      <c r="AF353" s="42"/>
    </row>
    <row r="354" spans="1:32" s="55" customFormat="1" x14ac:dyDescent="0.2">
      <c r="A354" s="37"/>
      <c r="B354" s="62" t="s">
        <v>1246</v>
      </c>
      <c r="C354" s="170"/>
      <c r="D354" s="170"/>
      <c r="E354" s="37"/>
      <c r="F354" s="170"/>
      <c r="G354" s="170"/>
      <c r="H354" s="244">
        <v>1</v>
      </c>
      <c r="I354" s="244"/>
      <c r="J354" s="244">
        <v>1</v>
      </c>
      <c r="K354" s="170">
        <v>5</v>
      </c>
      <c r="L354" s="170"/>
      <c r="M354" s="202">
        <v>1</v>
      </c>
      <c r="N354" s="516"/>
      <c r="O354" s="516"/>
      <c r="P354" s="516"/>
      <c r="Q354" s="318">
        <v>1</v>
      </c>
      <c r="R354" s="318"/>
      <c r="S354" s="318"/>
      <c r="T354" s="318"/>
      <c r="U354" s="126"/>
      <c r="V354" s="127"/>
      <c r="W354" s="127" t="s">
        <v>93</v>
      </c>
      <c r="X354" s="126"/>
      <c r="Y354" s="127"/>
      <c r="Z354" s="127"/>
      <c r="AA354" s="300"/>
      <c r="AC354" s="202">
        <v>1</v>
      </c>
      <c r="AE354" s="42"/>
      <c r="AF354" s="42"/>
    </row>
    <row r="355" spans="1:32" s="55" customFormat="1" x14ac:dyDescent="0.2">
      <c r="A355" s="37"/>
      <c r="B355" s="62" t="s">
        <v>1247</v>
      </c>
      <c r="C355" s="170"/>
      <c r="D355" s="170"/>
      <c r="E355" s="37"/>
      <c r="F355" s="170"/>
      <c r="G355" s="170"/>
      <c r="H355" s="244"/>
      <c r="I355" s="244"/>
      <c r="J355" s="240"/>
      <c r="K355" s="170"/>
      <c r="L355" s="170"/>
      <c r="M355" s="202">
        <v>1</v>
      </c>
      <c r="N355" s="516"/>
      <c r="O355" s="516"/>
      <c r="P355" s="516"/>
      <c r="Q355" s="318"/>
      <c r="R355" s="318"/>
      <c r="S355" s="318"/>
      <c r="T355" s="318"/>
      <c r="U355" s="126"/>
      <c r="V355" s="127"/>
      <c r="W355" s="127" t="s">
        <v>224</v>
      </c>
      <c r="X355" s="126"/>
      <c r="Y355" s="127"/>
      <c r="Z355" s="127"/>
      <c r="AA355" s="300"/>
      <c r="AC355" s="202">
        <v>1</v>
      </c>
      <c r="AE355" s="42"/>
      <c r="AF355" s="42"/>
    </row>
    <row r="356" spans="1:32" s="55" customFormat="1" x14ac:dyDescent="0.2">
      <c r="A356" s="37"/>
      <c r="B356" s="62" t="s">
        <v>1248</v>
      </c>
      <c r="C356" s="170"/>
      <c r="D356" s="170"/>
      <c r="E356" s="37"/>
      <c r="F356" s="170"/>
      <c r="G356" s="170"/>
      <c r="H356" s="244"/>
      <c r="I356" s="244"/>
      <c r="J356" s="240"/>
      <c r="K356" s="170"/>
      <c r="L356" s="170"/>
      <c r="M356" s="202">
        <v>1</v>
      </c>
      <c r="N356" s="516"/>
      <c r="O356" s="516"/>
      <c r="P356" s="516"/>
      <c r="Q356" s="318"/>
      <c r="R356" s="318"/>
      <c r="S356" s="318"/>
      <c r="T356" s="318"/>
      <c r="U356" s="126"/>
      <c r="V356" s="127"/>
      <c r="W356" s="127" t="s">
        <v>234</v>
      </c>
      <c r="X356" s="126"/>
      <c r="Y356" s="127"/>
      <c r="Z356" s="127"/>
      <c r="AA356" s="300"/>
      <c r="AC356" s="202">
        <v>1</v>
      </c>
      <c r="AE356" s="42"/>
      <c r="AF356" s="42"/>
    </row>
    <row r="357" spans="1:32" s="55" customFormat="1" x14ac:dyDescent="0.2">
      <c r="A357" s="37"/>
      <c r="B357" s="62" t="s">
        <v>1249</v>
      </c>
      <c r="C357" s="170"/>
      <c r="D357" s="170"/>
      <c r="E357" s="37"/>
      <c r="F357" s="170"/>
      <c r="G357" s="170"/>
      <c r="H357" s="244" t="s">
        <v>27</v>
      </c>
      <c r="I357" s="244"/>
      <c r="J357" s="244" t="s">
        <v>27</v>
      </c>
      <c r="K357" s="170" t="s">
        <v>27</v>
      </c>
      <c r="L357" s="170"/>
      <c r="M357" s="202">
        <v>1</v>
      </c>
      <c r="N357" s="516"/>
      <c r="O357" s="516"/>
      <c r="P357" s="516"/>
      <c r="Q357" s="318" t="s">
        <v>27</v>
      </c>
      <c r="R357" s="318"/>
      <c r="S357" s="318"/>
      <c r="T357" s="318"/>
      <c r="U357" s="126"/>
      <c r="V357" s="127"/>
      <c r="W357" s="127"/>
      <c r="X357" s="126"/>
      <c r="Y357" s="127"/>
      <c r="Z357" s="127"/>
      <c r="AA357" s="300"/>
      <c r="AC357" s="202">
        <v>1</v>
      </c>
      <c r="AE357" s="42"/>
      <c r="AF357" s="42"/>
    </row>
    <row r="358" spans="1:32" s="55" customFormat="1" x14ac:dyDescent="0.2">
      <c r="A358" s="37"/>
      <c r="B358" s="62" t="s">
        <v>1250</v>
      </c>
      <c r="C358" s="170"/>
      <c r="D358" s="170"/>
      <c r="E358" s="37"/>
      <c r="F358" s="170"/>
      <c r="G358" s="170"/>
      <c r="H358" s="244"/>
      <c r="I358" s="244"/>
      <c r="J358" s="240"/>
      <c r="K358" s="170"/>
      <c r="L358" s="170"/>
      <c r="M358" s="538">
        <v>1</v>
      </c>
      <c r="N358" s="516"/>
      <c r="O358" s="516"/>
      <c r="P358" s="516"/>
      <c r="Q358" s="318"/>
      <c r="R358" s="318"/>
      <c r="S358" s="318"/>
      <c r="T358" s="318"/>
      <c r="U358" s="126" t="s">
        <v>92</v>
      </c>
      <c r="V358" s="127"/>
      <c r="W358" s="127" t="s">
        <v>234</v>
      </c>
      <c r="X358" s="126" t="s">
        <v>92</v>
      </c>
      <c r="Y358" s="127"/>
      <c r="Z358" s="127" t="s">
        <v>94</v>
      </c>
      <c r="AA358" s="300"/>
      <c r="AC358" s="202">
        <v>1</v>
      </c>
      <c r="AE358" s="42"/>
      <c r="AF358" s="42"/>
    </row>
    <row r="359" spans="1:32" s="55" customFormat="1" x14ac:dyDescent="0.2">
      <c r="A359" s="37"/>
      <c r="B359" s="62" t="s">
        <v>1251</v>
      </c>
      <c r="C359" s="170"/>
      <c r="D359" s="170" t="s">
        <v>938</v>
      </c>
      <c r="E359" s="37"/>
      <c r="F359" s="170"/>
      <c r="G359" s="170"/>
      <c r="H359" s="244">
        <v>1</v>
      </c>
      <c r="I359" s="244"/>
      <c r="J359" s="244">
        <v>1</v>
      </c>
      <c r="K359" s="170">
        <v>5</v>
      </c>
      <c r="L359" s="170"/>
      <c r="M359" s="202">
        <v>1</v>
      </c>
      <c r="N359" s="516"/>
      <c r="O359" s="516"/>
      <c r="P359" s="516"/>
      <c r="Q359" s="318">
        <v>1</v>
      </c>
      <c r="R359" s="318"/>
      <c r="S359" s="318"/>
      <c r="T359" s="318"/>
      <c r="U359" s="126" t="s">
        <v>1252</v>
      </c>
      <c r="V359" s="127"/>
      <c r="W359" s="127" t="s">
        <v>234</v>
      </c>
      <c r="X359" s="126"/>
      <c r="Y359" s="127"/>
      <c r="Z359" s="127"/>
      <c r="AA359" s="300"/>
      <c r="AC359" s="202">
        <v>1</v>
      </c>
      <c r="AE359" s="42"/>
      <c r="AF359" s="42"/>
    </row>
    <row r="360" spans="1:32" s="55" customFormat="1" x14ac:dyDescent="0.2">
      <c r="A360" s="37"/>
      <c r="B360" s="62" t="s">
        <v>1253</v>
      </c>
      <c r="C360" s="170"/>
      <c r="D360" s="170"/>
      <c r="E360" s="37"/>
      <c r="F360" s="170"/>
      <c r="G360" s="170"/>
      <c r="H360" s="244"/>
      <c r="I360" s="244"/>
      <c r="J360" s="240"/>
      <c r="K360" s="170"/>
      <c r="L360" s="170"/>
      <c r="M360" s="202">
        <v>1</v>
      </c>
      <c r="N360" s="516"/>
      <c r="O360" s="516"/>
      <c r="P360" s="516"/>
      <c r="Q360" s="318"/>
      <c r="R360" s="318"/>
      <c r="S360" s="318"/>
      <c r="T360" s="318"/>
      <c r="U360" s="126" t="s">
        <v>1252</v>
      </c>
      <c r="V360" s="127"/>
      <c r="W360" s="127" t="s">
        <v>234</v>
      </c>
      <c r="X360" s="126"/>
      <c r="Y360" s="127"/>
      <c r="Z360" s="127"/>
      <c r="AA360" s="300"/>
      <c r="AC360" s="202">
        <v>1</v>
      </c>
      <c r="AE360" s="42"/>
      <c r="AF360" s="42"/>
    </row>
    <row r="361" spans="1:32" s="55" customFormat="1" x14ac:dyDescent="0.2">
      <c r="A361" s="37"/>
      <c r="B361" s="62" t="s">
        <v>1254</v>
      </c>
      <c r="C361" s="170"/>
      <c r="D361" s="170"/>
      <c r="E361" s="37"/>
      <c r="F361" s="170"/>
      <c r="G361" s="170"/>
      <c r="H361" s="244"/>
      <c r="I361" s="244"/>
      <c r="J361" s="240"/>
      <c r="K361" s="170"/>
      <c r="L361" s="170"/>
      <c r="M361" s="202">
        <v>1</v>
      </c>
      <c r="N361" s="516"/>
      <c r="O361" s="516"/>
      <c r="P361" s="516"/>
      <c r="Q361" s="318"/>
      <c r="R361" s="318"/>
      <c r="S361" s="318"/>
      <c r="T361" s="318"/>
      <c r="U361" s="126"/>
      <c r="V361" s="127"/>
      <c r="W361" s="127"/>
      <c r="X361" s="126"/>
      <c r="Y361" s="127"/>
      <c r="Z361" s="127"/>
      <c r="AA361" s="300"/>
      <c r="AC361" s="202">
        <v>1</v>
      </c>
      <c r="AE361" s="42"/>
      <c r="AF361" s="42"/>
    </row>
    <row r="362" spans="1:32" s="55" customFormat="1" x14ac:dyDescent="0.2">
      <c r="A362" s="37" t="s">
        <v>27</v>
      </c>
      <c r="B362" s="62" t="s">
        <v>1255</v>
      </c>
      <c r="C362" s="170" t="s">
        <v>126</v>
      </c>
      <c r="D362" s="170"/>
      <c r="E362" s="37"/>
      <c r="F362" s="170"/>
      <c r="G362" s="170"/>
      <c r="H362" s="244" t="s">
        <v>27</v>
      </c>
      <c r="I362" s="244"/>
      <c r="J362" s="244" t="s">
        <v>27</v>
      </c>
      <c r="K362" s="170" t="s">
        <v>27</v>
      </c>
      <c r="L362" s="170"/>
      <c r="M362" s="538">
        <v>1</v>
      </c>
      <c r="N362" s="516"/>
      <c r="O362" s="516"/>
      <c r="P362" s="516"/>
      <c r="Q362" s="318" t="s">
        <v>27</v>
      </c>
      <c r="R362" s="318"/>
      <c r="S362" s="318"/>
      <c r="T362" s="318"/>
      <c r="U362" s="126" t="s">
        <v>92</v>
      </c>
      <c r="V362" s="127"/>
      <c r="W362" s="127"/>
      <c r="X362" s="126" t="s">
        <v>92</v>
      </c>
      <c r="Y362" s="127"/>
      <c r="Z362" s="127"/>
      <c r="AA362" s="300">
        <v>0</v>
      </c>
      <c r="AC362" s="202">
        <v>1</v>
      </c>
      <c r="AE362" s="42"/>
      <c r="AF362" s="42"/>
    </row>
    <row r="363" spans="1:32" s="55" customFormat="1" x14ac:dyDescent="0.2">
      <c r="A363" s="37"/>
      <c r="B363" s="62" t="s">
        <v>1256</v>
      </c>
      <c r="C363" s="170" t="s">
        <v>126</v>
      </c>
      <c r="D363" s="170"/>
      <c r="E363" s="37"/>
      <c r="F363" s="170"/>
      <c r="G363" s="170"/>
      <c r="H363" s="244"/>
      <c r="I363" s="244"/>
      <c r="J363" s="240"/>
      <c r="K363" s="170"/>
      <c r="L363" s="170"/>
      <c r="M363" s="538">
        <v>1</v>
      </c>
      <c r="N363" s="516"/>
      <c r="O363" s="516"/>
      <c r="P363" s="516"/>
      <c r="Q363" s="318"/>
      <c r="R363" s="318"/>
      <c r="S363" s="318"/>
      <c r="T363" s="318"/>
      <c r="U363" s="126" t="s">
        <v>92</v>
      </c>
      <c r="V363" s="127"/>
      <c r="W363" s="127"/>
      <c r="X363" s="126" t="s">
        <v>92</v>
      </c>
      <c r="Y363" s="127"/>
      <c r="Z363" s="127"/>
      <c r="AA363" s="300">
        <v>0</v>
      </c>
      <c r="AC363" s="202">
        <v>1</v>
      </c>
      <c r="AE363" s="42"/>
      <c r="AF363" s="42"/>
    </row>
    <row r="364" spans="1:32" s="55" customFormat="1" x14ac:dyDescent="0.2">
      <c r="A364" s="37"/>
      <c r="B364" s="62" t="s">
        <v>1257</v>
      </c>
      <c r="C364" s="170"/>
      <c r="D364" s="170"/>
      <c r="E364" s="37"/>
      <c r="F364" s="170"/>
      <c r="G364" s="170"/>
      <c r="H364" s="244">
        <v>1</v>
      </c>
      <c r="I364" s="244"/>
      <c r="J364" s="244">
        <v>1</v>
      </c>
      <c r="K364" s="170">
        <v>3</v>
      </c>
      <c r="L364" s="170"/>
      <c r="M364" s="202">
        <v>1</v>
      </c>
      <c r="N364" s="516"/>
      <c r="O364" s="516"/>
      <c r="P364" s="516"/>
      <c r="Q364" s="318">
        <v>1</v>
      </c>
      <c r="R364" s="318"/>
      <c r="S364" s="318"/>
      <c r="T364" s="318"/>
      <c r="U364" s="126"/>
      <c r="V364" s="127"/>
      <c r="W364" s="127"/>
      <c r="X364" s="126"/>
      <c r="Y364" s="127"/>
      <c r="Z364" s="127"/>
      <c r="AA364" s="300"/>
      <c r="AC364" s="202">
        <v>1</v>
      </c>
      <c r="AE364" s="42"/>
      <c r="AF364" s="42"/>
    </row>
    <row r="365" spans="1:32" s="55" customFormat="1" x14ac:dyDescent="0.2">
      <c r="A365" s="37"/>
      <c r="B365" s="62" t="s">
        <v>1258</v>
      </c>
      <c r="C365" s="170"/>
      <c r="D365" s="170"/>
      <c r="E365" s="37"/>
      <c r="F365" s="170"/>
      <c r="G365" s="170"/>
      <c r="H365" s="244"/>
      <c r="I365" s="244"/>
      <c r="J365" s="240"/>
      <c r="K365" s="170"/>
      <c r="L365" s="170"/>
      <c r="M365" s="202">
        <v>1</v>
      </c>
      <c r="N365" s="516"/>
      <c r="O365" s="516"/>
      <c r="P365" s="516"/>
      <c r="Q365" s="318"/>
      <c r="R365" s="318"/>
      <c r="S365" s="318"/>
      <c r="T365" s="318"/>
      <c r="U365" s="126"/>
      <c r="V365" s="127"/>
      <c r="W365" s="127"/>
      <c r="X365" s="126"/>
      <c r="Y365" s="127"/>
      <c r="Z365" s="127"/>
      <c r="AA365" s="300"/>
      <c r="AC365" s="202">
        <v>1</v>
      </c>
      <c r="AE365" s="42"/>
      <c r="AF365" s="42"/>
    </row>
    <row r="366" spans="1:32" s="55" customFormat="1" x14ac:dyDescent="0.2">
      <c r="A366" s="37"/>
      <c r="B366" s="62" t="s">
        <v>1259</v>
      </c>
      <c r="C366" s="170"/>
      <c r="D366" s="170"/>
      <c r="E366" s="37"/>
      <c r="F366" s="170"/>
      <c r="G366" s="170"/>
      <c r="H366" s="244"/>
      <c r="I366" s="244"/>
      <c r="J366" s="240"/>
      <c r="K366" s="170"/>
      <c r="L366" s="170"/>
      <c r="M366" s="202">
        <v>1</v>
      </c>
      <c r="N366" s="516"/>
      <c r="O366" s="516"/>
      <c r="P366" s="516"/>
      <c r="Q366" s="318"/>
      <c r="R366" s="318"/>
      <c r="S366" s="318"/>
      <c r="T366" s="318"/>
      <c r="U366" s="126"/>
      <c r="V366" s="127"/>
      <c r="W366" s="127"/>
      <c r="X366" s="126"/>
      <c r="Y366" s="127"/>
      <c r="Z366" s="127"/>
      <c r="AA366" s="300"/>
      <c r="AC366" s="202">
        <v>1</v>
      </c>
      <c r="AE366" s="42"/>
      <c r="AF366" s="42"/>
    </row>
    <row r="367" spans="1:32" s="55" customFormat="1" x14ac:dyDescent="0.2">
      <c r="A367" s="37"/>
      <c r="B367" s="62" t="s">
        <v>1260</v>
      </c>
      <c r="C367" s="170"/>
      <c r="D367" s="170"/>
      <c r="E367" s="37"/>
      <c r="F367" s="170"/>
      <c r="G367" s="170"/>
      <c r="H367" s="244">
        <v>1</v>
      </c>
      <c r="I367" s="244"/>
      <c r="J367" s="244">
        <v>1</v>
      </c>
      <c r="K367" s="170">
        <v>6</v>
      </c>
      <c r="L367" s="170" t="s">
        <v>27</v>
      </c>
      <c r="M367" s="202">
        <v>1</v>
      </c>
      <c r="N367" s="516"/>
      <c r="O367" s="516"/>
      <c r="P367" s="516"/>
      <c r="Q367" s="318">
        <v>1</v>
      </c>
      <c r="R367" s="318"/>
      <c r="S367" s="318"/>
      <c r="T367" s="318"/>
      <c r="U367" s="126"/>
      <c r="V367" s="127"/>
      <c r="W367" s="127"/>
      <c r="X367" s="126"/>
      <c r="Y367" s="127"/>
      <c r="Z367" s="127"/>
      <c r="AA367" s="300"/>
      <c r="AC367" s="202">
        <v>1</v>
      </c>
      <c r="AE367" s="42"/>
      <c r="AF367" s="42"/>
    </row>
    <row r="368" spans="1:32" s="55" customFormat="1" x14ac:dyDescent="0.2">
      <c r="A368" s="37"/>
      <c r="B368" s="62" t="s">
        <v>1261</v>
      </c>
      <c r="C368" s="170"/>
      <c r="D368" s="170"/>
      <c r="E368" s="37"/>
      <c r="F368" s="170"/>
      <c r="G368" s="170"/>
      <c r="H368" s="244"/>
      <c r="I368" s="244"/>
      <c r="J368" s="240"/>
      <c r="K368" s="170"/>
      <c r="L368" s="170"/>
      <c r="M368" s="202">
        <v>1</v>
      </c>
      <c r="N368" s="516"/>
      <c r="O368" s="516"/>
      <c r="P368" s="516"/>
      <c r="Q368" s="318"/>
      <c r="R368" s="318"/>
      <c r="S368" s="318"/>
      <c r="T368" s="318"/>
      <c r="U368" s="126"/>
      <c r="V368" s="127"/>
      <c r="W368" s="127"/>
      <c r="X368" s="126"/>
      <c r="Y368" s="127"/>
      <c r="Z368" s="127"/>
      <c r="AA368" s="300"/>
      <c r="AC368" s="202">
        <v>1</v>
      </c>
      <c r="AE368" s="42"/>
      <c r="AF368" s="42"/>
    </row>
    <row r="369" spans="1:32" s="55" customFormat="1" x14ac:dyDescent="0.2">
      <c r="A369" s="37"/>
      <c r="B369" s="62" t="s">
        <v>1262</v>
      </c>
      <c r="C369" s="170"/>
      <c r="D369" s="170"/>
      <c r="E369" s="37"/>
      <c r="F369" s="170"/>
      <c r="G369" s="170"/>
      <c r="H369" s="244"/>
      <c r="I369" s="244"/>
      <c r="J369" s="240"/>
      <c r="K369" s="170"/>
      <c r="L369" s="170"/>
      <c r="M369" s="202">
        <v>1</v>
      </c>
      <c r="N369" s="516"/>
      <c r="O369" s="516"/>
      <c r="P369" s="516"/>
      <c r="Q369" s="318"/>
      <c r="R369" s="318"/>
      <c r="S369" s="318"/>
      <c r="T369" s="318"/>
      <c r="U369" s="126"/>
      <c r="V369" s="127"/>
      <c r="W369" s="127"/>
      <c r="X369" s="126"/>
      <c r="Y369" s="127"/>
      <c r="Z369" s="127"/>
      <c r="AA369" s="300"/>
      <c r="AC369" s="202">
        <v>1</v>
      </c>
      <c r="AE369" s="42"/>
      <c r="AF369" s="42"/>
    </row>
    <row r="370" spans="1:32" s="55" customFormat="1" x14ac:dyDescent="0.2">
      <c r="A370" s="37"/>
      <c r="B370" s="62" t="s">
        <v>1263</v>
      </c>
      <c r="C370" s="170"/>
      <c r="D370" s="170"/>
      <c r="E370" s="37"/>
      <c r="F370" s="170"/>
      <c r="G370" s="170"/>
      <c r="H370" s="244"/>
      <c r="I370" s="244"/>
      <c r="J370" s="240"/>
      <c r="K370" s="170"/>
      <c r="L370" s="170"/>
      <c r="M370" s="202">
        <v>1</v>
      </c>
      <c r="N370" s="516"/>
      <c r="O370" s="516"/>
      <c r="P370" s="516"/>
      <c r="Q370" s="318"/>
      <c r="R370" s="318"/>
      <c r="S370" s="318"/>
      <c r="T370" s="318"/>
      <c r="U370" s="126"/>
      <c r="V370" s="127"/>
      <c r="W370" s="127"/>
      <c r="X370" s="126"/>
      <c r="Y370" s="127"/>
      <c r="Z370" s="127"/>
      <c r="AA370" s="300"/>
      <c r="AC370" s="202">
        <v>1</v>
      </c>
      <c r="AE370" s="42"/>
      <c r="AF370" s="42"/>
    </row>
    <row r="371" spans="1:32" s="55" customFormat="1" x14ac:dyDescent="0.2">
      <c r="A371" s="37"/>
      <c r="B371" s="62" t="s">
        <v>1264</v>
      </c>
      <c r="C371" s="170"/>
      <c r="D371" s="170"/>
      <c r="E371" s="37"/>
      <c r="F371" s="170"/>
      <c r="G371" s="170"/>
      <c r="H371" s="244"/>
      <c r="I371" s="244"/>
      <c r="J371" s="240"/>
      <c r="K371" s="170"/>
      <c r="L371" s="170"/>
      <c r="M371" s="202">
        <v>1</v>
      </c>
      <c r="N371" s="516"/>
      <c r="O371" s="516"/>
      <c r="P371" s="516"/>
      <c r="Q371" s="318"/>
      <c r="R371" s="318"/>
      <c r="S371" s="318"/>
      <c r="T371" s="318"/>
      <c r="U371" s="126"/>
      <c r="V371" s="127"/>
      <c r="W371" s="127"/>
      <c r="X371" s="126"/>
      <c r="Y371" s="127"/>
      <c r="Z371" s="127"/>
      <c r="AA371" s="300"/>
      <c r="AC371" s="202">
        <v>1</v>
      </c>
      <c r="AE371" s="42"/>
      <c r="AF371" s="42"/>
    </row>
    <row r="372" spans="1:32" s="55" customFormat="1" x14ac:dyDescent="0.2">
      <c r="A372" s="37"/>
      <c r="B372" s="62" t="s">
        <v>1265</v>
      </c>
      <c r="C372" s="170"/>
      <c r="D372" s="170"/>
      <c r="E372" s="37"/>
      <c r="F372" s="170"/>
      <c r="G372" s="170"/>
      <c r="H372" s="244"/>
      <c r="I372" s="244"/>
      <c r="J372" s="240"/>
      <c r="K372" s="170"/>
      <c r="L372" s="170"/>
      <c r="M372" s="202">
        <v>1</v>
      </c>
      <c r="N372" s="516"/>
      <c r="O372" s="516"/>
      <c r="P372" s="516"/>
      <c r="Q372" s="318"/>
      <c r="R372" s="318"/>
      <c r="S372" s="318"/>
      <c r="T372" s="318"/>
      <c r="U372" s="126"/>
      <c r="V372" s="127"/>
      <c r="W372" s="127"/>
      <c r="X372" s="126"/>
      <c r="Y372" s="127"/>
      <c r="Z372" s="127"/>
      <c r="AA372" s="300"/>
      <c r="AC372" s="202">
        <v>1</v>
      </c>
      <c r="AE372" s="42"/>
      <c r="AF372" s="42"/>
    </row>
    <row r="373" spans="1:32" s="55" customFormat="1" x14ac:dyDescent="0.2">
      <c r="A373" s="37"/>
      <c r="B373" s="62" t="s">
        <v>1266</v>
      </c>
      <c r="C373" s="170"/>
      <c r="D373" s="170"/>
      <c r="E373" s="37"/>
      <c r="F373" s="170"/>
      <c r="G373" s="170"/>
      <c r="H373" s="244">
        <v>1</v>
      </c>
      <c r="I373" s="244"/>
      <c r="J373" s="244">
        <v>1</v>
      </c>
      <c r="K373" s="170">
        <v>3</v>
      </c>
      <c r="L373" s="170"/>
      <c r="M373" s="202">
        <v>1</v>
      </c>
      <c r="N373" s="516"/>
      <c r="O373" s="516"/>
      <c r="P373" s="516"/>
      <c r="Q373" s="318">
        <v>1</v>
      </c>
      <c r="R373" s="318"/>
      <c r="S373" s="318"/>
      <c r="T373" s="318"/>
      <c r="U373" s="126"/>
      <c r="V373" s="127"/>
      <c r="W373" s="127"/>
      <c r="X373" s="126"/>
      <c r="Y373" s="127"/>
      <c r="Z373" s="127"/>
      <c r="AA373" s="300"/>
      <c r="AC373" s="202">
        <v>1</v>
      </c>
      <c r="AE373" s="42"/>
      <c r="AF373" s="42"/>
    </row>
    <row r="374" spans="1:32" s="55" customFormat="1" x14ac:dyDescent="0.2">
      <c r="A374" s="37"/>
      <c r="B374" s="62" t="s">
        <v>1267</v>
      </c>
      <c r="C374" s="170"/>
      <c r="D374" s="170"/>
      <c r="E374" s="37"/>
      <c r="F374" s="170"/>
      <c r="G374" s="170"/>
      <c r="H374" s="244"/>
      <c r="I374" s="244"/>
      <c r="J374" s="240"/>
      <c r="K374" s="170"/>
      <c r="L374" s="170"/>
      <c r="M374" s="202">
        <v>1</v>
      </c>
      <c r="N374" s="516"/>
      <c r="O374" s="516"/>
      <c r="P374" s="516"/>
      <c r="Q374" s="318"/>
      <c r="R374" s="318"/>
      <c r="S374" s="318"/>
      <c r="T374" s="318"/>
      <c r="U374" s="126"/>
      <c r="V374" s="127"/>
      <c r="W374" s="127"/>
      <c r="X374" s="126"/>
      <c r="Y374" s="127"/>
      <c r="Z374" s="127"/>
      <c r="AA374" s="300"/>
      <c r="AC374" s="202">
        <v>1</v>
      </c>
      <c r="AE374" s="42"/>
      <c r="AF374" s="42"/>
    </row>
    <row r="375" spans="1:32" s="55" customFormat="1" x14ac:dyDescent="0.2">
      <c r="A375" s="37"/>
      <c r="B375" s="62" t="s">
        <v>1268</v>
      </c>
      <c r="C375" s="170"/>
      <c r="D375" s="170"/>
      <c r="E375" s="37"/>
      <c r="F375" s="170"/>
      <c r="G375" s="170"/>
      <c r="H375" s="244"/>
      <c r="I375" s="244"/>
      <c r="J375" s="240"/>
      <c r="K375" s="170"/>
      <c r="L375" s="170"/>
      <c r="M375" s="202">
        <v>1</v>
      </c>
      <c r="N375" s="516"/>
      <c r="O375" s="516"/>
      <c r="P375" s="516"/>
      <c r="Q375" s="318"/>
      <c r="R375" s="318"/>
      <c r="S375" s="318"/>
      <c r="T375" s="318"/>
      <c r="U375" s="126"/>
      <c r="V375" s="127"/>
      <c r="W375" s="127"/>
      <c r="X375" s="126"/>
      <c r="Y375" s="127"/>
      <c r="Z375" s="127"/>
      <c r="AA375" s="300"/>
      <c r="AC375" s="202">
        <v>1</v>
      </c>
      <c r="AE375" s="42"/>
      <c r="AF375" s="42"/>
    </row>
    <row r="376" spans="1:32" s="55" customFormat="1" x14ac:dyDescent="0.2">
      <c r="A376" s="37">
        <v>3</v>
      </c>
      <c r="B376" s="62" t="s">
        <v>1269</v>
      </c>
      <c r="C376" s="170"/>
      <c r="D376" s="170"/>
      <c r="E376" s="37"/>
      <c r="F376" s="170"/>
      <c r="G376" s="170">
        <v>1</v>
      </c>
      <c r="H376" s="244">
        <v>1</v>
      </c>
      <c r="I376" s="244"/>
      <c r="J376" s="243">
        <v>1</v>
      </c>
      <c r="K376" s="170">
        <v>11</v>
      </c>
      <c r="L376" s="170"/>
      <c r="M376" s="202">
        <v>1</v>
      </c>
      <c r="N376" s="516"/>
      <c r="O376" s="516"/>
      <c r="P376" s="516"/>
      <c r="Q376" s="318">
        <v>1</v>
      </c>
      <c r="R376" s="318"/>
      <c r="S376" s="318"/>
      <c r="T376" s="318"/>
      <c r="U376" s="126"/>
      <c r="V376" s="127"/>
      <c r="W376" s="127"/>
      <c r="X376" s="126"/>
      <c r="Y376" s="127"/>
      <c r="Z376" s="127"/>
      <c r="AA376" s="300"/>
      <c r="AC376" s="202">
        <v>1</v>
      </c>
      <c r="AE376" s="42"/>
      <c r="AF376" s="42"/>
    </row>
    <row r="377" spans="1:32" s="55" customFormat="1" x14ac:dyDescent="0.2">
      <c r="A377" s="37"/>
      <c r="B377" s="62" t="s">
        <v>1270</v>
      </c>
      <c r="C377" s="170"/>
      <c r="D377" s="170"/>
      <c r="E377" s="37"/>
      <c r="F377" s="170"/>
      <c r="G377" s="170"/>
      <c r="H377" s="244"/>
      <c r="I377" s="244"/>
      <c r="J377" s="240"/>
      <c r="K377" s="170"/>
      <c r="L377" s="170"/>
      <c r="M377" s="202">
        <v>1</v>
      </c>
      <c r="N377" s="516"/>
      <c r="O377" s="516"/>
      <c r="P377" s="516"/>
      <c r="Q377" s="318"/>
      <c r="R377" s="318"/>
      <c r="S377" s="318"/>
      <c r="T377" s="318"/>
      <c r="U377" s="126"/>
      <c r="V377" s="127"/>
      <c r="W377" s="127"/>
      <c r="X377" s="126"/>
      <c r="Y377" s="127"/>
      <c r="Z377" s="127"/>
      <c r="AA377" s="300"/>
      <c r="AC377" s="202">
        <v>1</v>
      </c>
      <c r="AE377" s="42"/>
      <c r="AF377" s="42"/>
    </row>
    <row r="378" spans="1:32" s="55" customFormat="1" x14ac:dyDescent="0.2">
      <c r="A378" s="37"/>
      <c r="B378" s="62" t="s">
        <v>1271</v>
      </c>
      <c r="C378" s="170"/>
      <c r="D378" s="170"/>
      <c r="E378" s="37"/>
      <c r="F378" s="170"/>
      <c r="G378" s="170"/>
      <c r="H378" s="244"/>
      <c r="I378" s="244"/>
      <c r="J378" s="240"/>
      <c r="K378" s="170"/>
      <c r="L378" s="170"/>
      <c r="M378" s="202">
        <v>1</v>
      </c>
      <c r="N378" s="516"/>
      <c r="O378" s="516"/>
      <c r="P378" s="516"/>
      <c r="Q378" s="318"/>
      <c r="R378" s="318"/>
      <c r="S378" s="318"/>
      <c r="T378" s="318"/>
      <c r="U378" s="126"/>
      <c r="V378" s="127"/>
      <c r="W378" s="127"/>
      <c r="X378" s="126"/>
      <c r="Y378" s="127"/>
      <c r="Z378" s="127"/>
      <c r="AA378" s="300"/>
      <c r="AC378" s="202">
        <v>1</v>
      </c>
      <c r="AE378" s="42"/>
      <c r="AF378" s="42"/>
    </row>
    <row r="379" spans="1:32" s="55" customFormat="1" x14ac:dyDescent="0.2">
      <c r="A379" s="37"/>
      <c r="B379" s="62" t="s">
        <v>1272</v>
      </c>
      <c r="C379" s="170"/>
      <c r="D379" s="170"/>
      <c r="E379" s="37"/>
      <c r="F379" s="170"/>
      <c r="G379" s="170"/>
      <c r="H379" s="244"/>
      <c r="I379" s="244"/>
      <c r="J379" s="240"/>
      <c r="K379" s="170"/>
      <c r="L379" s="170"/>
      <c r="M379" s="202">
        <v>1</v>
      </c>
      <c r="N379" s="516"/>
      <c r="O379" s="516"/>
      <c r="P379" s="516"/>
      <c r="Q379" s="318"/>
      <c r="R379" s="318"/>
      <c r="S379" s="318"/>
      <c r="T379" s="318"/>
      <c r="U379" s="126"/>
      <c r="V379" s="127"/>
      <c r="W379" s="127"/>
      <c r="X379" s="126"/>
      <c r="Y379" s="127"/>
      <c r="Z379" s="127"/>
      <c r="AA379" s="300"/>
      <c r="AC379" s="202">
        <v>1</v>
      </c>
      <c r="AE379" s="42"/>
      <c r="AF379" s="42"/>
    </row>
    <row r="380" spans="1:32" s="55" customFormat="1" x14ac:dyDescent="0.2">
      <c r="A380" s="37"/>
      <c r="B380" s="62" t="s">
        <v>1273</v>
      </c>
      <c r="C380" s="170"/>
      <c r="D380" s="170"/>
      <c r="E380" s="37"/>
      <c r="F380" s="170"/>
      <c r="G380" s="170"/>
      <c r="H380" s="244"/>
      <c r="I380" s="244"/>
      <c r="J380" s="240"/>
      <c r="K380" s="170" t="s">
        <v>27</v>
      </c>
      <c r="L380" s="170"/>
      <c r="M380" s="202">
        <v>1</v>
      </c>
      <c r="N380" s="516"/>
      <c r="O380" s="516"/>
      <c r="P380" s="516"/>
      <c r="Q380" s="318" t="s">
        <v>27</v>
      </c>
      <c r="R380" s="318"/>
      <c r="S380" s="318"/>
      <c r="T380" s="318"/>
      <c r="U380" s="126"/>
      <c r="V380" s="127"/>
      <c r="W380" s="127"/>
      <c r="X380" s="126"/>
      <c r="Y380" s="127"/>
      <c r="Z380" s="127"/>
      <c r="AA380" s="300"/>
      <c r="AC380" s="202">
        <v>1</v>
      </c>
      <c r="AE380" s="42"/>
      <c r="AF380" s="42"/>
    </row>
    <row r="381" spans="1:32" s="55" customFormat="1" x14ac:dyDescent="0.2">
      <c r="A381" s="37"/>
      <c r="B381" s="62" t="s">
        <v>1274</v>
      </c>
      <c r="C381" s="170"/>
      <c r="D381" s="170"/>
      <c r="E381" s="37"/>
      <c r="F381" s="170"/>
      <c r="G381" s="170"/>
      <c r="H381" s="244"/>
      <c r="I381" s="244"/>
      <c r="J381" s="240"/>
      <c r="K381" s="170"/>
      <c r="L381" s="170"/>
      <c r="M381" s="202">
        <v>1</v>
      </c>
      <c r="N381" s="516"/>
      <c r="O381" s="516"/>
      <c r="P381" s="516"/>
      <c r="Q381" s="318"/>
      <c r="R381" s="318"/>
      <c r="S381" s="318"/>
      <c r="T381" s="318"/>
      <c r="U381" s="126"/>
      <c r="V381" s="127"/>
      <c r="W381" s="127"/>
      <c r="X381" s="126"/>
      <c r="Y381" s="127"/>
      <c r="Z381" s="127"/>
      <c r="AA381" s="300"/>
      <c r="AC381" s="202">
        <v>1</v>
      </c>
      <c r="AE381" s="42"/>
      <c r="AF381" s="42"/>
    </row>
    <row r="382" spans="1:32" s="55" customFormat="1" x14ac:dyDescent="0.2">
      <c r="A382" s="37"/>
      <c r="B382" s="62" t="s">
        <v>1275</v>
      </c>
      <c r="C382" s="170"/>
      <c r="D382" s="170"/>
      <c r="E382" s="37"/>
      <c r="F382" s="170"/>
      <c r="G382" s="170"/>
      <c r="H382" s="244"/>
      <c r="I382" s="244"/>
      <c r="J382" s="240"/>
      <c r="K382" s="170"/>
      <c r="L382" s="170"/>
      <c r="M382" s="202">
        <v>1</v>
      </c>
      <c r="N382" s="516"/>
      <c r="O382" s="516"/>
      <c r="P382" s="516"/>
      <c r="Q382" s="318"/>
      <c r="R382" s="318"/>
      <c r="S382" s="318"/>
      <c r="T382" s="318"/>
      <c r="U382" s="126"/>
      <c r="V382" s="127"/>
      <c r="W382" s="127"/>
      <c r="X382" s="126"/>
      <c r="Y382" s="127"/>
      <c r="Z382" s="127"/>
      <c r="AA382" s="300"/>
      <c r="AC382" s="202">
        <v>1</v>
      </c>
      <c r="AE382" s="42"/>
      <c r="AF382" s="42"/>
    </row>
    <row r="383" spans="1:32" s="55" customFormat="1" x14ac:dyDescent="0.2">
      <c r="A383" s="37"/>
      <c r="B383" s="62" t="s">
        <v>1276</v>
      </c>
      <c r="C383" s="170"/>
      <c r="D383" s="170" t="s">
        <v>938</v>
      </c>
      <c r="E383" s="37"/>
      <c r="F383" s="170"/>
      <c r="G383" s="170"/>
      <c r="H383" s="244"/>
      <c r="I383" s="244"/>
      <c r="J383" s="240"/>
      <c r="K383" s="170"/>
      <c r="L383" s="170"/>
      <c r="M383" s="202">
        <v>1</v>
      </c>
      <c r="N383" s="516"/>
      <c r="O383" s="516"/>
      <c r="P383" s="516"/>
      <c r="Q383" s="318"/>
      <c r="R383" s="318"/>
      <c r="S383" s="318"/>
      <c r="T383" s="318"/>
      <c r="U383" s="126"/>
      <c r="V383" s="127"/>
      <c r="W383" s="127"/>
      <c r="X383" s="126"/>
      <c r="Y383" s="127"/>
      <c r="Z383" s="127"/>
      <c r="AA383" s="300"/>
      <c r="AC383" s="202">
        <v>1</v>
      </c>
      <c r="AE383" s="42"/>
      <c r="AF383" s="42"/>
    </row>
    <row r="384" spans="1:32" s="55" customFormat="1" x14ac:dyDescent="0.2">
      <c r="A384" s="37"/>
      <c r="B384" s="62" t="s">
        <v>1277</v>
      </c>
      <c r="C384" s="170"/>
      <c r="D384" s="170"/>
      <c r="E384" s="37"/>
      <c r="F384" s="170"/>
      <c r="G384" s="170"/>
      <c r="H384" s="244"/>
      <c r="I384" s="244"/>
      <c r="J384" s="240"/>
      <c r="K384" s="170" t="s">
        <v>27</v>
      </c>
      <c r="L384" s="170"/>
      <c r="M384" s="202">
        <v>1</v>
      </c>
      <c r="N384" s="516"/>
      <c r="O384" s="516"/>
      <c r="P384" s="516"/>
      <c r="Q384" s="318" t="s">
        <v>27</v>
      </c>
      <c r="R384" s="318"/>
      <c r="S384" s="318"/>
      <c r="T384" s="318"/>
      <c r="U384" s="126"/>
      <c r="V384" s="127"/>
      <c r="W384" s="127"/>
      <c r="X384" s="126"/>
      <c r="Y384" s="127"/>
      <c r="Z384" s="127"/>
      <c r="AA384" s="300"/>
      <c r="AC384" s="202">
        <v>1</v>
      </c>
      <c r="AE384" s="42"/>
      <c r="AF384" s="42"/>
    </row>
    <row r="385" spans="1:32" s="55" customFormat="1" x14ac:dyDescent="0.2">
      <c r="A385" s="37"/>
      <c r="B385" s="62" t="s">
        <v>1278</v>
      </c>
      <c r="C385" s="170"/>
      <c r="D385" s="170"/>
      <c r="E385" s="37"/>
      <c r="F385" s="170"/>
      <c r="G385" s="170"/>
      <c r="H385" s="244"/>
      <c r="I385" s="244"/>
      <c r="J385" s="240"/>
      <c r="K385" s="170"/>
      <c r="L385" s="170"/>
      <c r="M385" s="202">
        <v>1</v>
      </c>
      <c r="N385" s="516"/>
      <c r="O385" s="516"/>
      <c r="P385" s="516"/>
      <c r="Q385" s="318"/>
      <c r="R385" s="318"/>
      <c r="S385" s="318"/>
      <c r="T385" s="318"/>
      <c r="U385" s="126"/>
      <c r="V385" s="127"/>
      <c r="W385" s="127"/>
      <c r="X385" s="126"/>
      <c r="Y385" s="127"/>
      <c r="Z385" s="127"/>
      <c r="AA385" s="300"/>
      <c r="AC385" s="202">
        <v>1</v>
      </c>
      <c r="AE385" s="42"/>
      <c r="AF385" s="42"/>
    </row>
    <row r="386" spans="1:32" s="55" customFormat="1" x14ac:dyDescent="0.2">
      <c r="A386" s="37"/>
      <c r="B386" s="62" t="s">
        <v>1279</v>
      </c>
      <c r="C386" s="170"/>
      <c r="D386" s="170"/>
      <c r="E386" s="37"/>
      <c r="F386" s="170"/>
      <c r="G386" s="170"/>
      <c r="H386" s="244"/>
      <c r="I386" s="244"/>
      <c r="J386" s="240"/>
      <c r="K386" s="170"/>
      <c r="L386" s="170"/>
      <c r="M386" s="202">
        <v>1</v>
      </c>
      <c r="N386" s="516"/>
      <c r="O386" s="516"/>
      <c r="P386" s="516"/>
      <c r="Q386" s="318"/>
      <c r="R386" s="318"/>
      <c r="S386" s="318"/>
      <c r="T386" s="318"/>
      <c r="U386" s="126"/>
      <c r="V386" s="127"/>
      <c r="W386" s="127"/>
      <c r="X386" s="126"/>
      <c r="Y386" s="127"/>
      <c r="Z386" s="127"/>
      <c r="AA386" s="300"/>
      <c r="AC386" s="202">
        <v>1</v>
      </c>
      <c r="AE386" s="42"/>
      <c r="AF386" s="42"/>
    </row>
    <row r="387" spans="1:32" s="55" customFormat="1" x14ac:dyDescent="0.2">
      <c r="A387" s="37"/>
      <c r="B387" s="62" t="s">
        <v>1280</v>
      </c>
      <c r="C387" s="170"/>
      <c r="D387" s="170"/>
      <c r="E387" s="37"/>
      <c r="F387" s="170"/>
      <c r="G387" s="170"/>
      <c r="H387" s="244">
        <v>1</v>
      </c>
      <c r="I387" s="244"/>
      <c r="J387" s="243">
        <v>1</v>
      </c>
      <c r="K387" s="170">
        <v>10</v>
      </c>
      <c r="L387" s="170"/>
      <c r="M387" s="202">
        <v>1</v>
      </c>
      <c r="N387" s="516"/>
      <c r="O387" s="516"/>
      <c r="P387" s="516"/>
      <c r="Q387" s="318">
        <v>1</v>
      </c>
      <c r="R387" s="318"/>
      <c r="S387" s="318"/>
      <c r="T387" s="318"/>
      <c r="U387" s="126"/>
      <c r="V387" s="127"/>
      <c r="W387" s="127"/>
      <c r="X387" s="126"/>
      <c r="Y387" s="127"/>
      <c r="Z387" s="127"/>
      <c r="AA387" s="300"/>
      <c r="AC387" s="202">
        <v>1</v>
      </c>
      <c r="AE387" s="42"/>
      <c r="AF387" s="42"/>
    </row>
    <row r="388" spans="1:32" s="55" customFormat="1" x14ac:dyDescent="0.2">
      <c r="A388" s="37"/>
      <c r="B388" s="62" t="s">
        <v>1281</v>
      </c>
      <c r="C388" s="170"/>
      <c r="D388" s="170"/>
      <c r="E388" s="37"/>
      <c r="F388" s="170"/>
      <c r="G388" s="170"/>
      <c r="H388" s="244"/>
      <c r="I388" s="244"/>
      <c r="J388" s="240"/>
      <c r="K388" s="170"/>
      <c r="L388" s="170"/>
      <c r="M388" s="202">
        <v>1</v>
      </c>
      <c r="N388" s="516"/>
      <c r="O388" s="516"/>
      <c r="P388" s="516"/>
      <c r="Q388" s="318"/>
      <c r="R388" s="318"/>
      <c r="S388" s="318"/>
      <c r="T388" s="318"/>
      <c r="U388" s="126"/>
      <c r="V388" s="127"/>
      <c r="W388" s="127"/>
      <c r="X388" s="126"/>
      <c r="Y388" s="127"/>
      <c r="Z388" s="127"/>
      <c r="AA388" s="300"/>
      <c r="AC388" s="202">
        <v>1</v>
      </c>
      <c r="AE388" s="42"/>
      <c r="AF388" s="42"/>
    </row>
    <row r="389" spans="1:32" s="55" customFormat="1" x14ac:dyDescent="0.2">
      <c r="A389" s="37"/>
      <c r="B389" s="62" t="s">
        <v>1282</v>
      </c>
      <c r="C389" s="170"/>
      <c r="D389" s="170"/>
      <c r="E389" s="37"/>
      <c r="F389" s="170"/>
      <c r="G389" s="170"/>
      <c r="H389" s="244"/>
      <c r="I389" s="244"/>
      <c r="J389" s="240"/>
      <c r="K389" s="170"/>
      <c r="L389" s="170"/>
      <c r="M389" s="202">
        <v>1</v>
      </c>
      <c r="N389" s="516"/>
      <c r="O389" s="516"/>
      <c r="P389" s="516"/>
      <c r="Q389" s="318"/>
      <c r="R389" s="318"/>
      <c r="S389" s="318"/>
      <c r="T389" s="318"/>
      <c r="U389" s="126"/>
      <c r="V389" s="127"/>
      <c r="W389" s="127"/>
      <c r="X389" s="126"/>
      <c r="Y389" s="127"/>
      <c r="Z389" s="127"/>
      <c r="AA389" s="300"/>
      <c r="AC389" s="202">
        <v>1</v>
      </c>
      <c r="AE389" s="42"/>
      <c r="AF389" s="42"/>
    </row>
    <row r="390" spans="1:32" s="55" customFormat="1" x14ac:dyDescent="0.2">
      <c r="A390" s="37"/>
      <c r="B390" s="62" t="s">
        <v>1283</v>
      </c>
      <c r="C390" s="170"/>
      <c r="D390" s="170"/>
      <c r="E390" s="37"/>
      <c r="F390" s="170"/>
      <c r="G390" s="170"/>
      <c r="H390" s="244"/>
      <c r="I390" s="244"/>
      <c r="J390" s="240"/>
      <c r="K390" s="170" t="s">
        <v>27</v>
      </c>
      <c r="L390" s="170"/>
      <c r="M390" s="202">
        <v>1</v>
      </c>
      <c r="N390" s="516"/>
      <c r="O390" s="516"/>
      <c r="P390" s="516"/>
      <c r="Q390" s="318" t="s">
        <v>27</v>
      </c>
      <c r="R390" s="318"/>
      <c r="S390" s="318"/>
      <c r="T390" s="318"/>
      <c r="U390" s="126"/>
      <c r="V390" s="127"/>
      <c r="W390" s="127"/>
      <c r="X390" s="126"/>
      <c r="Y390" s="127"/>
      <c r="Z390" s="127"/>
      <c r="AA390" s="300"/>
      <c r="AC390" s="202">
        <v>1</v>
      </c>
      <c r="AE390" s="42"/>
      <c r="AF390" s="42"/>
    </row>
    <row r="391" spans="1:32" s="55" customFormat="1" x14ac:dyDescent="0.2">
      <c r="A391" s="37"/>
      <c r="B391" s="62" t="s">
        <v>1284</v>
      </c>
      <c r="C391" s="170"/>
      <c r="D391" s="170"/>
      <c r="E391" s="37"/>
      <c r="F391" s="170"/>
      <c r="G391" s="170"/>
      <c r="H391" s="244"/>
      <c r="I391" s="244"/>
      <c r="J391" s="240"/>
      <c r="K391" s="170"/>
      <c r="L391" s="170"/>
      <c r="M391" s="202">
        <v>1</v>
      </c>
      <c r="N391" s="516"/>
      <c r="O391" s="516"/>
      <c r="P391" s="516"/>
      <c r="Q391" s="318"/>
      <c r="R391" s="318"/>
      <c r="S391" s="318"/>
      <c r="T391" s="318"/>
      <c r="U391" s="126"/>
      <c r="V391" s="127"/>
      <c r="W391" s="127"/>
      <c r="X391" s="126"/>
      <c r="Y391" s="127"/>
      <c r="Z391" s="127"/>
      <c r="AA391" s="300"/>
      <c r="AC391" s="202">
        <v>1</v>
      </c>
      <c r="AE391" s="42"/>
      <c r="AF391" s="42"/>
    </row>
    <row r="392" spans="1:32" s="55" customFormat="1" x14ac:dyDescent="0.2">
      <c r="A392" s="37"/>
      <c r="B392" s="62" t="s">
        <v>1285</v>
      </c>
      <c r="C392" s="170"/>
      <c r="D392" s="170"/>
      <c r="E392" s="37"/>
      <c r="F392" s="170"/>
      <c r="G392" s="170"/>
      <c r="H392" s="244"/>
      <c r="I392" s="244"/>
      <c r="J392" s="240"/>
      <c r="K392" s="170"/>
      <c r="L392" s="170"/>
      <c r="M392" s="202">
        <v>1</v>
      </c>
      <c r="N392" s="516"/>
      <c r="O392" s="516"/>
      <c r="P392" s="516"/>
      <c r="Q392" s="318"/>
      <c r="R392" s="318"/>
      <c r="S392" s="318"/>
      <c r="T392" s="318"/>
      <c r="U392" s="126"/>
      <c r="V392" s="127"/>
      <c r="W392" s="127"/>
      <c r="X392" s="126"/>
      <c r="Y392" s="127"/>
      <c r="Z392" s="127"/>
      <c r="AA392" s="300"/>
      <c r="AC392" s="202">
        <v>1</v>
      </c>
      <c r="AE392" s="42"/>
      <c r="AF392" s="42"/>
    </row>
    <row r="393" spans="1:32" s="55" customFormat="1" x14ac:dyDescent="0.2">
      <c r="A393" s="37"/>
      <c r="B393" s="62" t="s">
        <v>1286</v>
      </c>
      <c r="C393" s="170"/>
      <c r="D393" s="170"/>
      <c r="E393" s="37"/>
      <c r="F393" s="170"/>
      <c r="G393" s="170"/>
      <c r="H393" s="244"/>
      <c r="I393" s="244"/>
      <c r="J393" s="240"/>
      <c r="K393" s="170"/>
      <c r="L393" s="170"/>
      <c r="M393" s="202">
        <v>1</v>
      </c>
      <c r="N393" s="516"/>
      <c r="O393" s="516"/>
      <c r="P393" s="516"/>
      <c r="Q393" s="318"/>
      <c r="R393" s="318"/>
      <c r="S393" s="318"/>
      <c r="T393" s="318"/>
      <c r="U393" s="126"/>
      <c r="V393" s="127"/>
      <c r="W393" s="127"/>
      <c r="X393" s="126"/>
      <c r="Y393" s="127"/>
      <c r="Z393" s="127"/>
      <c r="AA393" s="300"/>
      <c r="AC393" s="202">
        <v>1</v>
      </c>
      <c r="AE393" s="42"/>
      <c r="AF393" s="42"/>
    </row>
    <row r="394" spans="1:32" s="55" customFormat="1" x14ac:dyDescent="0.2">
      <c r="A394" s="37"/>
      <c r="B394" s="62" t="s">
        <v>1287</v>
      </c>
      <c r="C394" s="170"/>
      <c r="D394" s="170"/>
      <c r="E394" s="37"/>
      <c r="F394" s="170"/>
      <c r="G394" s="170"/>
      <c r="H394" s="244"/>
      <c r="I394" s="244"/>
      <c r="J394" s="240"/>
      <c r="K394" s="170" t="s">
        <v>27</v>
      </c>
      <c r="L394" s="170"/>
      <c r="M394" s="202">
        <v>1</v>
      </c>
      <c r="N394" s="516"/>
      <c r="O394" s="516"/>
      <c r="P394" s="516"/>
      <c r="Q394" s="318" t="s">
        <v>27</v>
      </c>
      <c r="R394" s="318"/>
      <c r="S394" s="318"/>
      <c r="T394" s="318"/>
      <c r="U394" s="126"/>
      <c r="V394" s="127"/>
      <c r="W394" s="127"/>
      <c r="X394" s="126"/>
      <c r="Y394" s="127"/>
      <c r="Z394" s="127"/>
      <c r="AA394" s="300"/>
      <c r="AC394" s="202">
        <v>1</v>
      </c>
      <c r="AE394" s="42"/>
      <c r="AF394" s="42"/>
    </row>
    <row r="395" spans="1:32" s="55" customFormat="1" x14ac:dyDescent="0.2">
      <c r="A395" s="37"/>
      <c r="B395" s="62" t="s">
        <v>1288</v>
      </c>
      <c r="C395" s="170"/>
      <c r="D395" s="170"/>
      <c r="E395" s="37"/>
      <c r="F395" s="170"/>
      <c r="G395" s="170"/>
      <c r="H395" s="244"/>
      <c r="I395" s="244"/>
      <c r="J395" s="240"/>
      <c r="K395" s="170"/>
      <c r="L395" s="170"/>
      <c r="M395" s="202">
        <v>1</v>
      </c>
      <c r="N395" s="516"/>
      <c r="O395" s="516"/>
      <c r="P395" s="516"/>
      <c r="Q395" s="318"/>
      <c r="R395" s="318"/>
      <c r="S395" s="318"/>
      <c r="T395" s="318"/>
      <c r="U395" s="126"/>
      <c r="V395" s="127"/>
      <c r="W395" s="127"/>
      <c r="X395" s="126"/>
      <c r="Y395" s="127"/>
      <c r="Z395" s="127"/>
      <c r="AA395" s="300"/>
      <c r="AC395" s="202">
        <v>1</v>
      </c>
      <c r="AE395" s="42"/>
      <c r="AF395" s="42"/>
    </row>
    <row r="396" spans="1:32" s="55" customFormat="1" x14ac:dyDescent="0.2">
      <c r="A396" s="37"/>
      <c r="B396" s="62" t="s">
        <v>1289</v>
      </c>
      <c r="C396" s="170"/>
      <c r="D396" s="170"/>
      <c r="E396" s="37"/>
      <c r="F396" s="170"/>
      <c r="G396" s="170"/>
      <c r="H396" s="244"/>
      <c r="I396" s="244"/>
      <c r="J396" s="240"/>
      <c r="K396" s="170"/>
      <c r="L396" s="170"/>
      <c r="M396" s="202">
        <v>1</v>
      </c>
      <c r="N396" s="516"/>
      <c r="O396" s="516"/>
      <c r="P396" s="516"/>
      <c r="Q396" s="318"/>
      <c r="R396" s="318"/>
      <c r="S396" s="318"/>
      <c r="T396" s="318"/>
      <c r="U396" s="126"/>
      <c r="V396" s="127"/>
      <c r="W396" s="127"/>
      <c r="X396" s="126"/>
      <c r="Y396" s="127"/>
      <c r="Z396" s="127"/>
      <c r="AA396" s="300"/>
      <c r="AC396" s="202">
        <v>1</v>
      </c>
      <c r="AE396" s="42"/>
      <c r="AF396" s="42"/>
    </row>
    <row r="397" spans="1:32" s="55" customFormat="1" x14ac:dyDescent="0.2">
      <c r="A397" s="37" t="s">
        <v>27</v>
      </c>
      <c r="B397" s="62" t="s">
        <v>1290</v>
      </c>
      <c r="C397" s="170"/>
      <c r="D397" s="170"/>
      <c r="E397" s="37"/>
      <c r="F397" s="170"/>
      <c r="G397" s="170"/>
      <c r="H397" s="244">
        <v>1</v>
      </c>
      <c r="I397" s="244"/>
      <c r="J397" s="243">
        <v>1</v>
      </c>
      <c r="K397" s="170">
        <v>7</v>
      </c>
      <c r="L397" s="170"/>
      <c r="M397" s="202">
        <v>1</v>
      </c>
      <c r="N397" s="516"/>
      <c r="O397" s="516"/>
      <c r="P397" s="516"/>
      <c r="Q397" s="318">
        <v>1</v>
      </c>
      <c r="R397" s="318"/>
      <c r="S397" s="318"/>
      <c r="T397" s="318"/>
      <c r="U397" s="126"/>
      <c r="V397" s="127"/>
      <c r="W397" s="127"/>
      <c r="X397" s="126"/>
      <c r="Y397" s="127"/>
      <c r="Z397" s="127"/>
      <c r="AA397" s="300"/>
      <c r="AC397" s="202">
        <v>1</v>
      </c>
      <c r="AE397" s="42"/>
      <c r="AF397" s="42"/>
    </row>
    <row r="398" spans="1:32" s="55" customFormat="1" x14ac:dyDescent="0.2">
      <c r="A398" s="37"/>
      <c r="B398" s="62" t="s">
        <v>1291</v>
      </c>
      <c r="C398" s="170"/>
      <c r="D398" s="170"/>
      <c r="E398" s="37"/>
      <c r="F398" s="170"/>
      <c r="G398" s="170"/>
      <c r="H398" s="244"/>
      <c r="I398" s="244"/>
      <c r="J398" s="240"/>
      <c r="K398" s="170"/>
      <c r="L398" s="170"/>
      <c r="M398" s="202">
        <v>1</v>
      </c>
      <c r="N398" s="516"/>
      <c r="O398" s="516"/>
      <c r="P398" s="516"/>
      <c r="Q398" s="318"/>
      <c r="R398" s="318"/>
      <c r="S398" s="318"/>
      <c r="T398" s="318"/>
      <c r="U398" s="126"/>
      <c r="V398" s="127"/>
      <c r="W398" s="127"/>
      <c r="X398" s="126"/>
      <c r="Y398" s="127"/>
      <c r="Z398" s="127"/>
      <c r="AA398" s="300"/>
      <c r="AC398" s="202">
        <v>1</v>
      </c>
      <c r="AE398" s="42"/>
      <c r="AF398" s="42"/>
    </row>
    <row r="399" spans="1:32" s="55" customFormat="1" x14ac:dyDescent="0.2">
      <c r="A399" s="37"/>
      <c r="B399" s="62" t="s">
        <v>1292</v>
      </c>
      <c r="C399" s="170"/>
      <c r="D399" s="170"/>
      <c r="E399" s="37"/>
      <c r="F399" s="170"/>
      <c r="G399" s="170"/>
      <c r="H399" s="244"/>
      <c r="I399" s="244"/>
      <c r="J399" s="240"/>
      <c r="K399" s="170"/>
      <c r="L399" s="170"/>
      <c r="M399" s="202">
        <v>1</v>
      </c>
      <c r="N399" s="516"/>
      <c r="O399" s="516"/>
      <c r="P399" s="516"/>
      <c r="Q399" s="318"/>
      <c r="R399" s="318"/>
      <c r="S399" s="318"/>
      <c r="T399" s="318"/>
      <c r="U399" s="126"/>
      <c r="V399" s="127"/>
      <c r="W399" s="127"/>
      <c r="X399" s="126"/>
      <c r="Y399" s="127"/>
      <c r="Z399" s="127"/>
      <c r="AA399" s="300"/>
      <c r="AC399" s="202">
        <v>1</v>
      </c>
      <c r="AE399" s="42"/>
      <c r="AF399" s="42"/>
    </row>
    <row r="400" spans="1:32" s="55" customFormat="1" x14ac:dyDescent="0.2">
      <c r="A400" s="37" t="s">
        <v>27</v>
      </c>
      <c r="B400" s="62" t="s">
        <v>1293</v>
      </c>
      <c r="C400" s="170"/>
      <c r="D400" s="170"/>
      <c r="E400" s="37"/>
      <c r="F400" s="170"/>
      <c r="G400" s="170"/>
      <c r="H400" s="244"/>
      <c r="I400" s="244"/>
      <c r="J400" s="240"/>
      <c r="K400" s="170" t="s">
        <v>27</v>
      </c>
      <c r="L400" s="170"/>
      <c r="M400" s="538">
        <v>1</v>
      </c>
      <c r="N400" s="516"/>
      <c r="O400" s="516"/>
      <c r="P400" s="516"/>
      <c r="Q400" s="318" t="s">
        <v>27</v>
      </c>
      <c r="R400" s="318"/>
      <c r="S400" s="318"/>
      <c r="T400" s="318"/>
      <c r="U400" s="126" t="s">
        <v>92</v>
      </c>
      <c r="V400" s="127"/>
      <c r="W400" s="127" t="s">
        <v>94</v>
      </c>
      <c r="X400" s="126" t="s">
        <v>92</v>
      </c>
      <c r="Y400" s="127"/>
      <c r="Z400" s="127" t="s">
        <v>94</v>
      </c>
      <c r="AA400" s="300">
        <v>0</v>
      </c>
      <c r="AC400" s="202">
        <v>1</v>
      </c>
      <c r="AE400" s="42"/>
      <c r="AF400" s="42"/>
    </row>
    <row r="401" spans="1:32" s="55" customFormat="1" x14ac:dyDescent="0.2">
      <c r="A401" s="37"/>
      <c r="B401" s="62" t="s">
        <v>1294</v>
      </c>
      <c r="C401" s="170"/>
      <c r="D401" s="170"/>
      <c r="E401" s="37"/>
      <c r="F401" s="170"/>
      <c r="G401" s="170"/>
      <c r="H401" s="244"/>
      <c r="I401" s="244"/>
      <c r="J401" s="240"/>
      <c r="K401" s="170"/>
      <c r="L401" s="170"/>
      <c r="M401" s="538">
        <v>1</v>
      </c>
      <c r="N401" s="516"/>
      <c r="O401" s="516"/>
      <c r="P401" s="516"/>
      <c r="Q401" s="318"/>
      <c r="R401" s="318"/>
      <c r="S401" s="318"/>
      <c r="T401" s="318"/>
      <c r="U401" s="126" t="s">
        <v>92</v>
      </c>
      <c r="V401" s="127"/>
      <c r="W401" s="127" t="s">
        <v>94</v>
      </c>
      <c r="X401" s="126" t="s">
        <v>92</v>
      </c>
      <c r="Y401" s="127"/>
      <c r="Z401" s="127" t="s">
        <v>94</v>
      </c>
      <c r="AA401" s="300">
        <v>0</v>
      </c>
      <c r="AC401" s="202">
        <v>1</v>
      </c>
      <c r="AE401" s="42"/>
      <c r="AF401" s="42"/>
    </row>
    <row r="402" spans="1:32" s="55" customFormat="1" x14ac:dyDescent="0.2">
      <c r="A402" s="37"/>
      <c r="B402" s="62" t="s">
        <v>1295</v>
      </c>
      <c r="C402" s="170"/>
      <c r="D402" s="170"/>
      <c r="E402" s="37"/>
      <c r="F402" s="170"/>
      <c r="G402" s="170"/>
      <c r="H402" s="244"/>
      <c r="I402" s="244"/>
      <c r="J402" s="240"/>
      <c r="K402" s="170"/>
      <c r="L402" s="170"/>
      <c r="M402" s="538">
        <v>1</v>
      </c>
      <c r="N402" s="516"/>
      <c r="O402" s="516"/>
      <c r="P402" s="516"/>
      <c r="Q402" s="318"/>
      <c r="R402" s="318"/>
      <c r="S402" s="318"/>
      <c r="T402" s="318"/>
      <c r="U402" s="126" t="s">
        <v>92</v>
      </c>
      <c r="V402" s="127"/>
      <c r="W402" s="127" t="s">
        <v>94</v>
      </c>
      <c r="X402" s="126" t="s">
        <v>92</v>
      </c>
      <c r="Y402" s="127"/>
      <c r="Z402" s="127" t="s">
        <v>94</v>
      </c>
      <c r="AA402" s="300">
        <v>0</v>
      </c>
      <c r="AC402" s="202">
        <v>1</v>
      </c>
      <c r="AE402" s="42"/>
      <c r="AF402" s="42"/>
    </row>
    <row r="403" spans="1:32" s="55" customFormat="1" x14ac:dyDescent="0.2">
      <c r="A403" s="37"/>
      <c r="B403" s="62" t="s">
        <v>1296</v>
      </c>
      <c r="C403" s="170"/>
      <c r="D403" s="170"/>
      <c r="E403" s="37"/>
      <c r="F403" s="170"/>
      <c r="G403" s="170"/>
      <c r="H403" s="244"/>
      <c r="I403" s="244"/>
      <c r="J403" s="240"/>
      <c r="K403" s="170" t="s">
        <v>27</v>
      </c>
      <c r="L403" s="170"/>
      <c r="M403" s="202">
        <v>1</v>
      </c>
      <c r="N403" s="516"/>
      <c r="O403" s="516"/>
      <c r="P403" s="516"/>
      <c r="Q403" s="318" t="s">
        <v>27</v>
      </c>
      <c r="R403" s="318"/>
      <c r="S403" s="318"/>
      <c r="T403" s="318"/>
      <c r="U403" s="126"/>
      <c r="V403" s="127"/>
      <c r="W403" s="127"/>
      <c r="X403" s="126"/>
      <c r="Y403" s="127"/>
      <c r="Z403" s="127"/>
      <c r="AA403" s="300"/>
      <c r="AC403" s="202">
        <v>1</v>
      </c>
      <c r="AE403" s="42"/>
      <c r="AF403" s="42"/>
    </row>
    <row r="404" spans="1:32" s="55" customFormat="1" x14ac:dyDescent="0.2">
      <c r="A404" s="37"/>
      <c r="B404" s="62" t="s">
        <v>1297</v>
      </c>
      <c r="C404" s="170"/>
      <c r="D404" s="170"/>
      <c r="E404" s="37"/>
      <c r="F404" s="170"/>
      <c r="G404" s="170"/>
      <c r="H404" s="244">
        <v>1</v>
      </c>
      <c r="I404" s="244"/>
      <c r="J404" s="243">
        <v>1</v>
      </c>
      <c r="K404" s="170">
        <v>9</v>
      </c>
      <c r="L404" s="170"/>
      <c r="M404" s="202">
        <v>1</v>
      </c>
      <c r="N404" s="516"/>
      <c r="O404" s="516"/>
      <c r="P404" s="516"/>
      <c r="Q404" s="318">
        <v>1</v>
      </c>
      <c r="R404" s="318"/>
      <c r="S404" s="318"/>
      <c r="T404" s="318"/>
      <c r="U404" s="126"/>
      <c r="V404" s="127"/>
      <c r="W404" s="127"/>
      <c r="X404" s="126"/>
      <c r="Y404" s="127"/>
      <c r="Z404" s="127"/>
      <c r="AA404" s="300"/>
      <c r="AC404" s="202">
        <v>1</v>
      </c>
      <c r="AE404" s="42"/>
      <c r="AF404" s="42"/>
    </row>
    <row r="405" spans="1:32" s="55" customFormat="1" x14ac:dyDescent="0.2">
      <c r="A405" s="37"/>
      <c r="B405" s="62" t="s">
        <v>1298</v>
      </c>
      <c r="C405" s="170"/>
      <c r="D405" s="170"/>
      <c r="E405" s="37"/>
      <c r="F405" s="170"/>
      <c r="G405" s="170"/>
      <c r="H405" s="244"/>
      <c r="I405" s="244"/>
      <c r="J405" s="240"/>
      <c r="K405" s="170"/>
      <c r="L405" s="170"/>
      <c r="M405" s="202">
        <v>1</v>
      </c>
      <c r="N405" s="516"/>
      <c r="O405" s="516"/>
      <c r="P405" s="516"/>
      <c r="Q405" s="318"/>
      <c r="R405" s="318"/>
      <c r="S405" s="318"/>
      <c r="T405" s="318"/>
      <c r="U405" s="126"/>
      <c r="V405" s="127"/>
      <c r="W405" s="127"/>
      <c r="X405" s="126"/>
      <c r="Y405" s="127"/>
      <c r="Z405" s="127"/>
      <c r="AA405" s="300"/>
      <c r="AC405" s="202">
        <v>1</v>
      </c>
      <c r="AE405" s="42"/>
      <c r="AF405" s="42"/>
    </row>
    <row r="406" spans="1:32" s="55" customFormat="1" x14ac:dyDescent="0.2">
      <c r="A406" s="37"/>
      <c r="B406" s="62" t="s">
        <v>1299</v>
      </c>
      <c r="C406" s="170"/>
      <c r="D406" s="170"/>
      <c r="E406" s="37"/>
      <c r="F406" s="170"/>
      <c r="G406" s="170"/>
      <c r="H406" s="244"/>
      <c r="I406" s="244"/>
      <c r="J406" s="240"/>
      <c r="K406" s="170"/>
      <c r="L406" s="170"/>
      <c r="M406" s="202">
        <v>1</v>
      </c>
      <c r="N406" s="516"/>
      <c r="O406" s="516"/>
      <c r="P406" s="516"/>
      <c r="Q406" s="318"/>
      <c r="R406" s="318"/>
      <c r="S406" s="318"/>
      <c r="T406" s="318"/>
      <c r="U406" s="126"/>
      <c r="V406" s="127"/>
      <c r="W406" s="127"/>
      <c r="X406" s="126"/>
      <c r="Y406" s="127"/>
      <c r="Z406" s="127"/>
      <c r="AA406" s="300"/>
      <c r="AC406" s="202">
        <v>1</v>
      </c>
      <c r="AE406" s="42"/>
      <c r="AF406" s="42"/>
    </row>
    <row r="407" spans="1:32" s="55" customFormat="1" x14ac:dyDescent="0.2">
      <c r="A407" s="37"/>
      <c r="B407" s="62" t="s">
        <v>1300</v>
      </c>
      <c r="C407" s="170"/>
      <c r="D407" s="170"/>
      <c r="E407" s="37"/>
      <c r="F407" s="170"/>
      <c r="G407" s="170"/>
      <c r="H407" s="244"/>
      <c r="I407" s="244"/>
      <c r="J407" s="240"/>
      <c r="K407" s="170"/>
      <c r="L407" s="170"/>
      <c r="M407" s="202">
        <v>1</v>
      </c>
      <c r="N407" s="516"/>
      <c r="O407" s="516"/>
      <c r="P407" s="516"/>
      <c r="Q407" s="318"/>
      <c r="R407" s="318"/>
      <c r="S407" s="318"/>
      <c r="T407" s="318"/>
      <c r="U407" s="126"/>
      <c r="V407" s="127"/>
      <c r="W407" s="127"/>
      <c r="X407" s="126"/>
      <c r="Y407" s="127"/>
      <c r="Z407" s="127"/>
      <c r="AA407" s="300"/>
      <c r="AC407" s="202">
        <v>1</v>
      </c>
      <c r="AE407" s="42"/>
      <c r="AF407" s="42"/>
    </row>
    <row r="408" spans="1:32" s="55" customFormat="1" x14ac:dyDescent="0.2">
      <c r="A408" s="37"/>
      <c r="B408" s="62" t="s">
        <v>1301</v>
      </c>
      <c r="C408" s="170"/>
      <c r="D408" s="170"/>
      <c r="E408" s="37"/>
      <c r="F408" s="170"/>
      <c r="G408" s="170"/>
      <c r="H408" s="244"/>
      <c r="I408" s="244"/>
      <c r="J408" s="240"/>
      <c r="K408" s="170" t="s">
        <v>27</v>
      </c>
      <c r="L408" s="170"/>
      <c r="M408" s="202">
        <v>1</v>
      </c>
      <c r="N408" s="516"/>
      <c r="O408" s="516"/>
      <c r="P408" s="516"/>
      <c r="Q408" s="318"/>
      <c r="R408" s="318"/>
      <c r="S408" s="318"/>
      <c r="T408" s="318"/>
      <c r="U408" s="126"/>
      <c r="V408" s="127"/>
      <c r="W408" s="127"/>
      <c r="X408" s="126"/>
      <c r="Y408" s="127"/>
      <c r="Z408" s="127"/>
      <c r="AA408" s="300"/>
      <c r="AC408" s="202">
        <v>1</v>
      </c>
      <c r="AE408" s="42"/>
      <c r="AF408" s="42"/>
    </row>
    <row r="409" spans="1:32" s="55" customFormat="1" x14ac:dyDescent="0.2">
      <c r="A409" s="37"/>
      <c r="B409" s="62" t="s">
        <v>1302</v>
      </c>
      <c r="C409" s="170"/>
      <c r="D409" s="170"/>
      <c r="E409" s="37"/>
      <c r="F409" s="170"/>
      <c r="G409" s="170"/>
      <c r="H409" s="244"/>
      <c r="I409" s="244"/>
      <c r="J409" s="240"/>
      <c r="K409" s="170"/>
      <c r="L409" s="170"/>
      <c r="M409" s="202">
        <v>1</v>
      </c>
      <c r="N409" s="516"/>
      <c r="O409" s="516"/>
      <c r="P409" s="516"/>
      <c r="Q409" s="318"/>
      <c r="R409" s="318"/>
      <c r="S409" s="318"/>
      <c r="T409" s="318"/>
      <c r="U409" s="126"/>
      <c r="V409" s="127"/>
      <c r="W409" s="127"/>
      <c r="X409" s="126"/>
      <c r="Y409" s="127"/>
      <c r="Z409" s="127"/>
      <c r="AA409" s="300"/>
      <c r="AC409" s="202">
        <v>1</v>
      </c>
      <c r="AE409" s="42"/>
      <c r="AF409" s="42"/>
    </row>
    <row r="410" spans="1:32" s="55" customFormat="1" x14ac:dyDescent="0.2">
      <c r="A410" s="37"/>
      <c r="B410" s="62" t="s">
        <v>1303</v>
      </c>
      <c r="C410" s="170"/>
      <c r="D410" s="170"/>
      <c r="E410" s="37"/>
      <c r="F410" s="170"/>
      <c r="G410" s="170"/>
      <c r="H410" s="244"/>
      <c r="I410" s="244"/>
      <c r="J410" s="240"/>
      <c r="K410" s="170"/>
      <c r="L410" s="170"/>
      <c r="M410" s="202">
        <v>1</v>
      </c>
      <c r="N410" s="516"/>
      <c r="O410" s="516"/>
      <c r="P410" s="516"/>
      <c r="Q410" s="318"/>
      <c r="R410" s="318"/>
      <c r="S410" s="318"/>
      <c r="T410" s="318"/>
      <c r="U410" s="126"/>
      <c r="V410" s="127"/>
      <c r="W410" s="127"/>
      <c r="X410" s="126"/>
      <c r="Y410" s="127"/>
      <c r="Z410" s="127"/>
      <c r="AA410" s="300"/>
      <c r="AC410" s="202">
        <v>1</v>
      </c>
      <c r="AE410" s="42"/>
      <c r="AF410" s="42"/>
    </row>
    <row r="411" spans="1:32" s="55" customFormat="1" x14ac:dyDescent="0.2">
      <c r="A411" s="37"/>
      <c r="B411" s="62" t="s">
        <v>1304</v>
      </c>
      <c r="C411" s="170"/>
      <c r="D411" s="170" t="s">
        <v>258</v>
      </c>
      <c r="E411" s="37"/>
      <c r="F411" s="170"/>
      <c r="G411" s="170"/>
      <c r="H411" s="244"/>
      <c r="I411" s="244"/>
      <c r="J411" s="240"/>
      <c r="K411" s="170" t="s">
        <v>27</v>
      </c>
      <c r="L411" s="170"/>
      <c r="M411" s="538">
        <v>1</v>
      </c>
      <c r="N411" s="516"/>
      <c r="O411" s="516"/>
      <c r="P411" s="516"/>
      <c r="Q411" s="318"/>
      <c r="R411" s="318"/>
      <c r="S411" s="318"/>
      <c r="T411" s="318"/>
      <c r="U411" s="126" t="s">
        <v>92</v>
      </c>
      <c r="V411" s="127"/>
      <c r="W411" s="127"/>
      <c r="X411" s="126" t="s">
        <v>92</v>
      </c>
      <c r="Y411" s="127"/>
      <c r="Z411" s="127"/>
      <c r="AA411" s="300"/>
      <c r="AC411" s="202">
        <v>1</v>
      </c>
      <c r="AE411" s="42"/>
      <c r="AF411" s="42"/>
    </row>
    <row r="412" spans="1:32" s="55" customFormat="1" x14ac:dyDescent="0.2">
      <c r="A412" s="37"/>
      <c r="B412" s="62" t="s">
        <v>1305</v>
      </c>
      <c r="C412" s="170"/>
      <c r="D412" s="170"/>
      <c r="E412" s="37"/>
      <c r="F412" s="170"/>
      <c r="G412" s="170"/>
      <c r="H412" s="244"/>
      <c r="I412" s="244"/>
      <c r="J412" s="240"/>
      <c r="K412" s="170"/>
      <c r="L412" s="170"/>
      <c r="M412" s="202">
        <v>1</v>
      </c>
      <c r="N412" s="516"/>
      <c r="O412" s="516"/>
      <c r="P412" s="516"/>
      <c r="Q412" s="318"/>
      <c r="R412" s="318"/>
      <c r="S412" s="318"/>
      <c r="T412" s="318"/>
      <c r="U412" s="126"/>
      <c r="V412" s="127"/>
      <c r="W412" s="127"/>
      <c r="X412" s="126"/>
      <c r="Y412" s="127"/>
      <c r="Z412" s="127"/>
      <c r="AA412" s="300"/>
      <c r="AC412" s="202">
        <v>1</v>
      </c>
      <c r="AE412" s="42"/>
      <c r="AF412" s="42"/>
    </row>
    <row r="413" spans="1:32" s="55" customFormat="1" x14ac:dyDescent="0.2">
      <c r="A413" s="37"/>
      <c r="B413" s="62" t="s">
        <v>1306</v>
      </c>
      <c r="C413" s="170"/>
      <c r="D413" s="170"/>
      <c r="E413" s="37"/>
      <c r="F413" s="170"/>
      <c r="G413" s="170"/>
      <c r="H413" s="244"/>
      <c r="I413" s="244"/>
      <c r="J413" s="240"/>
      <c r="K413" s="170"/>
      <c r="L413" s="170"/>
      <c r="M413" s="202">
        <v>1</v>
      </c>
      <c r="N413" s="516"/>
      <c r="O413" s="516"/>
      <c r="P413" s="516"/>
      <c r="Q413" s="318"/>
      <c r="R413" s="318"/>
      <c r="S413" s="318"/>
      <c r="T413" s="318"/>
      <c r="U413" s="126"/>
      <c r="V413" s="127"/>
      <c r="W413" s="127"/>
      <c r="X413" s="126"/>
      <c r="Y413" s="127"/>
      <c r="Z413" s="127"/>
      <c r="AA413" s="300"/>
      <c r="AC413" s="202">
        <v>1</v>
      </c>
      <c r="AE413" s="42"/>
      <c r="AF413" s="42"/>
    </row>
    <row r="414" spans="1:32" s="55" customFormat="1" x14ac:dyDescent="0.2">
      <c r="A414" s="37"/>
      <c r="B414" s="62" t="s">
        <v>1307</v>
      </c>
      <c r="C414" s="170"/>
      <c r="D414" s="170"/>
      <c r="E414" s="37"/>
      <c r="F414" s="170"/>
      <c r="G414" s="170"/>
      <c r="H414" s="244">
        <v>1</v>
      </c>
      <c r="I414" s="244" t="s">
        <v>27</v>
      </c>
      <c r="J414" s="243">
        <v>1</v>
      </c>
      <c r="K414" s="170">
        <v>8</v>
      </c>
      <c r="L414" s="170"/>
      <c r="M414" s="202">
        <v>1</v>
      </c>
      <c r="N414" s="516"/>
      <c r="O414" s="516"/>
      <c r="P414" s="516"/>
      <c r="Q414" s="318">
        <v>1</v>
      </c>
      <c r="R414" s="318"/>
      <c r="S414" s="318"/>
      <c r="T414" s="318"/>
      <c r="U414" s="126"/>
      <c r="V414" s="127"/>
      <c r="W414" s="127"/>
      <c r="X414" s="126"/>
      <c r="Y414" s="127"/>
      <c r="Z414" s="127"/>
      <c r="AA414" s="300"/>
      <c r="AC414" s="202">
        <v>1</v>
      </c>
      <c r="AE414" s="42"/>
      <c r="AF414" s="42"/>
    </row>
    <row r="415" spans="1:32" s="55" customFormat="1" x14ac:dyDescent="0.2">
      <c r="A415" s="37"/>
      <c r="B415" s="62" t="s">
        <v>1308</v>
      </c>
      <c r="C415" s="170"/>
      <c r="D415" s="170"/>
      <c r="E415" s="37"/>
      <c r="F415" s="170"/>
      <c r="G415" s="170"/>
      <c r="H415" s="244"/>
      <c r="I415" s="244"/>
      <c r="J415" s="240"/>
      <c r="K415" s="170"/>
      <c r="L415" s="170"/>
      <c r="M415" s="202">
        <v>1</v>
      </c>
      <c r="N415" s="516"/>
      <c r="O415" s="516"/>
      <c r="P415" s="516"/>
      <c r="Q415" s="318"/>
      <c r="R415" s="318"/>
      <c r="S415" s="318"/>
      <c r="T415" s="318"/>
      <c r="U415" s="126"/>
      <c r="V415" s="127"/>
      <c r="W415" s="127"/>
      <c r="X415" s="126"/>
      <c r="Y415" s="127"/>
      <c r="Z415" s="127"/>
      <c r="AA415" s="300"/>
      <c r="AC415" s="202">
        <v>1</v>
      </c>
      <c r="AE415" s="42"/>
      <c r="AF415" s="42"/>
    </row>
    <row r="416" spans="1:32" s="55" customFormat="1" x14ac:dyDescent="0.2">
      <c r="A416" s="37"/>
      <c r="B416" s="62" t="s">
        <v>1309</v>
      </c>
      <c r="C416" s="170"/>
      <c r="D416" s="170"/>
      <c r="E416" s="37"/>
      <c r="F416" s="170"/>
      <c r="G416" s="170"/>
      <c r="H416" s="244"/>
      <c r="I416" s="244"/>
      <c r="J416" s="240"/>
      <c r="K416" s="170"/>
      <c r="L416" s="170"/>
      <c r="M416" s="202">
        <v>1</v>
      </c>
      <c r="N416" s="516"/>
      <c r="O416" s="516"/>
      <c r="P416" s="516"/>
      <c r="Q416" s="318"/>
      <c r="R416" s="318"/>
      <c r="S416" s="318"/>
      <c r="T416" s="318"/>
      <c r="U416" s="126"/>
      <c r="V416" s="127"/>
      <c r="W416" s="127"/>
      <c r="X416" s="126"/>
      <c r="Y416" s="127"/>
      <c r="Z416" s="127"/>
      <c r="AA416" s="300"/>
      <c r="AC416" s="202">
        <v>1</v>
      </c>
      <c r="AE416" s="42"/>
      <c r="AF416" s="42"/>
    </row>
    <row r="417" spans="1:32" s="55" customFormat="1" x14ac:dyDescent="0.2">
      <c r="A417" s="37"/>
      <c r="B417" s="62" t="s">
        <v>1310</v>
      </c>
      <c r="C417" s="170"/>
      <c r="D417" s="170"/>
      <c r="E417" s="37"/>
      <c r="F417" s="170"/>
      <c r="G417" s="170"/>
      <c r="H417" s="244"/>
      <c r="I417" s="244"/>
      <c r="J417" s="240"/>
      <c r="K417" s="170" t="s">
        <v>27</v>
      </c>
      <c r="L417" s="170"/>
      <c r="M417" s="202">
        <v>1</v>
      </c>
      <c r="N417" s="516"/>
      <c r="O417" s="516"/>
      <c r="P417" s="516"/>
      <c r="Q417" s="318" t="s">
        <v>27</v>
      </c>
      <c r="R417" s="318"/>
      <c r="S417" s="318"/>
      <c r="T417" s="318"/>
      <c r="U417" s="126"/>
      <c r="V417" s="127"/>
      <c r="W417" s="127"/>
      <c r="X417" s="126"/>
      <c r="Y417" s="127"/>
      <c r="Z417" s="127"/>
      <c r="AA417" s="300"/>
      <c r="AC417" s="202">
        <v>1</v>
      </c>
      <c r="AE417" s="42"/>
      <c r="AF417" s="42"/>
    </row>
    <row r="418" spans="1:32" s="55" customFormat="1" x14ac:dyDescent="0.2">
      <c r="A418" s="37"/>
      <c r="B418" s="62" t="s">
        <v>1311</v>
      </c>
      <c r="C418" s="170"/>
      <c r="D418" s="170"/>
      <c r="E418" s="37"/>
      <c r="F418" s="170"/>
      <c r="G418" s="170"/>
      <c r="H418" s="244"/>
      <c r="I418" s="244"/>
      <c r="J418" s="240"/>
      <c r="K418" s="170"/>
      <c r="L418" s="170"/>
      <c r="M418" s="202">
        <v>1</v>
      </c>
      <c r="N418" s="516"/>
      <c r="O418" s="516"/>
      <c r="P418" s="516"/>
      <c r="Q418" s="318"/>
      <c r="R418" s="318"/>
      <c r="S418" s="318"/>
      <c r="T418" s="318"/>
      <c r="U418" s="126"/>
      <c r="V418" s="127"/>
      <c r="W418" s="127"/>
      <c r="X418" s="126"/>
      <c r="Y418" s="127"/>
      <c r="Z418" s="127"/>
      <c r="AA418" s="300"/>
      <c r="AC418" s="202">
        <v>1</v>
      </c>
      <c r="AE418" s="42"/>
      <c r="AF418" s="42"/>
    </row>
    <row r="419" spans="1:32" s="55" customFormat="1" x14ac:dyDescent="0.2">
      <c r="A419" s="37"/>
      <c r="B419" s="62" t="s">
        <v>1312</v>
      </c>
      <c r="C419" s="170"/>
      <c r="D419" s="170"/>
      <c r="E419" s="37"/>
      <c r="F419" s="170"/>
      <c r="G419" s="170"/>
      <c r="H419" s="244"/>
      <c r="I419" s="244"/>
      <c r="J419" s="240"/>
      <c r="K419" s="170"/>
      <c r="L419" s="170"/>
      <c r="M419" s="202">
        <v>1</v>
      </c>
      <c r="N419" s="516"/>
      <c r="O419" s="516"/>
      <c r="P419" s="516"/>
      <c r="Q419" s="318"/>
      <c r="R419" s="318"/>
      <c r="S419" s="318"/>
      <c r="T419" s="318"/>
      <c r="U419" s="126"/>
      <c r="V419" s="127"/>
      <c r="W419" s="127"/>
      <c r="X419" s="126"/>
      <c r="Y419" s="127"/>
      <c r="Z419" s="127"/>
      <c r="AA419" s="300"/>
      <c r="AC419" s="202">
        <v>0</v>
      </c>
      <c r="AE419" s="42"/>
      <c r="AF419" s="42"/>
    </row>
    <row r="420" spans="1:32" s="55" customFormat="1" x14ac:dyDescent="0.2">
      <c r="A420" s="37"/>
      <c r="B420" s="62" t="s">
        <v>1313</v>
      </c>
      <c r="C420" s="170"/>
      <c r="D420" s="170"/>
      <c r="E420" s="37"/>
      <c r="F420" s="170"/>
      <c r="G420" s="170"/>
      <c r="H420" s="244"/>
      <c r="I420" s="244"/>
      <c r="J420" s="240"/>
      <c r="K420" s="170" t="s">
        <v>27</v>
      </c>
      <c r="L420" s="170"/>
      <c r="M420" s="202">
        <v>1</v>
      </c>
      <c r="N420" s="516"/>
      <c r="O420" s="516"/>
      <c r="P420" s="516"/>
      <c r="Q420" s="318" t="s">
        <v>27</v>
      </c>
      <c r="R420" s="318"/>
      <c r="S420" s="318"/>
      <c r="T420" s="318"/>
      <c r="U420" s="126"/>
      <c r="V420" s="127"/>
      <c r="W420" s="127"/>
      <c r="X420" s="126"/>
      <c r="Y420" s="127"/>
      <c r="Z420" s="127"/>
      <c r="AA420" s="300"/>
      <c r="AC420" s="202">
        <v>1</v>
      </c>
      <c r="AE420" s="42"/>
      <c r="AF420" s="42"/>
    </row>
    <row r="421" spans="1:32" s="55" customFormat="1" x14ac:dyDescent="0.2">
      <c r="A421" s="37"/>
      <c r="B421" s="62" t="s">
        <v>1314</v>
      </c>
      <c r="C421" s="170"/>
      <c r="D421" s="170"/>
      <c r="E421" s="37"/>
      <c r="F421" s="170"/>
      <c r="G421" s="170"/>
      <c r="H421" s="244"/>
      <c r="I421" s="244"/>
      <c r="J421" s="240"/>
      <c r="K421" s="170"/>
      <c r="L421" s="170"/>
      <c r="M421" s="202">
        <v>1</v>
      </c>
      <c r="N421" s="516"/>
      <c r="O421" s="516"/>
      <c r="P421" s="516"/>
      <c r="Q421" s="318"/>
      <c r="R421" s="318"/>
      <c r="S421" s="318"/>
      <c r="T421" s="318"/>
      <c r="U421" s="126"/>
      <c r="V421" s="127"/>
      <c r="W421" s="127"/>
      <c r="X421" s="126"/>
      <c r="Y421" s="127"/>
      <c r="Z421" s="127"/>
      <c r="AA421" s="300"/>
      <c r="AC421" s="202">
        <v>1</v>
      </c>
      <c r="AE421" s="42"/>
      <c r="AF421" s="42"/>
    </row>
    <row r="422" spans="1:32" s="55" customFormat="1" x14ac:dyDescent="0.2">
      <c r="A422" s="37"/>
      <c r="B422" s="62" t="s">
        <v>1315</v>
      </c>
      <c r="C422" s="170"/>
      <c r="D422" s="170"/>
      <c r="E422" s="37"/>
      <c r="F422" s="170"/>
      <c r="G422" s="170"/>
      <c r="H422" s="244"/>
      <c r="I422" s="244"/>
      <c r="J422" s="240"/>
      <c r="K422" s="170"/>
      <c r="L422" s="170"/>
      <c r="M422" s="202" t="s">
        <v>1316</v>
      </c>
      <c r="N422" s="516"/>
      <c r="O422" s="516"/>
      <c r="P422" s="516"/>
      <c r="Q422" s="318"/>
      <c r="R422" s="318"/>
      <c r="S422" s="318"/>
      <c r="T422" s="318"/>
      <c r="U422" s="126"/>
      <c r="V422" s="127"/>
      <c r="W422" s="127"/>
      <c r="X422" s="126"/>
      <c r="Y422" s="127"/>
      <c r="Z422" s="127"/>
      <c r="AA422" s="300"/>
      <c r="AC422" s="202">
        <v>1</v>
      </c>
      <c r="AE422" s="42"/>
      <c r="AF422" s="42"/>
    </row>
    <row r="423" spans="1:32" s="55" customFormat="1" x14ac:dyDescent="0.2">
      <c r="A423" s="37"/>
      <c r="B423" s="62" t="s">
        <v>1317</v>
      </c>
      <c r="C423" s="170"/>
      <c r="D423" s="170"/>
      <c r="E423" s="37"/>
      <c r="F423" s="170"/>
      <c r="G423" s="170"/>
      <c r="H423" s="244">
        <v>1</v>
      </c>
      <c r="I423" s="244"/>
      <c r="J423" s="243">
        <v>1</v>
      </c>
      <c r="K423" s="170">
        <v>7</v>
      </c>
      <c r="L423" s="170"/>
      <c r="M423" s="202">
        <v>1</v>
      </c>
      <c r="N423" s="516"/>
      <c r="O423" s="516"/>
      <c r="P423" s="516"/>
      <c r="Q423" s="318">
        <f>SUM(M423:M429)/K423</f>
        <v>0.8571428571428571</v>
      </c>
      <c r="R423" s="318"/>
      <c r="S423" s="318"/>
      <c r="T423" s="318"/>
      <c r="U423" s="126"/>
      <c r="V423" s="127"/>
      <c r="W423" s="127"/>
      <c r="X423" s="126"/>
      <c r="Y423" s="127"/>
      <c r="Z423" s="127"/>
      <c r="AA423" s="300"/>
      <c r="AC423" s="202">
        <v>1</v>
      </c>
      <c r="AE423" s="42"/>
      <c r="AF423" s="42"/>
    </row>
    <row r="424" spans="1:32" s="55" customFormat="1" x14ac:dyDescent="0.2">
      <c r="A424" s="37"/>
      <c r="B424" s="62" t="s">
        <v>1318</v>
      </c>
      <c r="C424" s="170"/>
      <c r="D424" s="170"/>
      <c r="E424" s="37"/>
      <c r="F424" s="170"/>
      <c r="G424" s="170"/>
      <c r="H424" s="244"/>
      <c r="I424" s="244"/>
      <c r="J424" s="240"/>
      <c r="K424" s="170"/>
      <c r="L424" s="170"/>
      <c r="M424" s="202">
        <v>1</v>
      </c>
      <c r="N424" s="516"/>
      <c r="O424" s="516"/>
      <c r="P424" s="516"/>
      <c r="Q424" s="318"/>
      <c r="R424" s="318"/>
      <c r="S424" s="318"/>
      <c r="T424" s="318"/>
      <c r="U424" s="126"/>
      <c r="V424" s="127"/>
      <c r="W424" s="127"/>
      <c r="X424" s="126"/>
      <c r="Y424" s="127"/>
      <c r="Z424" s="127"/>
      <c r="AA424" s="300"/>
      <c r="AC424" s="202">
        <v>0</v>
      </c>
      <c r="AE424" s="42"/>
      <c r="AF424" s="42"/>
    </row>
    <row r="425" spans="1:32" s="55" customFormat="1" x14ac:dyDescent="0.2">
      <c r="A425" s="37"/>
      <c r="B425" s="62" t="s">
        <v>1319</v>
      </c>
      <c r="C425" s="170"/>
      <c r="D425" s="170"/>
      <c r="E425" s="37"/>
      <c r="F425" s="170"/>
      <c r="G425" s="170"/>
      <c r="H425" s="244"/>
      <c r="I425" s="244"/>
      <c r="J425" s="240"/>
      <c r="K425" s="170"/>
      <c r="L425" s="170"/>
      <c r="M425" s="202">
        <v>1</v>
      </c>
      <c r="N425" s="516"/>
      <c r="O425" s="516"/>
      <c r="P425" s="516"/>
      <c r="Q425" s="318"/>
      <c r="R425" s="318"/>
      <c r="S425" s="318"/>
      <c r="T425" s="318"/>
      <c r="U425" s="126"/>
      <c r="V425" s="127"/>
      <c r="W425" s="127"/>
      <c r="X425" s="126"/>
      <c r="Y425" s="127"/>
      <c r="Z425" s="127"/>
      <c r="AA425" s="300"/>
      <c r="AC425" s="202">
        <v>0</v>
      </c>
      <c r="AE425" s="42"/>
      <c r="AF425" s="42"/>
    </row>
    <row r="426" spans="1:32" s="55" customFormat="1" x14ac:dyDescent="0.2">
      <c r="A426" s="37"/>
      <c r="B426" s="62" t="s">
        <v>1320</v>
      </c>
      <c r="C426" s="170"/>
      <c r="D426" s="170"/>
      <c r="E426" s="37"/>
      <c r="F426" s="170"/>
      <c r="G426" s="170"/>
      <c r="H426" s="244"/>
      <c r="I426" s="244"/>
      <c r="J426" s="240"/>
      <c r="K426" s="170" t="s">
        <v>27</v>
      </c>
      <c r="L426" s="170"/>
      <c r="M426" s="202">
        <v>1</v>
      </c>
      <c r="N426" s="516"/>
      <c r="O426" s="516"/>
      <c r="P426" s="516"/>
      <c r="Q426" s="318" t="s">
        <v>27</v>
      </c>
      <c r="R426" s="318"/>
      <c r="S426" s="318"/>
      <c r="T426" s="318"/>
      <c r="U426" s="126"/>
      <c r="V426" s="127"/>
      <c r="W426" s="127"/>
      <c r="X426" s="126"/>
      <c r="Y426" s="127"/>
      <c r="Z426" s="127"/>
      <c r="AA426" s="300"/>
      <c r="AC426" s="202">
        <v>0</v>
      </c>
      <c r="AE426" s="42"/>
      <c r="AF426" s="42"/>
    </row>
    <row r="427" spans="1:32" s="55" customFormat="1" x14ac:dyDescent="0.2">
      <c r="A427" s="37"/>
      <c r="B427" s="62" t="s">
        <v>1321</v>
      </c>
      <c r="C427" s="170"/>
      <c r="D427" s="170"/>
      <c r="E427" s="37"/>
      <c r="F427" s="170"/>
      <c r="G427" s="170"/>
      <c r="H427" s="244"/>
      <c r="I427" s="244"/>
      <c r="J427" s="240"/>
      <c r="K427" s="170"/>
      <c r="L427" s="170"/>
      <c r="M427" s="202">
        <v>0</v>
      </c>
      <c r="N427" s="516"/>
      <c r="O427" s="516"/>
      <c r="P427" s="516"/>
      <c r="Q427" s="318"/>
      <c r="R427" s="318"/>
      <c r="S427" s="318"/>
      <c r="T427" s="318"/>
      <c r="U427" s="126"/>
      <c r="V427" s="127"/>
      <c r="W427" s="127"/>
      <c r="X427" s="126"/>
      <c r="Y427" s="127"/>
      <c r="Z427" s="127"/>
      <c r="AA427" s="300"/>
      <c r="AC427" s="202">
        <v>0</v>
      </c>
      <c r="AE427" s="42"/>
      <c r="AF427" s="42"/>
    </row>
    <row r="428" spans="1:32" s="55" customFormat="1" x14ac:dyDescent="0.2">
      <c r="A428" s="37"/>
      <c r="B428" s="62" t="s">
        <v>1322</v>
      </c>
      <c r="C428" s="170"/>
      <c r="D428" s="170"/>
      <c r="E428" s="37"/>
      <c r="F428" s="170"/>
      <c r="G428" s="170"/>
      <c r="H428" s="244"/>
      <c r="I428" s="244"/>
      <c r="J428" s="240"/>
      <c r="K428" s="170"/>
      <c r="L428" s="170"/>
      <c r="M428" s="202">
        <v>1</v>
      </c>
      <c r="N428" s="516"/>
      <c r="O428" s="516"/>
      <c r="P428" s="516"/>
      <c r="Q428" s="318"/>
      <c r="R428" s="318"/>
      <c r="S428" s="318"/>
      <c r="T428" s="318"/>
      <c r="U428" s="126"/>
      <c r="V428" s="127"/>
      <c r="W428" s="127"/>
      <c r="X428" s="126"/>
      <c r="Y428" s="127"/>
      <c r="Z428" s="127"/>
      <c r="AA428" s="300"/>
      <c r="AC428" s="202">
        <v>0</v>
      </c>
      <c r="AE428" s="42"/>
      <c r="AF428" s="42"/>
    </row>
    <row r="429" spans="1:32" s="19" customFormat="1" x14ac:dyDescent="0.2">
      <c r="A429" s="37" t="s">
        <v>27</v>
      </c>
      <c r="B429" s="62" t="s">
        <v>1323</v>
      </c>
      <c r="C429" s="172"/>
      <c r="D429" s="172"/>
      <c r="F429" s="172"/>
      <c r="G429" s="172"/>
      <c r="H429" s="245" t="s">
        <v>27</v>
      </c>
      <c r="I429" s="245"/>
      <c r="J429" s="172" t="s">
        <v>27</v>
      </c>
      <c r="K429" s="172" t="s">
        <v>27</v>
      </c>
      <c r="L429" s="172"/>
      <c r="M429" s="202">
        <v>1</v>
      </c>
      <c r="N429" s="516"/>
      <c r="O429" s="516"/>
      <c r="P429" s="516"/>
      <c r="Q429" s="318"/>
      <c r="R429" s="318"/>
      <c r="S429" s="318"/>
      <c r="T429" s="318"/>
      <c r="U429" s="29"/>
      <c r="V429" s="30"/>
      <c r="W429" s="30"/>
      <c r="X429" s="29"/>
      <c r="Y429" s="30"/>
      <c r="Z429" s="30"/>
      <c r="AA429" s="300">
        <v>0</v>
      </c>
      <c r="AC429" s="202">
        <v>0</v>
      </c>
      <c r="AE429" s="42"/>
      <c r="AF429" s="42"/>
    </row>
    <row r="430" spans="1:32" s="19" customFormat="1" x14ac:dyDescent="0.2">
      <c r="A430" s="37"/>
      <c r="B430" s="62" t="s">
        <v>1324</v>
      </c>
      <c r="C430" s="172"/>
      <c r="D430" s="172"/>
      <c r="F430" s="172"/>
      <c r="G430" s="172"/>
      <c r="H430" s="245">
        <v>1</v>
      </c>
      <c r="I430" s="245"/>
      <c r="J430" s="172">
        <v>1</v>
      </c>
      <c r="K430" s="172">
        <v>2</v>
      </c>
      <c r="L430" s="172"/>
      <c r="M430" s="202">
        <v>1</v>
      </c>
      <c r="N430" s="516"/>
      <c r="O430" s="516"/>
      <c r="P430" s="516"/>
      <c r="Q430" s="318">
        <v>1</v>
      </c>
      <c r="R430" s="318"/>
      <c r="S430" s="318"/>
      <c r="T430" s="318"/>
      <c r="U430" s="29"/>
      <c r="V430" s="30"/>
      <c r="W430" s="30"/>
      <c r="X430" s="29"/>
      <c r="Y430" s="30"/>
      <c r="Z430" s="30"/>
      <c r="AA430" s="300"/>
      <c r="AC430" s="202">
        <v>1</v>
      </c>
      <c r="AE430" s="42"/>
      <c r="AF430" s="42"/>
    </row>
    <row r="431" spans="1:32" s="19" customFormat="1" x14ac:dyDescent="0.2">
      <c r="A431" s="37"/>
      <c r="B431" s="62" t="s">
        <v>1325</v>
      </c>
      <c r="C431" s="172"/>
      <c r="D431" s="172"/>
      <c r="F431" s="172"/>
      <c r="G431" s="172"/>
      <c r="H431" s="245"/>
      <c r="I431" s="245"/>
      <c r="J431" s="172"/>
      <c r="K431" s="172"/>
      <c r="L431" s="172"/>
      <c r="M431" s="202">
        <v>1</v>
      </c>
      <c r="N431" s="516"/>
      <c r="O431" s="516"/>
      <c r="P431" s="516"/>
      <c r="Q431" s="318"/>
      <c r="R431" s="318"/>
      <c r="S431" s="318"/>
      <c r="T431" s="318"/>
      <c r="U431" s="29"/>
      <c r="V431" s="30"/>
      <c r="W431" s="30"/>
      <c r="X431" s="29"/>
      <c r="Y431" s="30"/>
      <c r="Z431" s="30"/>
      <c r="AA431" s="300"/>
      <c r="AC431" s="202">
        <v>1</v>
      </c>
      <c r="AE431" s="42"/>
      <c r="AF431" s="42"/>
    </row>
    <row r="432" spans="1:32" s="273" customFormat="1" x14ac:dyDescent="0.2">
      <c r="A432" s="273" t="s">
        <v>1326</v>
      </c>
      <c r="B432" s="274" t="s">
        <v>1327</v>
      </c>
      <c r="C432" s="275"/>
      <c r="D432" s="275"/>
      <c r="F432" s="279">
        <v>1</v>
      </c>
      <c r="G432" s="276">
        <v>1</v>
      </c>
      <c r="H432" s="290">
        <f>SUM(H433:H457)</f>
        <v>3</v>
      </c>
      <c r="I432" s="294">
        <f>SUM(J433:J457)/H432</f>
        <v>0.66666666666666663</v>
      </c>
      <c r="J432" s="292">
        <f>SUM(J433:J457)</f>
        <v>2</v>
      </c>
      <c r="K432" s="287">
        <f>SUM(K433:K457)</f>
        <v>25</v>
      </c>
      <c r="L432" s="291">
        <f>SUM(M433:M457)/K432</f>
        <v>0.6</v>
      </c>
      <c r="M432" s="292">
        <f>SUM(M433:M457)</f>
        <v>15</v>
      </c>
      <c r="N432" s="513"/>
      <c r="O432" s="513"/>
      <c r="P432" s="513"/>
      <c r="Q432" s="373">
        <f>((Q433*K433)+(Q439*K439)+(K450*Q450))/K432</f>
        <v>0.56000000000000005</v>
      </c>
      <c r="R432" s="373"/>
      <c r="S432" s="373">
        <f>_xlfn.STDEV.P(R433:R435)</f>
        <v>0.36931332553139712</v>
      </c>
      <c r="T432" s="373">
        <f>+T438</f>
        <v>0.26114395686580588</v>
      </c>
      <c r="U432" s="277"/>
      <c r="V432" s="278"/>
      <c r="W432" s="278"/>
      <c r="X432" s="277"/>
      <c r="Y432" s="278"/>
      <c r="Z432" s="278"/>
      <c r="AA432" s="316">
        <f>SUM(AA433:AA457)/K432</f>
        <v>0</v>
      </c>
      <c r="AC432" s="202">
        <v>1</v>
      </c>
      <c r="AD432" s="284">
        <f>+U432/M432</f>
        <v>0</v>
      </c>
      <c r="AE432" s="333"/>
      <c r="AF432" s="333"/>
    </row>
    <row r="433" spans="1:32" s="55" customFormat="1" x14ac:dyDescent="0.2">
      <c r="A433" s="37"/>
      <c r="B433" s="62" t="s">
        <v>1328</v>
      </c>
      <c r="C433" s="170" t="s">
        <v>126</v>
      </c>
      <c r="D433" s="170"/>
      <c r="E433" s="37"/>
      <c r="F433" s="170"/>
      <c r="G433" s="170">
        <v>1</v>
      </c>
      <c r="H433" s="244">
        <v>1</v>
      </c>
      <c r="I433" s="244"/>
      <c r="J433" s="243">
        <v>0</v>
      </c>
      <c r="K433" s="170">
        <v>6</v>
      </c>
      <c r="L433" s="170"/>
      <c r="M433" s="202">
        <v>0</v>
      </c>
      <c r="N433" s="618">
        <f>AVERAGE(M433:M457)</f>
        <v>0.6</v>
      </c>
      <c r="O433" s="618">
        <f>_xlfn.STDEV.P(M433:M457)</f>
        <v>0.4898979485566356</v>
      </c>
      <c r="P433" s="615">
        <f>STDEV(M433:M457)/(SQRT(COUNT(M433:M457)))</f>
        <v>0.1</v>
      </c>
      <c r="Q433" s="318">
        <v>0</v>
      </c>
      <c r="R433" s="318">
        <f>+Q433</f>
        <v>0</v>
      </c>
      <c r="S433" s="318"/>
      <c r="T433" s="318"/>
      <c r="U433" s="126"/>
      <c r="V433" s="127"/>
      <c r="W433" s="127"/>
      <c r="X433" s="126"/>
      <c r="Y433" s="127"/>
      <c r="Z433" s="127"/>
      <c r="AA433" s="300">
        <v>0</v>
      </c>
      <c r="AC433" s="202">
        <v>0</v>
      </c>
      <c r="AE433" s="42"/>
      <c r="AF433" s="42"/>
    </row>
    <row r="434" spans="1:32" s="55" customFormat="1" x14ac:dyDescent="0.2">
      <c r="A434" s="37"/>
      <c r="B434" s="62" t="s">
        <v>1329</v>
      </c>
      <c r="C434" s="170" t="s">
        <v>126</v>
      </c>
      <c r="D434" s="170"/>
      <c r="E434" s="37"/>
      <c r="F434" s="170"/>
      <c r="G434" s="170"/>
      <c r="H434" s="244"/>
      <c r="I434" s="244"/>
      <c r="J434" s="240"/>
      <c r="K434" s="170"/>
      <c r="L434" s="170"/>
      <c r="M434" s="202">
        <v>0</v>
      </c>
      <c r="N434" s="516"/>
      <c r="O434" s="516"/>
      <c r="P434" s="516"/>
      <c r="Q434" s="318"/>
      <c r="R434" s="318">
        <f>+Q439</f>
        <v>0.63636363636363635</v>
      </c>
      <c r="S434" s="318"/>
      <c r="T434" s="318"/>
      <c r="U434" s="126"/>
      <c r="V434" s="127"/>
      <c r="W434" s="127"/>
      <c r="X434" s="126"/>
      <c r="Y434" s="127"/>
      <c r="Z434" s="127"/>
      <c r="AA434" s="300">
        <v>0</v>
      </c>
      <c r="AC434" s="202">
        <v>0</v>
      </c>
      <c r="AE434" s="42"/>
      <c r="AF434" s="42"/>
    </row>
    <row r="435" spans="1:32" s="55" customFormat="1" x14ac:dyDescent="0.2">
      <c r="A435" s="37"/>
      <c r="B435" s="62" t="s">
        <v>1330</v>
      </c>
      <c r="C435" s="170" t="s">
        <v>126</v>
      </c>
      <c r="D435" s="170"/>
      <c r="E435" s="37"/>
      <c r="F435" s="170"/>
      <c r="G435" s="170"/>
      <c r="H435" s="244"/>
      <c r="I435" s="244"/>
      <c r="J435" s="240"/>
      <c r="K435" s="170"/>
      <c r="L435" s="170"/>
      <c r="M435" s="202">
        <v>0</v>
      </c>
      <c r="N435" s="516"/>
      <c r="O435" s="516"/>
      <c r="P435" s="516"/>
      <c r="Q435" s="318"/>
      <c r="R435" s="318">
        <f>+Q450</f>
        <v>0.875</v>
      </c>
      <c r="S435" s="318"/>
      <c r="T435" s="318"/>
      <c r="U435" s="126"/>
      <c r="V435" s="127"/>
      <c r="W435" s="127"/>
      <c r="X435" s="126"/>
      <c r="Y435" s="127"/>
      <c r="Z435" s="127"/>
      <c r="AA435" s="300">
        <v>0</v>
      </c>
      <c r="AC435" s="202">
        <v>0</v>
      </c>
      <c r="AE435" s="42"/>
      <c r="AF435" s="42"/>
    </row>
    <row r="436" spans="1:32" s="55" customFormat="1" x14ac:dyDescent="0.2">
      <c r="A436" s="37"/>
      <c r="B436" s="62" t="s">
        <v>1331</v>
      </c>
      <c r="C436" s="170" t="s">
        <v>126</v>
      </c>
      <c r="D436" s="170"/>
      <c r="E436" s="37"/>
      <c r="F436" s="170"/>
      <c r="G436" s="170"/>
      <c r="H436" s="244"/>
      <c r="I436" s="244"/>
      <c r="J436" s="240"/>
      <c r="K436" s="170"/>
      <c r="L436" s="170"/>
      <c r="M436" s="202">
        <v>0</v>
      </c>
      <c r="N436" s="516"/>
      <c r="O436" s="516"/>
      <c r="P436" s="516"/>
      <c r="Q436" s="318"/>
      <c r="R436" s="318"/>
      <c r="S436" s="318"/>
      <c r="T436" s="318"/>
      <c r="U436" s="126"/>
      <c r="V436" s="127"/>
      <c r="W436" s="127"/>
      <c r="X436" s="126"/>
      <c r="Y436" s="127"/>
      <c r="Z436" s="127"/>
      <c r="AA436" s="300">
        <v>0</v>
      </c>
      <c r="AC436" s="202">
        <v>1</v>
      </c>
      <c r="AE436" s="42"/>
      <c r="AF436" s="42"/>
    </row>
    <row r="437" spans="1:32" s="55" customFormat="1" x14ac:dyDescent="0.2">
      <c r="A437" s="37"/>
      <c r="B437" s="62" t="s">
        <v>1332</v>
      </c>
      <c r="C437" s="170" t="s">
        <v>126</v>
      </c>
      <c r="D437" s="170"/>
      <c r="E437" s="37"/>
      <c r="F437" s="170"/>
      <c r="G437" s="170"/>
      <c r="H437" s="244"/>
      <c r="I437" s="244"/>
      <c r="J437" s="240"/>
      <c r="K437" s="170"/>
      <c r="L437" s="170"/>
      <c r="M437" s="538">
        <v>1</v>
      </c>
      <c r="N437" s="516"/>
      <c r="O437" s="516"/>
      <c r="P437" s="516"/>
      <c r="Q437" s="318"/>
      <c r="R437" s="318"/>
      <c r="S437" s="318"/>
      <c r="T437" s="318"/>
      <c r="U437" s="126"/>
      <c r="V437" s="127"/>
      <c r="W437" s="127" t="s">
        <v>94</v>
      </c>
      <c r="X437" s="126"/>
      <c r="Y437" s="127"/>
      <c r="Z437" s="127" t="s">
        <v>94</v>
      </c>
      <c r="AA437" s="300">
        <v>0</v>
      </c>
      <c r="AC437" s="202">
        <v>1</v>
      </c>
      <c r="AE437" s="42"/>
      <c r="AF437" s="42"/>
    </row>
    <row r="438" spans="1:32" s="55" customFormat="1" x14ac:dyDescent="0.2">
      <c r="A438" s="37"/>
      <c r="B438" s="62" t="s">
        <v>1333</v>
      </c>
      <c r="C438" s="170" t="s">
        <v>126</v>
      </c>
      <c r="D438" s="170"/>
      <c r="E438" s="37"/>
      <c r="F438" s="170"/>
      <c r="G438" s="170"/>
      <c r="H438" s="244"/>
      <c r="I438" s="244"/>
      <c r="J438" s="240"/>
      <c r="K438" s="170"/>
      <c r="L438" s="170"/>
      <c r="M438" s="202">
        <v>0</v>
      </c>
      <c r="N438" s="516"/>
      <c r="O438" s="516"/>
      <c r="P438" s="516"/>
      <c r="Q438" s="318"/>
      <c r="R438" s="383">
        <f>AVERAGE(R433:R435)</f>
        <v>0.50378787878787878</v>
      </c>
      <c r="S438" s="383"/>
      <c r="T438" s="380">
        <f>STDEV(R433:R435)/(SQRT(COUNT(R433:R435)))</f>
        <v>0.26114395686580588</v>
      </c>
      <c r="U438" s="126"/>
      <c r="V438" s="127"/>
      <c r="W438" s="127"/>
      <c r="X438" s="126"/>
      <c r="Y438" s="127"/>
      <c r="Z438" s="127"/>
      <c r="AA438" s="300">
        <v>0</v>
      </c>
      <c r="AC438" s="202">
        <v>0</v>
      </c>
      <c r="AE438" s="42"/>
      <c r="AF438" s="42"/>
    </row>
    <row r="439" spans="1:32" s="55" customFormat="1" x14ac:dyDescent="0.2">
      <c r="A439" s="37"/>
      <c r="B439" s="62" t="s">
        <v>1334</v>
      </c>
      <c r="C439" s="170" t="s">
        <v>126</v>
      </c>
      <c r="D439" s="170"/>
      <c r="E439" s="37"/>
      <c r="F439" s="170"/>
      <c r="G439" s="170"/>
      <c r="H439" s="244">
        <v>1</v>
      </c>
      <c r="I439" s="244"/>
      <c r="J439" s="172">
        <v>1</v>
      </c>
      <c r="K439" s="170">
        <v>11</v>
      </c>
      <c r="L439" s="170"/>
      <c r="M439" s="202">
        <v>1</v>
      </c>
      <c r="N439" s="516"/>
      <c r="O439" s="516"/>
      <c r="P439" s="516"/>
      <c r="Q439" s="318">
        <f>SUM(M439:M449)/SUM(K439:K448)</f>
        <v>0.63636363636363635</v>
      </c>
      <c r="R439" s="318"/>
      <c r="S439" s="318"/>
      <c r="T439" s="318"/>
      <c r="U439" s="126"/>
      <c r="V439" s="127"/>
      <c r="W439" s="127"/>
      <c r="X439" s="126"/>
      <c r="Y439" s="127"/>
      <c r="Z439" s="127"/>
      <c r="AA439" s="300">
        <v>0</v>
      </c>
      <c r="AC439" s="202">
        <v>1</v>
      </c>
      <c r="AE439" s="42"/>
      <c r="AF439" s="42"/>
    </row>
    <row r="440" spans="1:32" s="55" customFormat="1" x14ac:dyDescent="0.2">
      <c r="A440" s="37"/>
      <c r="B440" s="62" t="s">
        <v>1335</v>
      </c>
      <c r="C440" s="170" t="s">
        <v>126</v>
      </c>
      <c r="D440" s="170"/>
      <c r="E440" s="37"/>
      <c r="F440" s="170"/>
      <c r="G440" s="170"/>
      <c r="H440" s="244"/>
      <c r="I440" s="244"/>
      <c r="J440" s="243"/>
      <c r="K440" s="170"/>
      <c r="L440" s="170"/>
      <c r="M440" s="202">
        <v>1</v>
      </c>
      <c r="N440" s="516"/>
      <c r="O440" s="516"/>
      <c r="P440" s="516"/>
      <c r="Q440" s="318"/>
      <c r="R440" s="318"/>
      <c r="S440" s="318"/>
      <c r="T440" s="318"/>
      <c r="U440" s="126"/>
      <c r="V440" s="127"/>
      <c r="W440" s="127"/>
      <c r="X440" s="126"/>
      <c r="Y440" s="127"/>
      <c r="Z440" s="127"/>
      <c r="AA440" s="300">
        <v>0</v>
      </c>
      <c r="AC440" s="202">
        <v>1</v>
      </c>
      <c r="AE440" s="42"/>
      <c r="AF440" s="42"/>
    </row>
    <row r="441" spans="1:32" s="55" customFormat="1" x14ac:dyDescent="0.2">
      <c r="A441" s="37"/>
      <c r="B441" s="62" t="s">
        <v>1336</v>
      </c>
      <c r="C441" s="170" t="s">
        <v>126</v>
      </c>
      <c r="D441" s="170"/>
      <c r="E441" s="37"/>
      <c r="F441" s="170"/>
      <c r="G441" s="170"/>
      <c r="H441" s="244"/>
      <c r="I441" s="244"/>
      <c r="J441" s="243"/>
      <c r="K441" s="170"/>
      <c r="L441" s="170"/>
      <c r="M441" s="202">
        <v>1</v>
      </c>
      <c r="N441" s="516"/>
      <c r="O441" s="516"/>
      <c r="P441" s="516"/>
      <c r="Q441" s="318"/>
      <c r="R441" s="318"/>
      <c r="S441" s="318"/>
      <c r="T441" s="318"/>
      <c r="U441" s="126"/>
      <c r="V441" s="127"/>
      <c r="W441" s="127"/>
      <c r="X441" s="126"/>
      <c r="Y441" s="127"/>
      <c r="Z441" s="127"/>
      <c r="AA441" s="300">
        <v>0</v>
      </c>
      <c r="AC441" s="202">
        <v>1</v>
      </c>
      <c r="AE441" s="42"/>
      <c r="AF441" s="42"/>
    </row>
    <row r="442" spans="1:32" s="55" customFormat="1" x14ac:dyDescent="0.2">
      <c r="A442" s="37"/>
      <c r="B442" s="62" t="s">
        <v>1337</v>
      </c>
      <c r="C442" s="170" t="s">
        <v>126</v>
      </c>
      <c r="D442" s="170"/>
      <c r="E442" s="37"/>
      <c r="F442" s="170"/>
      <c r="G442" s="170"/>
      <c r="H442" s="244" t="s">
        <v>27</v>
      </c>
      <c r="I442" s="244"/>
      <c r="J442" s="243" t="s">
        <v>27</v>
      </c>
      <c r="K442" s="170" t="s">
        <v>27</v>
      </c>
      <c r="L442" s="170"/>
      <c r="M442" s="202">
        <v>0</v>
      </c>
      <c r="N442" s="516"/>
      <c r="O442" s="516"/>
      <c r="P442" s="516"/>
      <c r="Q442" s="318"/>
      <c r="R442" s="318"/>
      <c r="S442" s="318"/>
      <c r="T442" s="318"/>
      <c r="U442" s="126"/>
      <c r="V442" s="127"/>
      <c r="W442" s="127"/>
      <c r="X442" s="126"/>
      <c r="Y442" s="127"/>
      <c r="Z442" s="127"/>
      <c r="AA442" s="300">
        <v>0</v>
      </c>
      <c r="AC442" s="202">
        <v>0</v>
      </c>
      <c r="AE442" s="42"/>
      <c r="AF442" s="42"/>
    </row>
    <row r="443" spans="1:32" s="55" customFormat="1" x14ac:dyDescent="0.2">
      <c r="A443" s="37"/>
      <c r="B443" s="62" t="s">
        <v>1338</v>
      </c>
      <c r="C443" s="170" t="s">
        <v>126</v>
      </c>
      <c r="D443" s="170"/>
      <c r="E443" s="37"/>
      <c r="F443" s="170"/>
      <c r="G443" s="170"/>
      <c r="H443" s="244"/>
      <c r="I443" s="244"/>
      <c r="J443" s="243"/>
      <c r="K443" s="170"/>
      <c r="L443" s="170"/>
      <c r="M443" s="202">
        <v>0</v>
      </c>
      <c r="N443" s="516"/>
      <c r="O443" s="516"/>
      <c r="P443" s="516"/>
      <c r="Q443" s="318"/>
      <c r="R443" s="318"/>
      <c r="S443" s="318"/>
      <c r="T443" s="318"/>
      <c r="U443" s="126"/>
      <c r="V443" s="127"/>
      <c r="W443" s="127"/>
      <c r="X443" s="126"/>
      <c r="Y443" s="127"/>
      <c r="Z443" s="127"/>
      <c r="AA443" s="300">
        <v>0</v>
      </c>
      <c r="AC443" s="202">
        <v>1</v>
      </c>
      <c r="AE443" s="42"/>
      <c r="AF443" s="42"/>
    </row>
    <row r="444" spans="1:32" s="55" customFormat="1" x14ac:dyDescent="0.2">
      <c r="A444" s="37"/>
      <c r="B444" s="62" t="s">
        <v>1339</v>
      </c>
      <c r="C444" s="170" t="s">
        <v>126</v>
      </c>
      <c r="D444" s="170"/>
      <c r="E444" s="37"/>
      <c r="F444" s="170"/>
      <c r="G444" s="170"/>
      <c r="H444" s="244"/>
      <c r="I444" s="244"/>
      <c r="J444" s="243"/>
      <c r="K444" s="170"/>
      <c r="L444" s="170"/>
      <c r="M444" s="202">
        <v>0</v>
      </c>
      <c r="N444" s="516"/>
      <c r="O444" s="516"/>
      <c r="P444" s="516"/>
      <c r="Q444" s="318"/>
      <c r="R444" s="318"/>
      <c r="S444" s="318"/>
      <c r="T444" s="318"/>
      <c r="U444" s="126"/>
      <c r="V444" s="127"/>
      <c r="W444" s="127"/>
      <c r="X444" s="126"/>
      <c r="Y444" s="127"/>
      <c r="Z444" s="127"/>
      <c r="AA444" s="300">
        <v>0</v>
      </c>
      <c r="AC444" s="202">
        <v>1</v>
      </c>
      <c r="AE444" s="42"/>
      <c r="AF444" s="42"/>
    </row>
    <row r="445" spans="1:32" s="55" customFormat="1" x14ac:dyDescent="0.2">
      <c r="A445" s="37"/>
      <c r="B445" s="62" t="s">
        <v>1340</v>
      </c>
      <c r="C445" s="170" t="s">
        <v>126</v>
      </c>
      <c r="D445" s="170"/>
      <c r="E445" s="37"/>
      <c r="F445" s="170"/>
      <c r="G445" s="170"/>
      <c r="H445" s="244"/>
      <c r="I445" s="244"/>
      <c r="J445" s="243" t="s">
        <v>27</v>
      </c>
      <c r="K445" s="170" t="s">
        <v>27</v>
      </c>
      <c r="L445" s="170"/>
      <c r="M445" s="202">
        <v>1</v>
      </c>
      <c r="N445" s="516"/>
      <c r="O445" s="516"/>
      <c r="P445" s="516"/>
      <c r="Q445" s="318"/>
      <c r="R445" s="318"/>
      <c r="S445" s="318"/>
      <c r="T445" s="318"/>
      <c r="U445" s="126"/>
      <c r="V445" s="127"/>
      <c r="W445" s="127"/>
      <c r="X445" s="126"/>
      <c r="Y445" s="127"/>
      <c r="Z445" s="127"/>
      <c r="AA445" s="300">
        <v>0</v>
      </c>
      <c r="AC445" s="202">
        <v>1</v>
      </c>
      <c r="AE445" s="42"/>
      <c r="AF445" s="42"/>
    </row>
    <row r="446" spans="1:32" s="55" customFormat="1" x14ac:dyDescent="0.2">
      <c r="A446" s="37"/>
      <c r="B446" s="62" t="s">
        <v>1341</v>
      </c>
      <c r="C446" s="170" t="s">
        <v>126</v>
      </c>
      <c r="D446" s="170"/>
      <c r="E446" s="37"/>
      <c r="F446" s="170"/>
      <c r="G446" s="170"/>
      <c r="H446" s="244"/>
      <c r="I446" s="244"/>
      <c r="J446" s="243"/>
      <c r="K446" s="170"/>
      <c r="L446" s="170"/>
      <c r="M446" s="202">
        <v>1</v>
      </c>
      <c r="N446" s="516"/>
      <c r="O446" s="516"/>
      <c r="P446" s="516"/>
      <c r="Q446" s="318"/>
      <c r="R446" s="318"/>
      <c r="S446" s="318"/>
      <c r="T446" s="318"/>
      <c r="U446" s="126"/>
      <c r="V446" s="127"/>
      <c r="W446" s="127"/>
      <c r="X446" s="126"/>
      <c r="Y446" s="127"/>
      <c r="Z446" s="127"/>
      <c r="AA446" s="300">
        <v>0</v>
      </c>
      <c r="AC446" s="202">
        <v>1</v>
      </c>
      <c r="AE446" s="42"/>
      <c r="AF446" s="42"/>
    </row>
    <row r="447" spans="1:32" s="55" customFormat="1" x14ac:dyDescent="0.2">
      <c r="A447" s="37"/>
      <c r="B447" s="62" t="s">
        <v>1342</v>
      </c>
      <c r="C447" s="170" t="s">
        <v>126</v>
      </c>
      <c r="D447" s="170"/>
      <c r="E447" s="37"/>
      <c r="F447" s="170"/>
      <c r="G447" s="170"/>
      <c r="H447" s="244"/>
      <c r="I447" s="244"/>
      <c r="J447" s="243"/>
      <c r="K447" s="170"/>
      <c r="L447" s="170"/>
      <c r="M447" s="202">
        <v>0</v>
      </c>
      <c r="N447" s="516"/>
      <c r="O447" s="516"/>
      <c r="P447" s="516"/>
      <c r="Q447" s="318"/>
      <c r="R447" s="318"/>
      <c r="S447" s="318"/>
      <c r="T447" s="318"/>
      <c r="U447" s="126"/>
      <c r="V447" s="127"/>
      <c r="W447" s="127"/>
      <c r="X447" s="126"/>
      <c r="Y447" s="127"/>
      <c r="Z447" s="127"/>
      <c r="AA447" s="300">
        <v>0</v>
      </c>
      <c r="AC447" s="202">
        <v>1</v>
      </c>
      <c r="AE447" s="42"/>
      <c r="AF447" s="42"/>
    </row>
    <row r="448" spans="1:32" s="55" customFormat="1" x14ac:dyDescent="0.2">
      <c r="A448" s="37"/>
      <c r="B448" s="62" t="s">
        <v>1343</v>
      </c>
      <c r="C448" s="170" t="s">
        <v>126</v>
      </c>
      <c r="D448" s="170"/>
      <c r="E448" s="37"/>
      <c r="F448" s="170"/>
      <c r="G448" s="170"/>
      <c r="H448" s="244"/>
      <c r="I448" s="244"/>
      <c r="J448" s="244" t="s">
        <v>27</v>
      </c>
      <c r="K448" s="170" t="s">
        <v>27</v>
      </c>
      <c r="L448" s="170"/>
      <c r="M448" s="202">
        <v>1</v>
      </c>
      <c r="N448" s="516"/>
      <c r="O448" s="516"/>
      <c r="P448" s="516"/>
      <c r="Q448" s="318"/>
      <c r="R448" s="318"/>
      <c r="S448" s="318"/>
      <c r="T448" s="318"/>
      <c r="U448" s="126"/>
      <c r="V448" s="127"/>
      <c r="W448" s="127"/>
      <c r="X448" s="126"/>
      <c r="Y448" s="127"/>
      <c r="Z448" s="127"/>
      <c r="AA448" s="300">
        <v>0</v>
      </c>
      <c r="AC448" s="202">
        <v>1</v>
      </c>
      <c r="AE448" s="42"/>
      <c r="AF448" s="42"/>
    </row>
    <row r="449" spans="1:32" s="55" customFormat="1" x14ac:dyDescent="0.2">
      <c r="A449" s="37"/>
      <c r="B449" s="62" t="s">
        <v>1344</v>
      </c>
      <c r="C449" s="170" t="s">
        <v>1345</v>
      </c>
      <c r="D449" s="170"/>
      <c r="E449" s="37"/>
      <c r="F449" s="170"/>
      <c r="G449" s="170"/>
      <c r="H449" s="244"/>
      <c r="I449" s="244"/>
      <c r="J449" s="244"/>
      <c r="K449" s="170"/>
      <c r="L449" s="170"/>
      <c r="M449" s="202">
        <v>1</v>
      </c>
      <c r="N449" s="516"/>
      <c r="O449" s="516"/>
      <c r="P449" s="516"/>
      <c r="Q449" s="318"/>
      <c r="R449" s="318"/>
      <c r="S449" s="318"/>
      <c r="T449" s="318"/>
      <c r="U449" s="126"/>
      <c r="V449" s="127"/>
      <c r="W449" s="127"/>
      <c r="X449" s="126"/>
      <c r="Y449" s="127"/>
      <c r="Z449" s="127"/>
      <c r="AA449" s="300">
        <v>0</v>
      </c>
      <c r="AC449" s="315">
        <v>1</v>
      </c>
      <c r="AE449" s="42"/>
      <c r="AF449" s="42"/>
    </row>
    <row r="450" spans="1:32" s="55" customFormat="1" x14ac:dyDescent="0.2">
      <c r="A450" s="37"/>
      <c r="B450" s="62" t="s">
        <v>1346</v>
      </c>
      <c r="C450" s="170" t="s">
        <v>126</v>
      </c>
      <c r="D450" s="170"/>
      <c r="E450" s="37">
        <v>0</v>
      </c>
      <c r="F450" s="170"/>
      <c r="G450" s="170"/>
      <c r="H450" s="244">
        <v>1</v>
      </c>
      <c r="I450" s="244"/>
      <c r="J450" s="245">
        <v>1</v>
      </c>
      <c r="K450" s="170">
        <v>8</v>
      </c>
      <c r="L450" s="170"/>
      <c r="M450" s="202">
        <v>1</v>
      </c>
      <c r="N450" s="516"/>
      <c r="O450" s="516"/>
      <c r="P450" s="516"/>
      <c r="Q450" s="318">
        <f>SUM(M450:M457)/K450</f>
        <v>0.875</v>
      </c>
      <c r="R450" s="318"/>
      <c r="S450" s="318"/>
      <c r="T450" s="318"/>
      <c r="U450" s="126"/>
      <c r="V450" s="127"/>
      <c r="W450" s="127"/>
      <c r="X450" s="126"/>
      <c r="Y450" s="127"/>
      <c r="Z450" s="127"/>
      <c r="AA450" s="300">
        <v>0</v>
      </c>
      <c r="AC450" s="315">
        <v>0</v>
      </c>
      <c r="AE450" s="42"/>
      <c r="AF450" s="42"/>
    </row>
    <row r="451" spans="1:32" s="55" customFormat="1" x14ac:dyDescent="0.2">
      <c r="A451" s="37"/>
      <c r="B451" s="62" t="s">
        <v>1347</v>
      </c>
      <c r="C451" s="170" t="s">
        <v>126</v>
      </c>
      <c r="D451" s="170"/>
      <c r="E451" s="37">
        <v>0</v>
      </c>
      <c r="F451" s="170"/>
      <c r="G451" s="170"/>
      <c r="H451" s="244"/>
      <c r="I451" s="244"/>
      <c r="J451" s="243"/>
      <c r="K451" s="170"/>
      <c r="L451" s="170"/>
      <c r="M451" s="202">
        <v>0</v>
      </c>
      <c r="N451" s="516"/>
      <c r="O451" s="516"/>
      <c r="P451" s="516"/>
      <c r="Q451" s="318"/>
      <c r="R451" s="318"/>
      <c r="S451" s="318"/>
      <c r="T451" s="318"/>
      <c r="U451" s="126"/>
      <c r="V451" s="127"/>
      <c r="W451" s="127"/>
      <c r="X451" s="126"/>
      <c r="Y451" s="127"/>
      <c r="Z451" s="127"/>
      <c r="AA451" s="300">
        <v>0</v>
      </c>
      <c r="AC451" s="315">
        <v>0</v>
      </c>
      <c r="AE451" s="42"/>
      <c r="AF451" s="42"/>
    </row>
    <row r="452" spans="1:32" s="55" customFormat="1" x14ac:dyDescent="0.2">
      <c r="A452" s="37"/>
      <c r="B452" s="62" t="s">
        <v>1348</v>
      </c>
      <c r="C452" s="170" t="s">
        <v>126</v>
      </c>
      <c r="D452" s="170"/>
      <c r="E452" s="37"/>
      <c r="F452" s="170"/>
      <c r="G452" s="170"/>
      <c r="H452" s="244"/>
      <c r="I452" s="244"/>
      <c r="J452" s="243"/>
      <c r="K452" s="170"/>
      <c r="L452" s="170"/>
      <c r="M452" s="202">
        <v>1</v>
      </c>
      <c r="N452" s="516"/>
      <c r="O452" s="516"/>
      <c r="P452" s="516"/>
      <c r="Q452" s="318"/>
      <c r="R452" s="318"/>
      <c r="S452" s="318"/>
      <c r="T452" s="318"/>
      <c r="U452" s="126"/>
      <c r="V452" s="127"/>
      <c r="AA452" s="300">
        <v>0</v>
      </c>
      <c r="AC452" s="315">
        <v>1</v>
      </c>
      <c r="AE452" s="42"/>
      <c r="AF452" s="42"/>
    </row>
    <row r="453" spans="1:32" s="55" customFormat="1" x14ac:dyDescent="0.2">
      <c r="A453" s="37"/>
      <c r="B453" s="62" t="s">
        <v>1349</v>
      </c>
      <c r="C453" s="170" t="s">
        <v>126</v>
      </c>
      <c r="D453" s="170"/>
      <c r="E453" s="37"/>
      <c r="F453" s="170"/>
      <c r="G453" s="170"/>
      <c r="H453" s="244"/>
      <c r="I453" s="244"/>
      <c r="J453" s="243"/>
      <c r="K453" s="170"/>
      <c r="L453" s="170"/>
      <c r="M453" s="538">
        <v>1</v>
      </c>
      <c r="N453" s="516"/>
      <c r="O453" s="516"/>
      <c r="P453" s="516"/>
      <c r="Q453" s="318"/>
      <c r="R453" s="318"/>
      <c r="S453" s="318"/>
      <c r="T453" s="318"/>
      <c r="U453" s="126"/>
      <c r="V453" s="127"/>
      <c r="W453" s="127" t="s">
        <v>94</v>
      </c>
      <c r="X453" s="126"/>
      <c r="Y453" s="127"/>
      <c r="Z453" s="127" t="s">
        <v>94</v>
      </c>
      <c r="AA453" s="300">
        <v>0</v>
      </c>
      <c r="AC453" s="315">
        <v>0</v>
      </c>
      <c r="AE453" s="42"/>
      <c r="AF453" s="42"/>
    </row>
    <row r="454" spans="1:32" s="55" customFormat="1" x14ac:dyDescent="0.2">
      <c r="A454" s="37"/>
      <c r="B454" s="62" t="s">
        <v>1350</v>
      </c>
      <c r="C454" s="170" t="s">
        <v>126</v>
      </c>
      <c r="D454" s="170"/>
      <c r="E454" s="37"/>
      <c r="F454" s="170"/>
      <c r="G454" s="170"/>
      <c r="H454" s="244"/>
      <c r="I454" s="244"/>
      <c r="J454" s="243"/>
      <c r="K454" s="170"/>
      <c r="L454" s="170"/>
      <c r="M454" s="202">
        <v>1</v>
      </c>
      <c r="N454" s="516"/>
      <c r="O454" s="516"/>
      <c r="P454" s="516"/>
      <c r="Q454" s="318"/>
      <c r="R454" s="318"/>
      <c r="S454" s="318"/>
      <c r="T454" s="318"/>
      <c r="U454" s="126"/>
      <c r="V454" s="127"/>
      <c r="W454" s="127"/>
      <c r="X454" s="126"/>
      <c r="Y454" s="127"/>
      <c r="Z454" s="127"/>
      <c r="AA454" s="300">
        <v>0</v>
      </c>
      <c r="AC454" s="315">
        <v>1</v>
      </c>
      <c r="AE454" s="42"/>
      <c r="AF454" s="42"/>
    </row>
    <row r="455" spans="1:32" s="55" customFormat="1" x14ac:dyDescent="0.2">
      <c r="A455" s="37"/>
      <c r="B455" s="62" t="s">
        <v>1351</v>
      </c>
      <c r="C455" s="170" t="s">
        <v>126</v>
      </c>
      <c r="D455" s="170"/>
      <c r="E455" s="37"/>
      <c r="F455" s="170"/>
      <c r="G455" s="170"/>
      <c r="H455" s="244"/>
      <c r="I455" s="244"/>
      <c r="J455" s="243"/>
      <c r="K455" s="170"/>
      <c r="L455" s="170"/>
      <c r="M455" s="202">
        <v>1</v>
      </c>
      <c r="N455" s="516"/>
      <c r="O455" s="516"/>
      <c r="P455" s="516"/>
      <c r="Q455" s="318"/>
      <c r="R455" s="318"/>
      <c r="S455" s="318"/>
      <c r="T455" s="318"/>
      <c r="U455" s="126"/>
      <c r="V455" s="127"/>
      <c r="W455" s="127"/>
      <c r="X455" s="126"/>
      <c r="Y455" s="127"/>
      <c r="Z455" s="127"/>
      <c r="AA455" s="300">
        <v>0</v>
      </c>
      <c r="AC455" s="315">
        <v>0</v>
      </c>
      <c r="AE455" s="42"/>
      <c r="AF455" s="42"/>
    </row>
    <row r="456" spans="1:32" s="55" customFormat="1" x14ac:dyDescent="0.2">
      <c r="A456" s="37"/>
      <c r="B456" s="62" t="s">
        <v>1352</v>
      </c>
      <c r="C456" s="170" t="s">
        <v>126</v>
      </c>
      <c r="D456" s="170"/>
      <c r="E456" s="37"/>
      <c r="F456" s="170"/>
      <c r="G456" s="170"/>
      <c r="H456" s="244"/>
      <c r="I456" s="244"/>
      <c r="J456" s="243"/>
      <c r="K456" s="170"/>
      <c r="L456" s="170"/>
      <c r="M456" s="202">
        <v>1</v>
      </c>
      <c r="N456" s="516"/>
      <c r="O456" s="516"/>
      <c r="P456" s="516"/>
      <c r="Q456" s="318"/>
      <c r="R456" s="318"/>
      <c r="S456" s="318"/>
      <c r="T456" s="318"/>
      <c r="U456" s="126"/>
      <c r="V456" s="127"/>
      <c r="W456" s="127"/>
      <c r="X456" s="126"/>
      <c r="Y456" s="127"/>
      <c r="Z456" s="127"/>
      <c r="AA456" s="300">
        <v>0</v>
      </c>
      <c r="AC456" s="202">
        <v>1</v>
      </c>
      <c r="AE456" s="42"/>
      <c r="AF456" s="42"/>
    </row>
    <row r="457" spans="1:32" s="55" customFormat="1" x14ac:dyDescent="0.2">
      <c r="A457" s="37"/>
      <c r="B457" s="62" t="s">
        <v>1353</v>
      </c>
      <c r="C457" s="170" t="s">
        <v>126</v>
      </c>
      <c r="D457" s="170"/>
      <c r="E457" s="37"/>
      <c r="F457" s="170"/>
      <c r="G457" s="170"/>
      <c r="H457" s="244"/>
      <c r="I457" s="244"/>
      <c r="J457" s="243"/>
      <c r="K457" s="170"/>
      <c r="L457" s="170"/>
      <c r="M457" s="202">
        <v>1</v>
      </c>
      <c r="N457" s="516"/>
      <c r="O457" s="516"/>
      <c r="P457" s="516"/>
      <c r="Q457" s="318"/>
      <c r="R457" s="318"/>
      <c r="S457" s="318"/>
      <c r="T457" s="318"/>
      <c r="U457" s="126"/>
      <c r="V457" s="127"/>
      <c r="W457" s="127"/>
      <c r="X457" s="126"/>
      <c r="Y457" s="127"/>
      <c r="Z457" s="127"/>
      <c r="AA457" s="300">
        <v>0</v>
      </c>
      <c r="AC457" s="202">
        <v>1</v>
      </c>
      <c r="AE457" s="42"/>
      <c r="AF457" s="42"/>
    </row>
    <row r="458" spans="1:32" s="273" customFormat="1" x14ac:dyDescent="0.2">
      <c r="A458" s="273" t="s">
        <v>40</v>
      </c>
      <c r="B458" s="274" t="s">
        <v>41</v>
      </c>
      <c r="C458" s="275"/>
      <c r="D458" s="275"/>
      <c r="F458" s="275">
        <v>1</v>
      </c>
      <c r="G458" s="285">
        <v>1</v>
      </c>
      <c r="H458" s="292">
        <f>SUM(H459:H502)</f>
        <v>8</v>
      </c>
      <c r="I458" s="294">
        <f>+J458/H458</f>
        <v>1</v>
      </c>
      <c r="J458" s="292">
        <f>SUM(J459:J502)</f>
        <v>8</v>
      </c>
      <c r="K458" s="292">
        <f>SUM(K459:K502)</f>
        <v>40</v>
      </c>
      <c r="L458" s="291">
        <f>+M458/K458</f>
        <v>0.82499999999999996</v>
      </c>
      <c r="M458" s="292">
        <f>SUM(M459:M502)</f>
        <v>33</v>
      </c>
      <c r="N458" s="617">
        <f>AVERAGE(M459:M502)</f>
        <v>0.7857142857142857</v>
      </c>
      <c r="O458" s="617">
        <f>_xlfn.STDEV.P(M459:M502)</f>
        <v>0.41032590332414487</v>
      </c>
      <c r="P458" s="559">
        <f>STDEV(M459:M502)/(SQRT(COUNT(M459:M502)))</f>
        <v>6.4082139922472206E-2</v>
      </c>
      <c r="Q458" s="373">
        <f>((Q459*K459)+(Q473*K473)+(Q477*K477)+(Q485*K485)+(Q488*K488)+(Q495*K495)+(Q498*K498)+(Q501*K501))/K458</f>
        <v>0.75</v>
      </c>
      <c r="R458" s="373"/>
      <c r="S458" s="373">
        <f>_xlfn.STDEV.P(R459:R466)</f>
        <v>0.20416211122225944</v>
      </c>
      <c r="T458" s="373">
        <f>+T467</f>
        <v>7.7166024776572514E-2</v>
      </c>
      <c r="U458" s="277">
        <f>COUNTA(U459:U502)</f>
        <v>2</v>
      </c>
      <c r="V458" s="277">
        <f t="shared" ref="V458:Z458" si="7">COUNTA(V459:V502)</f>
        <v>0</v>
      </c>
      <c r="W458" s="277">
        <f t="shared" si="7"/>
        <v>3</v>
      </c>
      <c r="X458" s="277">
        <f t="shared" si="7"/>
        <v>0</v>
      </c>
      <c r="Y458" s="277">
        <f t="shared" si="7"/>
        <v>0</v>
      </c>
      <c r="Z458" s="277">
        <f t="shared" si="7"/>
        <v>0</v>
      </c>
      <c r="AA458" s="316">
        <f>SUM(AA501:AA502)/K458</f>
        <v>0</v>
      </c>
      <c r="AC458" s="287">
        <v>1</v>
      </c>
      <c r="AD458" s="284">
        <f>+U458/M458</f>
        <v>6.0606060606060608E-2</v>
      </c>
      <c r="AE458" s="333"/>
      <c r="AF458" s="333"/>
    </row>
    <row r="459" spans="1:32" s="37" customFormat="1" x14ac:dyDescent="0.2">
      <c r="B459" s="62" t="s">
        <v>1354</v>
      </c>
      <c r="C459" s="170"/>
      <c r="D459" s="170"/>
      <c r="F459" s="170"/>
      <c r="G459" s="240"/>
      <c r="H459" s="309">
        <v>1</v>
      </c>
      <c r="I459" s="310"/>
      <c r="J459" s="311">
        <v>1</v>
      </c>
      <c r="K459" s="311">
        <v>15</v>
      </c>
      <c r="L459" s="312"/>
      <c r="M459" s="315">
        <v>1</v>
      </c>
      <c r="N459" s="517"/>
      <c r="O459" s="517"/>
      <c r="P459" s="517"/>
      <c r="Q459" s="371">
        <f>SUM(M459:M472)/SUM(K459:K472)</f>
        <v>0.66666666666666663</v>
      </c>
      <c r="R459" s="371">
        <f>+Q459</f>
        <v>0.66666666666666663</v>
      </c>
      <c r="S459" s="371"/>
      <c r="T459" s="371"/>
      <c r="U459" s="126"/>
      <c r="V459" s="127"/>
      <c r="W459" s="127"/>
      <c r="X459" s="126"/>
      <c r="Y459" s="127"/>
      <c r="Z459" s="127"/>
      <c r="AA459" s="314"/>
      <c r="AC459" s="202">
        <v>1</v>
      </c>
      <c r="AE459" s="114"/>
      <c r="AF459" s="114"/>
    </row>
    <row r="460" spans="1:32" s="37" customFormat="1" x14ac:dyDescent="0.2">
      <c r="B460" s="62" t="s">
        <v>1355</v>
      </c>
      <c r="C460" s="170"/>
      <c r="D460" s="170"/>
      <c r="F460" s="170"/>
      <c r="G460" s="240"/>
      <c r="H460" s="311"/>
      <c r="I460" s="310"/>
      <c r="J460" s="311"/>
      <c r="K460" s="311"/>
      <c r="L460" s="312"/>
      <c r="M460" s="315">
        <v>0</v>
      </c>
      <c r="N460" s="517"/>
      <c r="O460" s="517"/>
      <c r="P460" s="517"/>
      <c r="Q460" s="371"/>
      <c r="R460" s="371">
        <f>+Q473</f>
        <v>0.75</v>
      </c>
      <c r="S460" s="371"/>
      <c r="T460" s="371"/>
      <c r="U460" s="126"/>
      <c r="V460" s="127"/>
      <c r="W460" s="127"/>
      <c r="X460" s="126"/>
      <c r="Y460" s="127"/>
      <c r="Z460" s="127"/>
      <c r="AA460" s="314"/>
      <c r="AC460" s="202">
        <v>1</v>
      </c>
      <c r="AE460" s="114"/>
      <c r="AF460" s="114"/>
    </row>
    <row r="461" spans="1:32" s="37" customFormat="1" x14ac:dyDescent="0.2">
      <c r="B461" s="62" t="s">
        <v>1356</v>
      </c>
      <c r="C461" s="170"/>
      <c r="D461" s="170"/>
      <c r="F461" s="170"/>
      <c r="G461" s="240"/>
      <c r="H461" s="311"/>
      <c r="I461" s="310"/>
      <c r="J461" s="311"/>
      <c r="K461" s="311"/>
      <c r="L461" s="312"/>
      <c r="M461" s="315">
        <v>0</v>
      </c>
      <c r="N461" s="517"/>
      <c r="O461" s="517"/>
      <c r="P461" s="517"/>
      <c r="Q461" s="371"/>
      <c r="R461" s="371">
        <f>+Q488</f>
        <v>0.42857142857142855</v>
      </c>
      <c r="S461" s="371"/>
      <c r="T461" s="371"/>
      <c r="U461" s="126"/>
      <c r="V461" s="127"/>
      <c r="W461" s="127"/>
      <c r="X461" s="126"/>
      <c r="Y461" s="127"/>
      <c r="Z461" s="127"/>
      <c r="AA461" s="314"/>
      <c r="AC461" s="202">
        <v>1</v>
      </c>
      <c r="AE461" s="114"/>
      <c r="AF461" s="114"/>
    </row>
    <row r="462" spans="1:32" s="37" customFormat="1" x14ac:dyDescent="0.2">
      <c r="B462" s="62" t="s">
        <v>1357</v>
      </c>
      <c r="C462" s="170"/>
      <c r="D462" s="170"/>
      <c r="F462" s="170"/>
      <c r="G462" s="240"/>
      <c r="H462" s="311"/>
      <c r="I462" s="310"/>
      <c r="J462" s="311"/>
      <c r="K462" s="311" t="s">
        <v>27</v>
      </c>
      <c r="L462" s="312"/>
      <c r="M462" s="315">
        <v>1</v>
      </c>
      <c r="N462" s="517"/>
      <c r="O462" s="517"/>
      <c r="P462" s="517"/>
      <c r="Q462" s="371"/>
      <c r="R462" s="371">
        <f>+Q501</f>
        <v>1</v>
      </c>
      <c r="S462" s="371"/>
      <c r="T462" s="371"/>
      <c r="U462" s="126"/>
      <c r="V462" s="127"/>
      <c r="W462" s="127"/>
      <c r="X462" s="126"/>
      <c r="Y462" s="127"/>
      <c r="Z462" s="127"/>
      <c r="AA462" s="314"/>
      <c r="AC462" s="202">
        <v>1</v>
      </c>
      <c r="AE462" s="114"/>
      <c r="AF462" s="114"/>
    </row>
    <row r="463" spans="1:32" s="37" customFormat="1" x14ac:dyDescent="0.2">
      <c r="B463" s="62" t="s">
        <v>1358</v>
      </c>
      <c r="C463" s="170"/>
      <c r="D463" s="170"/>
      <c r="F463" s="170"/>
      <c r="G463" s="240"/>
      <c r="H463" s="311"/>
      <c r="I463" s="310"/>
      <c r="J463" s="311"/>
      <c r="K463" s="311"/>
      <c r="L463" s="312"/>
      <c r="M463" s="315">
        <v>0</v>
      </c>
      <c r="N463" s="517"/>
      <c r="O463" s="517"/>
      <c r="P463" s="517"/>
      <c r="Q463" s="371"/>
      <c r="R463" s="318">
        <f>+Q477</f>
        <v>1</v>
      </c>
      <c r="S463" s="318"/>
      <c r="T463" s="380" t="s">
        <v>27</v>
      </c>
      <c r="U463" s="126"/>
      <c r="V463" s="127"/>
      <c r="W463" s="127"/>
      <c r="X463" s="126"/>
      <c r="Y463" s="127"/>
      <c r="Z463" s="127"/>
      <c r="AA463" s="314"/>
      <c r="AC463" s="202">
        <v>1</v>
      </c>
      <c r="AE463" s="114"/>
      <c r="AF463" s="114"/>
    </row>
    <row r="464" spans="1:32" s="37" customFormat="1" x14ac:dyDescent="0.2">
      <c r="B464" s="62" t="s">
        <v>1359</v>
      </c>
      <c r="C464" s="170"/>
      <c r="D464" s="170"/>
      <c r="F464" s="170"/>
      <c r="G464" s="240"/>
      <c r="H464" s="311"/>
      <c r="I464" s="310"/>
      <c r="J464" s="311"/>
      <c r="K464" s="311"/>
      <c r="L464" s="312"/>
      <c r="M464" s="315">
        <v>1</v>
      </c>
      <c r="N464" s="517"/>
      <c r="O464" s="517"/>
      <c r="P464" s="517"/>
      <c r="Q464" s="371"/>
      <c r="R464" s="318">
        <f>+Q485</f>
        <v>1</v>
      </c>
      <c r="S464" s="318"/>
      <c r="T464" s="380" t="s">
        <v>27</v>
      </c>
      <c r="U464" s="126"/>
      <c r="V464" s="127"/>
      <c r="W464" s="127"/>
      <c r="X464" s="126"/>
      <c r="Y464" s="127"/>
      <c r="Z464" s="127"/>
      <c r="AA464" s="314"/>
      <c r="AC464" s="202">
        <v>1</v>
      </c>
      <c r="AE464" s="114"/>
      <c r="AF464" s="114"/>
    </row>
    <row r="465" spans="2:32" s="37" customFormat="1" x14ac:dyDescent="0.2">
      <c r="B465" s="62" t="s">
        <v>1360</v>
      </c>
      <c r="C465" s="170"/>
      <c r="D465" s="170"/>
      <c r="F465" s="170"/>
      <c r="G465" s="240"/>
      <c r="K465" s="242" t="s">
        <v>27</v>
      </c>
      <c r="L465" s="312"/>
      <c r="M465" s="315">
        <v>0</v>
      </c>
      <c r="N465" s="517"/>
      <c r="O465" s="517"/>
      <c r="P465" s="517"/>
      <c r="Q465" s="371"/>
      <c r="R465" s="318">
        <f>+Q495</f>
        <v>1</v>
      </c>
      <c r="S465" s="318"/>
      <c r="T465" s="380" t="s">
        <v>27</v>
      </c>
      <c r="U465" s="126"/>
      <c r="V465" s="127"/>
      <c r="W465" s="127"/>
      <c r="X465" s="126"/>
      <c r="Y465" s="127"/>
      <c r="Z465" s="127"/>
      <c r="AA465" s="314"/>
      <c r="AC465" s="202">
        <v>1</v>
      </c>
      <c r="AE465" s="114"/>
      <c r="AF465" s="114"/>
    </row>
    <row r="466" spans="2:32" s="37" customFormat="1" x14ac:dyDescent="0.2">
      <c r="B466" s="62" t="s">
        <v>1361</v>
      </c>
      <c r="C466" s="170"/>
      <c r="D466" s="170"/>
      <c r="F466" s="170"/>
      <c r="G466" s="240"/>
      <c r="H466" s="309"/>
      <c r="I466" s="310"/>
      <c r="J466" s="311"/>
      <c r="K466" s="242"/>
      <c r="L466" s="312"/>
      <c r="M466" s="202">
        <v>1</v>
      </c>
      <c r="N466" s="516"/>
      <c r="O466" s="516"/>
      <c r="P466" s="516"/>
      <c r="Q466" s="371"/>
      <c r="R466" s="371">
        <f>+Q498</f>
        <v>1</v>
      </c>
      <c r="S466" s="371"/>
      <c r="T466" s="371"/>
      <c r="U466" s="126"/>
      <c r="V466" s="127"/>
      <c r="W466" s="127"/>
      <c r="X466" s="126"/>
      <c r="Y466" s="127"/>
      <c r="Z466" s="127"/>
      <c r="AA466" s="314"/>
      <c r="AC466" s="202">
        <v>0</v>
      </c>
      <c r="AE466" s="114"/>
      <c r="AF466" s="114"/>
    </row>
    <row r="467" spans="2:32" s="37" customFormat="1" x14ac:dyDescent="0.2">
      <c r="B467" s="62" t="s">
        <v>1362</v>
      </c>
      <c r="C467" s="170"/>
      <c r="D467" s="170"/>
      <c r="F467" s="170"/>
      <c r="G467" s="240"/>
      <c r="H467" s="309"/>
      <c r="I467" s="310"/>
      <c r="J467" s="311"/>
      <c r="K467" s="242"/>
      <c r="L467" s="312"/>
      <c r="M467" s="202">
        <v>1</v>
      </c>
      <c r="N467" s="516"/>
      <c r="O467" s="516"/>
      <c r="P467" s="516"/>
      <c r="Q467" s="371"/>
      <c r="R467" s="383">
        <f>AVERAGE(R459:R466)</f>
        <v>0.85565476190476186</v>
      </c>
      <c r="S467" s="383"/>
      <c r="T467" s="380">
        <f>STDEV(R459:R466)/(SQRT(COUNT(R459:R466)))</f>
        <v>7.7166024776572514E-2</v>
      </c>
      <c r="U467" s="126"/>
      <c r="V467" s="127"/>
      <c r="W467" s="127"/>
      <c r="X467" s="126"/>
      <c r="Y467" s="127"/>
      <c r="Z467" s="127"/>
      <c r="AA467" s="314"/>
      <c r="AC467" s="202">
        <v>1</v>
      </c>
      <c r="AE467" s="114"/>
      <c r="AF467" s="114"/>
    </row>
    <row r="468" spans="2:32" s="37" customFormat="1" x14ac:dyDescent="0.2">
      <c r="B468" s="62" t="s">
        <v>1363</v>
      </c>
      <c r="C468" s="170"/>
      <c r="D468" s="170"/>
      <c r="F468" s="170"/>
      <c r="G468" s="240"/>
      <c r="H468" s="309"/>
      <c r="I468" s="310"/>
      <c r="J468" s="311"/>
      <c r="K468" s="242" t="s">
        <v>27</v>
      </c>
      <c r="L468" s="312"/>
      <c r="M468" s="202">
        <v>1</v>
      </c>
      <c r="N468" s="516"/>
      <c r="O468" s="516"/>
      <c r="P468" s="516"/>
      <c r="Q468" s="371"/>
      <c r="R468" s="371"/>
      <c r="S468" s="371"/>
      <c r="T468" s="371"/>
      <c r="U468" s="126"/>
      <c r="V468" s="127"/>
      <c r="W468" s="127"/>
      <c r="X468" s="126"/>
      <c r="Y468" s="127"/>
      <c r="Z468" s="127"/>
      <c r="AA468" s="314"/>
      <c r="AC468" s="202">
        <v>1</v>
      </c>
      <c r="AE468" s="114"/>
      <c r="AF468" s="114"/>
    </row>
    <row r="469" spans="2:32" s="37" customFormat="1" x14ac:dyDescent="0.2">
      <c r="B469" s="62" t="s">
        <v>1364</v>
      </c>
      <c r="C469" s="170"/>
      <c r="D469" s="170"/>
      <c r="F469" s="170"/>
      <c r="G469" s="240"/>
      <c r="H469" s="309"/>
      <c r="I469" s="310"/>
      <c r="J469" s="311"/>
      <c r="K469" s="242"/>
      <c r="L469" s="312"/>
      <c r="M469" s="202">
        <v>1</v>
      </c>
      <c r="N469" s="516"/>
      <c r="O469" s="516"/>
      <c r="P469" s="516"/>
      <c r="Q469" s="371"/>
      <c r="R469" s="371"/>
      <c r="S469" s="371"/>
      <c r="T469" s="371"/>
      <c r="U469" s="126"/>
      <c r="V469" s="127"/>
      <c r="W469" s="127"/>
      <c r="X469" s="126"/>
      <c r="Y469" s="127"/>
      <c r="Z469" s="127"/>
      <c r="AA469" s="314"/>
      <c r="AC469" s="202">
        <v>1</v>
      </c>
      <c r="AE469" s="114"/>
      <c r="AF469" s="114"/>
    </row>
    <row r="470" spans="2:32" s="37" customFormat="1" x14ac:dyDescent="0.2">
      <c r="B470" s="62" t="s">
        <v>1365</v>
      </c>
      <c r="C470" s="170"/>
      <c r="D470" s="170"/>
      <c r="F470" s="170"/>
      <c r="G470" s="240"/>
      <c r="H470" s="309"/>
      <c r="I470" s="310"/>
      <c r="J470" s="311"/>
      <c r="K470" s="242"/>
      <c r="L470" s="312"/>
      <c r="M470" s="202">
        <v>1</v>
      </c>
      <c r="N470" s="516"/>
      <c r="O470" s="516"/>
      <c r="P470" s="516"/>
      <c r="Q470" s="371"/>
      <c r="R470" s="371"/>
      <c r="S470" s="371"/>
      <c r="T470" s="371"/>
      <c r="U470" s="126"/>
      <c r="V470" s="127"/>
      <c r="W470" s="127"/>
      <c r="X470" s="126"/>
      <c r="Y470" s="127"/>
      <c r="Z470" s="127"/>
      <c r="AA470" s="314"/>
      <c r="AC470" s="202">
        <v>1</v>
      </c>
      <c r="AE470" s="114"/>
      <c r="AF470" s="114"/>
    </row>
    <row r="471" spans="2:32" s="37" customFormat="1" x14ac:dyDescent="0.2">
      <c r="B471" s="62" t="s">
        <v>1366</v>
      </c>
      <c r="C471" s="170"/>
      <c r="D471" s="170"/>
      <c r="F471" s="170"/>
      <c r="G471" s="240"/>
      <c r="H471" s="309"/>
      <c r="I471" s="310"/>
      <c r="J471" s="311"/>
      <c r="K471" s="242"/>
      <c r="L471" s="312"/>
      <c r="M471" s="202">
        <v>1</v>
      </c>
      <c r="N471" s="516"/>
      <c r="O471" s="516"/>
      <c r="P471" s="516"/>
      <c r="Q471" s="371"/>
      <c r="R471" s="371"/>
      <c r="S471" s="371"/>
      <c r="T471" s="371"/>
      <c r="U471" s="126"/>
      <c r="V471" s="127"/>
      <c r="W471" s="127"/>
      <c r="X471" s="126"/>
      <c r="Y471" s="127"/>
      <c r="Z471" s="127"/>
      <c r="AA471" s="314"/>
      <c r="AC471" s="202">
        <v>1</v>
      </c>
      <c r="AE471" s="114"/>
      <c r="AF471" s="114"/>
    </row>
    <row r="472" spans="2:32" s="37" customFormat="1" x14ac:dyDescent="0.2">
      <c r="B472" s="62" t="s">
        <v>1367</v>
      </c>
      <c r="C472" s="170"/>
      <c r="D472" s="170"/>
      <c r="F472" s="170"/>
      <c r="G472" s="240"/>
      <c r="H472" s="309"/>
      <c r="I472" s="310"/>
      <c r="J472" s="311"/>
      <c r="K472" s="242"/>
      <c r="L472" s="312"/>
      <c r="M472" s="202">
        <v>1</v>
      </c>
      <c r="N472" s="516"/>
      <c r="O472" s="516"/>
      <c r="P472" s="516"/>
      <c r="Q472" s="371"/>
      <c r="R472" s="371"/>
      <c r="S472" s="371"/>
      <c r="T472" s="371"/>
      <c r="U472" s="126"/>
      <c r="V472" s="127"/>
      <c r="W472" s="127"/>
      <c r="X472" s="126"/>
      <c r="Y472" s="127"/>
      <c r="Z472" s="127"/>
      <c r="AA472" s="314"/>
      <c r="AC472" s="202">
        <v>1</v>
      </c>
      <c r="AE472" s="114"/>
      <c r="AF472" s="114"/>
    </row>
    <row r="473" spans="2:32" s="37" customFormat="1" x14ac:dyDescent="0.2">
      <c r="B473" s="62" t="s">
        <v>1368</v>
      </c>
      <c r="C473" s="170"/>
      <c r="D473" s="170"/>
      <c r="F473" s="170"/>
      <c r="G473" s="240"/>
      <c r="H473" s="309">
        <v>1</v>
      </c>
      <c r="I473" s="310"/>
      <c r="J473" s="311">
        <v>1</v>
      </c>
      <c r="K473" s="242">
        <v>4</v>
      </c>
      <c r="L473" s="312"/>
      <c r="M473" s="202">
        <v>1</v>
      </c>
      <c r="N473" s="516"/>
      <c r="O473" s="516"/>
      <c r="P473" s="516"/>
      <c r="Q473" s="371">
        <v>0.75</v>
      </c>
      <c r="R473" s="371"/>
      <c r="S473" s="371"/>
      <c r="T473" s="371"/>
      <c r="U473" s="126"/>
      <c r="V473" s="127"/>
      <c r="W473" s="127"/>
      <c r="X473" s="126"/>
      <c r="Y473" s="127"/>
      <c r="Z473" s="127"/>
      <c r="AA473" s="314"/>
      <c r="AC473" s="202">
        <v>1</v>
      </c>
      <c r="AE473" s="114"/>
      <c r="AF473" s="114"/>
    </row>
    <row r="474" spans="2:32" s="37" customFormat="1" x14ac:dyDescent="0.2">
      <c r="B474" s="62" t="s">
        <v>1369</v>
      </c>
      <c r="C474" s="170"/>
      <c r="D474" s="170"/>
      <c r="F474" s="170"/>
      <c r="G474" s="240"/>
      <c r="H474" s="309"/>
      <c r="I474" s="310"/>
      <c r="J474" s="311"/>
      <c r="K474" s="242"/>
      <c r="L474" s="312"/>
      <c r="M474" s="202">
        <v>1</v>
      </c>
      <c r="N474" s="516"/>
      <c r="O474" s="516"/>
      <c r="P474" s="516"/>
      <c r="Q474" s="371"/>
      <c r="R474" s="371"/>
      <c r="S474" s="371"/>
      <c r="T474" s="371"/>
      <c r="U474" s="126"/>
      <c r="V474" s="127"/>
      <c r="W474" s="127"/>
      <c r="X474" s="126"/>
      <c r="Y474" s="127"/>
      <c r="Z474" s="127"/>
      <c r="AA474" s="314"/>
      <c r="AC474" s="202">
        <v>1</v>
      </c>
      <c r="AE474" s="114"/>
      <c r="AF474" s="114"/>
    </row>
    <row r="475" spans="2:32" s="37" customFormat="1" x14ac:dyDescent="0.2">
      <c r="B475" s="62" t="s">
        <v>1370</v>
      </c>
      <c r="C475" s="170"/>
      <c r="D475" s="170"/>
      <c r="F475" s="170"/>
      <c r="G475" s="240"/>
      <c r="H475" s="309"/>
      <c r="I475" s="310"/>
      <c r="J475" s="311"/>
      <c r="K475" s="242"/>
      <c r="L475" s="312"/>
      <c r="M475" s="202">
        <v>1</v>
      </c>
      <c r="N475" s="516"/>
      <c r="O475" s="516"/>
      <c r="P475" s="516"/>
      <c r="Q475" s="371"/>
      <c r="R475" s="371"/>
      <c r="S475" s="371"/>
      <c r="T475" s="371"/>
      <c r="U475" s="126"/>
      <c r="V475" s="127"/>
      <c r="W475" s="127"/>
      <c r="X475" s="126"/>
      <c r="Y475" s="127"/>
      <c r="Z475" s="127"/>
      <c r="AA475" s="314"/>
      <c r="AC475" s="202">
        <v>1</v>
      </c>
      <c r="AE475" s="114"/>
      <c r="AF475" s="114"/>
    </row>
    <row r="476" spans="2:32" s="37" customFormat="1" x14ac:dyDescent="0.2">
      <c r="B476" s="62" t="s">
        <v>1371</v>
      </c>
      <c r="C476" s="170"/>
      <c r="D476" s="170"/>
      <c r="F476" s="170"/>
      <c r="G476" s="240"/>
      <c r="H476" s="309"/>
      <c r="I476" s="310"/>
      <c r="J476" s="311"/>
      <c r="K476" s="242" t="s">
        <v>27</v>
      </c>
      <c r="L476" s="312"/>
      <c r="M476" s="202">
        <v>0</v>
      </c>
      <c r="N476" s="516"/>
      <c r="O476" s="516"/>
      <c r="P476" s="516"/>
      <c r="Q476" s="371"/>
      <c r="R476" s="371"/>
      <c r="S476" s="371"/>
      <c r="T476" s="371"/>
      <c r="U476" s="126"/>
      <c r="V476" s="127"/>
      <c r="W476" s="127"/>
      <c r="X476" s="126"/>
      <c r="Y476" s="127"/>
      <c r="Z476" s="127"/>
      <c r="AA476" s="314"/>
      <c r="AC476" s="202">
        <v>1</v>
      </c>
      <c r="AE476" s="114"/>
      <c r="AF476" s="114"/>
    </row>
    <row r="477" spans="2:32" s="37" customFormat="1" x14ac:dyDescent="0.2">
      <c r="B477" s="62" t="s">
        <v>1695</v>
      </c>
      <c r="C477" s="170"/>
      <c r="D477" s="170"/>
      <c r="F477" s="170"/>
      <c r="G477" s="240"/>
      <c r="H477" s="309">
        <v>1</v>
      </c>
      <c r="I477" s="310"/>
      <c r="J477" s="311">
        <v>1</v>
      </c>
      <c r="K477" s="242">
        <v>6</v>
      </c>
      <c r="L477" s="312"/>
      <c r="M477" s="202">
        <v>1</v>
      </c>
      <c r="N477" s="516"/>
      <c r="O477" s="516"/>
      <c r="P477" s="516"/>
      <c r="Q477" s="371">
        <v>1</v>
      </c>
      <c r="R477" s="371"/>
      <c r="S477" s="371"/>
      <c r="T477" s="371"/>
      <c r="U477" s="126"/>
      <c r="V477" s="127"/>
      <c r="W477" s="127"/>
      <c r="X477" s="126"/>
      <c r="Y477" s="127"/>
      <c r="Z477" s="127"/>
      <c r="AA477" s="314"/>
      <c r="AC477" s="202">
        <v>0</v>
      </c>
      <c r="AE477" s="114"/>
      <c r="AF477" s="114"/>
    </row>
    <row r="478" spans="2:32" s="37" customFormat="1" x14ac:dyDescent="0.2">
      <c r="B478" s="62" t="s">
        <v>1696</v>
      </c>
      <c r="C478" s="170"/>
      <c r="D478" s="170"/>
      <c r="F478" s="170"/>
      <c r="G478" s="240"/>
      <c r="H478" s="309"/>
      <c r="I478" s="310"/>
      <c r="J478" s="311"/>
      <c r="K478" s="242"/>
      <c r="L478" s="312"/>
      <c r="M478" s="202">
        <v>1</v>
      </c>
      <c r="N478" s="516"/>
      <c r="O478" s="516"/>
      <c r="P478" s="516"/>
      <c r="Q478" s="371"/>
      <c r="R478" s="371"/>
      <c r="S478" s="371"/>
      <c r="T478" s="371"/>
      <c r="U478" s="126"/>
      <c r="V478" s="127"/>
      <c r="W478" s="127"/>
      <c r="X478" s="126"/>
      <c r="Y478" s="127"/>
      <c r="Z478" s="127"/>
      <c r="AA478" s="314"/>
      <c r="AC478" s="202">
        <v>0</v>
      </c>
      <c r="AE478" s="114"/>
      <c r="AF478" s="114"/>
    </row>
    <row r="479" spans="2:32" s="37" customFormat="1" x14ac:dyDescent="0.2">
      <c r="B479" s="62" t="s">
        <v>1697</v>
      </c>
      <c r="C479" s="170"/>
      <c r="D479" s="170"/>
      <c r="F479" s="170"/>
      <c r="G479" s="240"/>
      <c r="H479" s="309"/>
      <c r="I479" s="310"/>
      <c r="J479" s="311"/>
      <c r="K479" s="242"/>
      <c r="L479" s="312"/>
      <c r="M479" s="202">
        <v>1</v>
      </c>
      <c r="N479" s="516"/>
      <c r="O479" s="516"/>
      <c r="P479" s="516"/>
      <c r="Q479" s="371"/>
      <c r="R479" s="371"/>
      <c r="S479" s="371"/>
      <c r="T479" s="371"/>
      <c r="U479" s="126"/>
      <c r="V479" s="127"/>
      <c r="W479" s="127"/>
      <c r="X479" s="126"/>
      <c r="Y479" s="127"/>
      <c r="Z479" s="127"/>
      <c r="AA479" s="314"/>
      <c r="AC479" s="202">
        <v>1</v>
      </c>
      <c r="AE479" s="114"/>
      <c r="AF479" s="114"/>
    </row>
    <row r="480" spans="2:32" s="37" customFormat="1" x14ac:dyDescent="0.2">
      <c r="B480" s="62" t="s">
        <v>1693</v>
      </c>
      <c r="C480" s="170"/>
      <c r="D480" s="170"/>
      <c r="F480" s="170"/>
      <c r="G480" s="240"/>
      <c r="H480" s="309"/>
      <c r="I480" s="310"/>
      <c r="J480" s="311"/>
      <c r="K480" s="242"/>
      <c r="L480" s="312"/>
      <c r="M480" s="202" t="s">
        <v>1698</v>
      </c>
      <c r="N480" s="516"/>
      <c r="O480" s="516"/>
      <c r="P480" s="516"/>
      <c r="Q480" s="371"/>
      <c r="R480" s="371"/>
      <c r="S480" s="371"/>
      <c r="T480" s="371"/>
      <c r="U480" s="126"/>
      <c r="V480" s="127"/>
      <c r="W480" s="127"/>
      <c r="X480" s="126"/>
      <c r="Y480" s="127"/>
      <c r="Z480" s="127"/>
      <c r="AA480" s="314"/>
      <c r="AC480" s="202">
        <v>0</v>
      </c>
      <c r="AE480" s="114"/>
      <c r="AF480" s="114"/>
    </row>
    <row r="481" spans="2:32" s="37" customFormat="1" x14ac:dyDescent="0.2">
      <c r="B481" s="62" t="s">
        <v>1694</v>
      </c>
      <c r="C481" s="170"/>
      <c r="D481" s="170"/>
      <c r="F481" s="170"/>
      <c r="G481" s="240"/>
      <c r="H481" s="309"/>
      <c r="I481" s="310"/>
      <c r="J481" s="311"/>
      <c r="K481" s="242"/>
      <c r="L481" s="312"/>
      <c r="M481" s="202" t="s">
        <v>1698</v>
      </c>
      <c r="N481" s="516"/>
      <c r="O481" s="516"/>
      <c r="P481" s="516"/>
      <c r="Q481" s="371"/>
      <c r="R481" s="371"/>
      <c r="S481" s="371"/>
      <c r="T481" s="371"/>
      <c r="U481" s="126"/>
      <c r="V481" s="127"/>
      <c r="W481" s="127"/>
      <c r="X481" s="126"/>
      <c r="Y481" s="127"/>
      <c r="Z481" s="127"/>
      <c r="AA481" s="314"/>
      <c r="AC481" s="202">
        <v>1</v>
      </c>
      <c r="AE481" s="114"/>
      <c r="AF481" s="114"/>
    </row>
    <row r="482" spans="2:32" s="37" customFormat="1" x14ac:dyDescent="0.2">
      <c r="B482" s="62" t="s">
        <v>1690</v>
      </c>
      <c r="C482" s="170"/>
      <c r="D482" s="170"/>
      <c r="F482" s="170"/>
      <c r="G482" s="240"/>
      <c r="H482" s="309" t="s">
        <v>27</v>
      </c>
      <c r="I482" s="310"/>
      <c r="J482" s="311" t="s">
        <v>27</v>
      </c>
      <c r="K482" s="242" t="s">
        <v>27</v>
      </c>
      <c r="L482" s="312"/>
      <c r="M482" s="202">
        <v>1</v>
      </c>
      <c r="N482" s="516"/>
      <c r="O482" s="516"/>
      <c r="P482" s="516"/>
      <c r="Q482" s="371" t="s">
        <v>27</v>
      </c>
      <c r="R482" s="371"/>
      <c r="S482" s="371"/>
      <c r="T482" s="371"/>
      <c r="U482" s="126"/>
      <c r="V482" s="127"/>
      <c r="W482" s="127"/>
      <c r="X482" s="126"/>
      <c r="Y482" s="127"/>
      <c r="Z482" s="127"/>
      <c r="AA482" s="314"/>
      <c r="AC482" s="202">
        <v>0</v>
      </c>
      <c r="AE482" s="114"/>
      <c r="AF482" s="114"/>
    </row>
    <row r="483" spans="2:32" s="37" customFormat="1" x14ac:dyDescent="0.2">
      <c r="B483" s="62" t="s">
        <v>1691</v>
      </c>
      <c r="C483" s="170"/>
      <c r="D483" s="170"/>
      <c r="F483" s="170"/>
      <c r="G483" s="240"/>
      <c r="H483" s="309"/>
      <c r="I483" s="310"/>
      <c r="J483" s="311"/>
      <c r="K483" s="242"/>
      <c r="L483" s="312"/>
      <c r="M483" s="202">
        <v>1</v>
      </c>
      <c r="N483" s="516"/>
      <c r="O483" s="516"/>
      <c r="P483" s="516"/>
      <c r="Q483" s="371"/>
      <c r="R483" s="371"/>
      <c r="S483" s="371"/>
      <c r="T483" s="371"/>
      <c r="U483" s="126"/>
      <c r="V483" s="127"/>
      <c r="W483" s="127"/>
      <c r="X483" s="126"/>
      <c r="Y483" s="127"/>
      <c r="Z483" s="127"/>
      <c r="AA483" s="314"/>
      <c r="AC483" s="202">
        <v>1</v>
      </c>
      <c r="AE483" s="114"/>
      <c r="AF483" s="114"/>
    </row>
    <row r="484" spans="2:32" s="37" customFormat="1" x14ac:dyDescent="0.2">
      <c r="B484" s="62" t="s">
        <v>1692</v>
      </c>
      <c r="C484" s="170"/>
      <c r="D484" s="170"/>
      <c r="F484" s="170"/>
      <c r="G484" s="240"/>
      <c r="H484" s="309"/>
      <c r="I484" s="310"/>
      <c r="J484" s="311"/>
      <c r="K484" s="242"/>
      <c r="L484" s="312"/>
      <c r="M484" s="202">
        <v>1</v>
      </c>
      <c r="N484" s="516"/>
      <c r="O484" s="516"/>
      <c r="P484" s="516"/>
      <c r="Q484" s="371"/>
      <c r="R484" s="371"/>
      <c r="S484" s="371"/>
      <c r="T484" s="371"/>
      <c r="U484" s="126"/>
      <c r="V484" s="127"/>
      <c r="W484" s="127"/>
      <c r="X484" s="126"/>
      <c r="Y484" s="127"/>
      <c r="Z484" s="127"/>
      <c r="AA484" s="314"/>
      <c r="AC484" s="202">
        <v>1</v>
      </c>
      <c r="AE484" s="114"/>
      <c r="AF484" s="114"/>
    </row>
    <row r="485" spans="2:32" s="37" customFormat="1" x14ac:dyDescent="0.2">
      <c r="B485" s="62" t="s">
        <v>1706</v>
      </c>
      <c r="C485" s="170"/>
      <c r="D485" s="170"/>
      <c r="F485" s="170"/>
      <c r="G485" s="240"/>
      <c r="H485" s="309">
        <v>1</v>
      </c>
      <c r="I485" s="310"/>
      <c r="J485" s="311">
        <v>1</v>
      </c>
      <c r="K485" s="242"/>
      <c r="L485" s="312"/>
      <c r="M485" s="202">
        <v>1</v>
      </c>
      <c r="N485" s="516"/>
      <c r="O485" s="516"/>
      <c r="P485" s="516"/>
      <c r="Q485" s="371">
        <v>1</v>
      </c>
      <c r="R485" s="371"/>
      <c r="S485" s="371"/>
      <c r="T485" s="371"/>
      <c r="U485" s="126"/>
      <c r="V485" s="127"/>
      <c r="W485" s="127"/>
      <c r="X485" s="126"/>
      <c r="Y485" s="127"/>
      <c r="Z485" s="127"/>
      <c r="AA485" s="314"/>
      <c r="AC485" s="202">
        <v>1</v>
      </c>
      <c r="AE485" s="114"/>
      <c r="AF485" s="114"/>
    </row>
    <row r="486" spans="2:32" s="37" customFormat="1" x14ac:dyDescent="0.2">
      <c r="B486" s="62" t="s">
        <v>1707</v>
      </c>
      <c r="C486" s="170"/>
      <c r="D486" s="170"/>
      <c r="F486" s="170"/>
      <c r="G486" s="240"/>
      <c r="H486" s="309"/>
      <c r="I486" s="310"/>
      <c r="J486" s="311"/>
      <c r="K486" s="242"/>
      <c r="L486" s="312"/>
      <c r="M486" s="202">
        <v>1</v>
      </c>
      <c r="N486" s="516"/>
      <c r="O486" s="516"/>
      <c r="P486" s="516"/>
      <c r="Q486" s="371"/>
      <c r="R486" s="371"/>
      <c r="S486" s="371"/>
      <c r="T486" s="371"/>
      <c r="U486" s="126"/>
      <c r="V486" s="127"/>
      <c r="W486" s="127"/>
      <c r="X486" s="126"/>
      <c r="Y486" s="127"/>
      <c r="Z486" s="127"/>
      <c r="AA486" s="314"/>
      <c r="AC486" s="202">
        <v>1</v>
      </c>
      <c r="AE486" s="114"/>
      <c r="AF486" s="114"/>
    </row>
    <row r="487" spans="2:32" s="37" customFormat="1" x14ac:dyDescent="0.2">
      <c r="B487" s="62" t="s">
        <v>1708</v>
      </c>
      <c r="C487" s="170"/>
      <c r="D487" s="170"/>
      <c r="F487" s="170"/>
      <c r="G487" s="240"/>
      <c r="H487" s="309"/>
      <c r="I487" s="310"/>
      <c r="J487" s="311"/>
      <c r="K487" s="242"/>
      <c r="L487" s="312"/>
      <c r="M487" s="202">
        <v>1</v>
      </c>
      <c r="N487" s="516"/>
      <c r="O487" s="516"/>
      <c r="P487" s="516"/>
      <c r="Q487" s="371"/>
      <c r="R487" s="371"/>
      <c r="S487" s="371"/>
      <c r="T487" s="371"/>
      <c r="U487" s="126"/>
      <c r="V487" s="127"/>
      <c r="W487" s="127"/>
      <c r="X487" s="126"/>
      <c r="Y487" s="127"/>
      <c r="Z487" s="127"/>
      <c r="AA487" s="314"/>
      <c r="AC487" s="202">
        <v>1</v>
      </c>
      <c r="AE487" s="114"/>
      <c r="AF487" s="114"/>
    </row>
    <row r="488" spans="2:32" s="37" customFormat="1" x14ac:dyDescent="0.2">
      <c r="B488" s="62" t="s">
        <v>1372</v>
      </c>
      <c r="C488" s="170"/>
      <c r="D488" s="170"/>
      <c r="F488" s="170"/>
      <c r="G488" s="240"/>
      <c r="H488" s="309">
        <v>1</v>
      </c>
      <c r="I488" s="310"/>
      <c r="J488" s="311">
        <v>1</v>
      </c>
      <c r="K488" s="242">
        <v>7</v>
      </c>
      <c r="L488" s="312"/>
      <c r="M488" s="202">
        <v>1</v>
      </c>
      <c r="N488" s="516"/>
      <c r="O488" s="516"/>
      <c r="P488" s="516"/>
      <c r="Q488" s="371">
        <f>SUM(M488:M494)/SUM(K488:K493)</f>
        <v>0.42857142857142855</v>
      </c>
      <c r="R488" s="371"/>
      <c r="S488" s="371"/>
      <c r="T488" s="371"/>
      <c r="U488" s="126"/>
      <c r="V488" s="127"/>
      <c r="W488" s="127"/>
      <c r="X488" s="126"/>
      <c r="Y488" s="127"/>
      <c r="Z488" s="127"/>
      <c r="AA488" s="314"/>
      <c r="AC488" s="202">
        <v>1</v>
      </c>
      <c r="AE488" s="114"/>
      <c r="AF488" s="114"/>
    </row>
    <row r="489" spans="2:32" s="37" customFormat="1" x14ac:dyDescent="0.2">
      <c r="B489" s="62" t="s">
        <v>1373</v>
      </c>
      <c r="C489" s="170"/>
      <c r="D489" s="170"/>
      <c r="F489" s="170"/>
      <c r="G489" s="240"/>
      <c r="H489" s="309"/>
      <c r="I489" s="310"/>
      <c r="J489" s="311"/>
      <c r="K489" s="242"/>
      <c r="L489" s="312"/>
      <c r="M489" s="202">
        <v>0</v>
      </c>
      <c r="N489" s="516"/>
      <c r="O489" s="516"/>
      <c r="P489" s="516"/>
      <c r="Q489" s="371"/>
      <c r="R489" s="371"/>
      <c r="S489" s="371"/>
      <c r="T489" s="371"/>
      <c r="U489" s="126"/>
      <c r="V489" s="127"/>
      <c r="W489" s="127"/>
      <c r="X489" s="126"/>
      <c r="Y489" s="127"/>
      <c r="Z489" s="127"/>
      <c r="AA489" s="314"/>
      <c r="AC489" s="202">
        <v>1</v>
      </c>
      <c r="AE489" s="114"/>
      <c r="AF489" s="114"/>
    </row>
    <row r="490" spans="2:32" s="37" customFormat="1" x14ac:dyDescent="0.2">
      <c r="B490" s="62" t="s">
        <v>1374</v>
      </c>
      <c r="C490" s="170"/>
      <c r="D490" s="170"/>
      <c r="F490" s="170"/>
      <c r="G490" s="240"/>
      <c r="H490" s="309"/>
      <c r="I490" s="310"/>
      <c r="J490" s="311"/>
      <c r="K490" s="242"/>
      <c r="L490" s="312"/>
      <c r="M490" s="202">
        <v>0</v>
      </c>
      <c r="N490" s="516"/>
      <c r="O490" s="516"/>
      <c r="P490" s="516"/>
      <c r="Q490" s="371"/>
      <c r="R490" s="371"/>
      <c r="S490" s="371"/>
      <c r="T490" s="371"/>
      <c r="U490" s="126"/>
      <c r="V490" s="127"/>
      <c r="W490" s="127"/>
      <c r="X490" s="126"/>
      <c r="Y490" s="127"/>
      <c r="Z490" s="127"/>
      <c r="AA490" s="314"/>
      <c r="AC490" s="202">
        <v>1</v>
      </c>
      <c r="AE490" s="114"/>
      <c r="AF490" s="114"/>
    </row>
    <row r="491" spans="2:32" s="37" customFormat="1" x14ac:dyDescent="0.2">
      <c r="B491" s="62" t="s">
        <v>1375</v>
      </c>
      <c r="C491" s="170"/>
      <c r="D491" s="170"/>
      <c r="F491" s="170"/>
      <c r="G491" s="240"/>
      <c r="K491" s="242" t="s">
        <v>27</v>
      </c>
      <c r="L491" s="312"/>
      <c r="M491" s="202">
        <v>1</v>
      </c>
      <c r="N491" s="516"/>
      <c r="O491" s="516"/>
      <c r="P491" s="516"/>
      <c r="Q491" s="371"/>
      <c r="R491" s="371"/>
      <c r="S491" s="371"/>
      <c r="T491" s="371"/>
      <c r="U491" s="126"/>
      <c r="V491" s="127"/>
      <c r="W491" s="127"/>
      <c r="X491" s="126"/>
      <c r="Y491" s="127"/>
      <c r="Z491" s="127"/>
      <c r="AA491" s="314"/>
      <c r="AC491" s="200">
        <v>1</v>
      </c>
      <c r="AE491" s="114"/>
      <c r="AF491" s="114"/>
    </row>
    <row r="492" spans="2:32" s="37" customFormat="1" x14ac:dyDescent="0.2">
      <c r="B492" s="62" t="s">
        <v>1376</v>
      </c>
      <c r="C492" s="170"/>
      <c r="D492" s="170"/>
      <c r="F492" s="170"/>
      <c r="G492" s="240"/>
      <c r="H492" s="309"/>
      <c r="I492" s="310"/>
      <c r="J492" s="311"/>
      <c r="K492" s="242"/>
      <c r="L492" s="312"/>
      <c r="M492" s="202">
        <v>0</v>
      </c>
      <c r="N492" s="516"/>
      <c r="O492" s="516"/>
      <c r="P492" s="516"/>
      <c r="Q492" s="371"/>
      <c r="R492" s="371"/>
      <c r="S492" s="371"/>
      <c r="T492" s="371"/>
      <c r="U492" s="126"/>
      <c r="V492" s="127"/>
      <c r="W492" s="127"/>
      <c r="X492" s="126"/>
      <c r="Y492" s="127"/>
      <c r="Z492" s="127"/>
      <c r="AA492" s="314"/>
      <c r="AC492" s="200">
        <v>1</v>
      </c>
      <c r="AE492" s="114"/>
      <c r="AF492" s="114"/>
    </row>
    <row r="493" spans="2:32" s="37" customFormat="1" x14ac:dyDescent="0.2">
      <c r="B493" s="62" t="s">
        <v>1377</v>
      </c>
      <c r="C493" s="170"/>
      <c r="D493" s="170"/>
      <c r="F493" s="170"/>
      <c r="G493" s="240"/>
      <c r="H493" s="309"/>
      <c r="I493" s="310"/>
      <c r="J493" s="311"/>
      <c r="K493" s="242"/>
      <c r="L493" s="312"/>
      <c r="M493" s="202">
        <v>1</v>
      </c>
      <c r="N493" s="516"/>
      <c r="O493" s="516"/>
      <c r="P493" s="516"/>
      <c r="Q493" s="371"/>
      <c r="R493" s="371"/>
      <c r="S493" s="371"/>
      <c r="T493" s="371"/>
      <c r="U493" s="126"/>
      <c r="V493" s="127"/>
      <c r="W493" s="127"/>
      <c r="X493" s="126"/>
      <c r="Y493" s="127"/>
      <c r="Z493" s="127"/>
      <c r="AA493" s="314"/>
      <c r="AC493" s="200">
        <v>1</v>
      </c>
      <c r="AE493" s="114"/>
      <c r="AF493" s="114"/>
    </row>
    <row r="494" spans="2:32" s="37" customFormat="1" x14ac:dyDescent="0.2">
      <c r="B494" s="62" t="s">
        <v>1378</v>
      </c>
      <c r="C494" s="170"/>
      <c r="D494" s="170"/>
      <c r="F494" s="170"/>
      <c r="G494" s="240"/>
      <c r="H494" s="309"/>
      <c r="I494" s="310"/>
      <c r="J494" s="311"/>
      <c r="K494" s="242"/>
      <c r="L494" s="312"/>
      <c r="M494" s="202">
        <v>0</v>
      </c>
      <c r="N494" s="516"/>
      <c r="O494" s="516"/>
      <c r="P494" s="516"/>
      <c r="Q494" s="371"/>
      <c r="R494" s="371"/>
      <c r="S494" s="371"/>
      <c r="T494" s="371"/>
      <c r="U494" s="126"/>
      <c r="V494" s="127"/>
      <c r="W494" s="127"/>
      <c r="X494" s="126"/>
      <c r="Y494" s="127"/>
      <c r="Z494" s="127"/>
      <c r="AA494" s="314"/>
      <c r="AC494" s="200">
        <v>1</v>
      </c>
      <c r="AE494" s="114"/>
      <c r="AF494" s="114"/>
    </row>
    <row r="495" spans="2:32" s="37" customFormat="1" x14ac:dyDescent="0.2">
      <c r="B495" s="62" t="s">
        <v>1709</v>
      </c>
      <c r="C495" s="170"/>
      <c r="D495" s="170"/>
      <c r="F495" s="170"/>
      <c r="G495" s="240"/>
      <c r="H495" s="309">
        <v>1</v>
      </c>
      <c r="I495" s="310"/>
      <c r="J495" s="311">
        <v>1</v>
      </c>
      <c r="K495" s="242">
        <v>3</v>
      </c>
      <c r="L495" s="312"/>
      <c r="M495" s="202">
        <v>1</v>
      </c>
      <c r="N495" s="516"/>
      <c r="O495" s="516"/>
      <c r="P495" s="516"/>
      <c r="Q495" s="371">
        <v>1</v>
      </c>
      <c r="R495" s="371"/>
      <c r="S495" s="371"/>
      <c r="T495" s="371"/>
      <c r="U495" s="126"/>
      <c r="V495" s="127"/>
      <c r="W495" s="127"/>
      <c r="X495" s="126"/>
      <c r="Y495" s="127"/>
      <c r="Z495" s="127"/>
      <c r="AA495" s="314"/>
      <c r="AC495" s="200">
        <v>1</v>
      </c>
      <c r="AE495" s="114"/>
      <c r="AF495" s="114"/>
    </row>
    <row r="496" spans="2:32" s="37" customFormat="1" x14ac:dyDescent="0.2">
      <c r="B496" s="62" t="s">
        <v>1710</v>
      </c>
      <c r="C496" s="170"/>
      <c r="D496" s="170"/>
      <c r="F496" s="170"/>
      <c r="G496" s="240"/>
      <c r="H496" s="309"/>
      <c r="I496" s="310"/>
      <c r="J496" s="311"/>
      <c r="K496" s="242"/>
      <c r="L496" s="312"/>
      <c r="M496" s="202">
        <v>1</v>
      </c>
      <c r="N496" s="516"/>
      <c r="O496" s="516"/>
      <c r="P496" s="516"/>
      <c r="Q496" s="371"/>
      <c r="R496" s="371"/>
      <c r="S496" s="371"/>
      <c r="T496" s="371"/>
      <c r="U496" s="126"/>
      <c r="V496" s="127"/>
      <c r="W496" s="127"/>
      <c r="X496" s="126"/>
      <c r="Y496" s="127"/>
      <c r="Z496" s="127"/>
      <c r="AA496" s="314"/>
      <c r="AC496" s="200">
        <v>1</v>
      </c>
      <c r="AE496" s="114"/>
      <c r="AF496" s="114"/>
    </row>
    <row r="497" spans="1:32" s="37" customFormat="1" x14ac:dyDescent="0.2">
      <c r="B497" s="62" t="s">
        <v>1711</v>
      </c>
      <c r="C497" s="170"/>
      <c r="D497" s="170"/>
      <c r="F497" s="170"/>
      <c r="G497" s="240"/>
      <c r="H497" s="309"/>
      <c r="I497" s="310"/>
      <c r="J497" s="311"/>
      <c r="K497" s="242"/>
      <c r="L497" s="312"/>
      <c r="M497" s="202">
        <v>1</v>
      </c>
      <c r="N497" s="516"/>
      <c r="O497" s="516"/>
      <c r="P497" s="516"/>
      <c r="Q497" s="371"/>
      <c r="R497" s="371"/>
      <c r="S497" s="371"/>
      <c r="T497" s="371"/>
      <c r="U497" s="126"/>
      <c r="V497" s="127"/>
      <c r="W497" s="127"/>
      <c r="X497" s="126"/>
      <c r="Y497" s="127"/>
      <c r="Z497" s="127"/>
      <c r="AA497" s="314"/>
      <c r="AC497" s="200">
        <v>1</v>
      </c>
      <c r="AE497" s="114"/>
      <c r="AF497" s="114"/>
    </row>
    <row r="498" spans="1:32" s="37" customFormat="1" x14ac:dyDescent="0.2">
      <c r="B498" s="62" t="s">
        <v>1712</v>
      </c>
      <c r="C498" s="170"/>
      <c r="D498" s="170"/>
      <c r="F498" s="170"/>
      <c r="G498" s="240"/>
      <c r="H498" s="309">
        <v>1</v>
      </c>
      <c r="I498" s="310"/>
      <c r="J498" s="311">
        <v>1</v>
      </c>
      <c r="K498" s="242">
        <v>3</v>
      </c>
      <c r="L498" s="312"/>
      <c r="M498" s="202">
        <v>1</v>
      </c>
      <c r="N498" s="516"/>
      <c r="O498" s="516"/>
      <c r="P498" s="516"/>
      <c r="Q498" s="371">
        <v>1</v>
      </c>
      <c r="R498" s="371"/>
      <c r="S498" s="371"/>
      <c r="T498" s="371"/>
      <c r="U498" s="126"/>
      <c r="V498" s="127"/>
      <c r="W498" s="127"/>
      <c r="X498" s="126"/>
      <c r="Y498" s="127"/>
      <c r="Z498" s="127"/>
      <c r="AA498" s="314"/>
      <c r="AC498" s="200">
        <v>1</v>
      </c>
      <c r="AE498" s="114"/>
      <c r="AF498" s="114"/>
    </row>
    <row r="499" spans="1:32" s="37" customFormat="1" x14ac:dyDescent="0.2">
      <c r="B499" s="62" t="s">
        <v>1713</v>
      </c>
      <c r="C499" s="170"/>
      <c r="D499" s="170"/>
      <c r="F499" s="170"/>
      <c r="G499" s="240"/>
      <c r="H499" s="309"/>
      <c r="I499" s="310"/>
      <c r="J499" s="311"/>
      <c r="K499" s="242"/>
      <c r="L499" s="312"/>
      <c r="M499" s="202">
        <v>1</v>
      </c>
      <c r="N499" s="516"/>
      <c r="O499" s="516"/>
      <c r="P499" s="516"/>
      <c r="Q499" s="371"/>
      <c r="R499" s="371"/>
      <c r="S499" s="371"/>
      <c r="T499" s="371"/>
      <c r="U499" s="126"/>
      <c r="V499" s="127"/>
      <c r="W499" s="127"/>
      <c r="X499" s="126"/>
      <c r="Y499" s="127"/>
      <c r="Z499" s="127"/>
      <c r="AA499" s="314"/>
      <c r="AC499" s="200">
        <v>1</v>
      </c>
      <c r="AE499" s="114"/>
      <c r="AF499" s="114"/>
    </row>
    <row r="500" spans="1:32" s="37" customFormat="1" x14ac:dyDescent="0.2">
      <c r="B500" s="62" t="s">
        <v>1714</v>
      </c>
      <c r="C500" s="170"/>
      <c r="D500" s="170"/>
      <c r="F500" s="170"/>
      <c r="G500" s="240"/>
      <c r="H500" s="309"/>
      <c r="I500" s="310"/>
      <c r="J500" s="311"/>
      <c r="K500" s="242"/>
      <c r="L500" s="312"/>
      <c r="M500" s="202">
        <v>1</v>
      </c>
      <c r="N500" s="516"/>
      <c r="O500" s="516"/>
      <c r="P500" s="516"/>
      <c r="Q500" s="371"/>
      <c r="R500" s="371"/>
      <c r="S500" s="371"/>
      <c r="T500" s="371"/>
      <c r="U500" s="126"/>
      <c r="V500" s="127"/>
      <c r="W500" s="127" t="s">
        <v>224</v>
      </c>
      <c r="X500" s="126"/>
      <c r="Y500" s="127"/>
      <c r="Z500" s="127"/>
      <c r="AA500" s="314"/>
      <c r="AC500" s="200">
        <v>1</v>
      </c>
      <c r="AE500" s="114"/>
      <c r="AF500" s="114"/>
    </row>
    <row r="501" spans="1:32" s="19" customFormat="1" x14ac:dyDescent="0.2">
      <c r="A501" s="37"/>
      <c r="B501" s="62" t="s">
        <v>1379</v>
      </c>
      <c r="C501" s="172" t="s">
        <v>126</v>
      </c>
      <c r="D501" s="172"/>
      <c r="F501" s="172"/>
      <c r="G501" s="172">
        <v>1</v>
      </c>
      <c r="H501" s="245">
        <v>1</v>
      </c>
      <c r="I501" s="245"/>
      <c r="J501" s="172">
        <v>1</v>
      </c>
      <c r="K501" s="172">
        <v>2</v>
      </c>
      <c r="L501" s="172"/>
      <c r="M501" s="540">
        <v>1</v>
      </c>
      <c r="N501" s="516"/>
      <c r="O501" s="516"/>
      <c r="P501" s="516"/>
      <c r="Q501" s="318">
        <v>1</v>
      </c>
      <c r="R501" s="318"/>
      <c r="S501" s="318"/>
      <c r="T501" s="318"/>
      <c r="U501" s="29" t="s">
        <v>92</v>
      </c>
      <c r="V501" s="30"/>
      <c r="W501" s="30" t="s">
        <v>94</v>
      </c>
      <c r="X501" s="29"/>
      <c r="Y501" s="30"/>
      <c r="Z501" s="30"/>
      <c r="AA501" s="300">
        <v>0</v>
      </c>
      <c r="AC501" s="200">
        <v>1</v>
      </c>
      <c r="AE501" s="42"/>
      <c r="AF501" s="42"/>
    </row>
    <row r="502" spans="1:32" s="19" customFormat="1" x14ac:dyDescent="0.2">
      <c r="A502" s="37"/>
      <c r="B502" s="62" t="s">
        <v>1380</v>
      </c>
      <c r="C502" s="172" t="s">
        <v>126</v>
      </c>
      <c r="D502" s="172"/>
      <c r="F502" s="172"/>
      <c r="G502" s="172"/>
      <c r="H502" s="245" t="s">
        <v>27</v>
      </c>
      <c r="I502" s="245"/>
      <c r="J502" s="172"/>
      <c r="K502" s="172"/>
      <c r="L502" s="172"/>
      <c r="M502" s="540">
        <v>1</v>
      </c>
      <c r="N502" s="516"/>
      <c r="O502" s="516"/>
      <c r="P502" s="516"/>
      <c r="Q502" s="318"/>
      <c r="R502" s="318"/>
      <c r="S502" s="318"/>
      <c r="T502" s="318"/>
      <c r="U502" s="29" t="s">
        <v>92</v>
      </c>
      <c r="V502" s="30"/>
      <c r="W502" s="30" t="s">
        <v>94</v>
      </c>
      <c r="X502" s="29"/>
      <c r="Y502" s="30"/>
      <c r="Z502" s="30"/>
      <c r="AA502" s="301">
        <v>0</v>
      </c>
      <c r="AC502" s="200">
        <v>1</v>
      </c>
      <c r="AE502" s="42"/>
      <c r="AF502" s="42"/>
    </row>
    <row r="503" spans="1:32" s="280" customFormat="1" x14ac:dyDescent="0.2">
      <c r="A503" s="280" t="s">
        <v>37</v>
      </c>
      <c r="B503" s="281" t="s">
        <v>38</v>
      </c>
      <c r="C503" s="279"/>
      <c r="D503" s="279"/>
      <c r="E503" s="273"/>
      <c r="F503" s="279">
        <v>1</v>
      </c>
      <c r="G503" s="276">
        <f>SUM(G504:G510)/F503</f>
        <v>1</v>
      </c>
      <c r="H503" s="292">
        <f>SUM(H504:H570)</f>
        <v>16</v>
      </c>
      <c r="I503" s="294">
        <f>+J503/H503</f>
        <v>1</v>
      </c>
      <c r="J503" s="292">
        <f>SUM(J504:J570)</f>
        <v>16</v>
      </c>
      <c r="K503" s="292">
        <f>SUM(K504:K570)</f>
        <v>67</v>
      </c>
      <c r="L503" s="291">
        <v>0.93</v>
      </c>
      <c r="M503" s="292">
        <f>SUM(M504:M570)</f>
        <v>64</v>
      </c>
      <c r="N503" s="617">
        <f>AVERAGE(M504:M570)</f>
        <v>0.95522388059701491</v>
      </c>
      <c r="O503" s="617">
        <f>_xlfn.STDEV.P(M504:M570)</f>
        <v>0.20681203672464205</v>
      </c>
      <c r="P503" s="559">
        <f>STDEV(M504:M570)/(SQRT(COUNT(M504:M570)))</f>
        <v>2.5456801952908715E-2</v>
      </c>
      <c r="Q503" s="381">
        <f>((Q504*K504)+(Q507*K507)+(Q516*K516)+(Q524*K524)+(Q526*K526)+(Q529*K529)+(Q538+K538)+(Q550*K550)+(Q552*K552)+(Q553*K553)+(Q555*K555)+(Q558*K558)+(Q561*K561)+(Q564*K564)+(Q568*K568)+(Q570*K570))/K503</f>
        <v>0.9838308457711441</v>
      </c>
      <c r="R503" s="381"/>
      <c r="S503" s="381">
        <f>_xlfn.STDEV.P(R504:R519)</f>
        <v>6.2500000000000014E-2</v>
      </c>
      <c r="T503" s="381">
        <f>+T522</f>
        <v>1.6137430609197572E-2</v>
      </c>
      <c r="U503" s="277">
        <f>COUNTA(U504:U570)</f>
        <v>9</v>
      </c>
      <c r="V503" s="277">
        <f t="shared" ref="V503:Z503" si="8">COUNTA(V504:V570)</f>
        <v>0</v>
      </c>
      <c r="W503" s="277">
        <f t="shared" si="8"/>
        <v>9</v>
      </c>
      <c r="X503" s="277">
        <f t="shared" si="8"/>
        <v>5</v>
      </c>
      <c r="Y503" s="277">
        <f t="shared" si="8"/>
        <v>0</v>
      </c>
      <c r="Z503" s="277">
        <f t="shared" si="8"/>
        <v>8</v>
      </c>
      <c r="AA503" s="316">
        <f>SUM(AA504:AA515)/K503</f>
        <v>0</v>
      </c>
      <c r="AC503" s="616">
        <v>1</v>
      </c>
      <c r="AD503" s="284">
        <f>+U503/M503</f>
        <v>0.140625</v>
      </c>
      <c r="AE503" s="328"/>
      <c r="AF503" s="328"/>
    </row>
    <row r="504" spans="1:32" s="37" customFormat="1" x14ac:dyDescent="0.2">
      <c r="B504" s="88" t="s">
        <v>1381</v>
      </c>
      <c r="C504" s="170" t="s">
        <v>27</v>
      </c>
      <c r="D504" s="170"/>
      <c r="E504" s="19"/>
      <c r="F504" s="170"/>
      <c r="G504" s="170">
        <v>1</v>
      </c>
      <c r="H504" s="244">
        <v>1</v>
      </c>
      <c r="I504" s="244"/>
      <c r="J504" s="170">
        <v>1</v>
      </c>
      <c r="K504" s="170">
        <v>3</v>
      </c>
      <c r="L504" s="170"/>
      <c r="M504" s="539">
        <v>1</v>
      </c>
      <c r="N504" s="515"/>
      <c r="O504" s="515"/>
      <c r="P504" s="515"/>
      <c r="Q504" s="371">
        <v>1</v>
      </c>
      <c r="R504" s="371">
        <f>+Q504</f>
        <v>1</v>
      </c>
      <c r="S504" s="371"/>
      <c r="T504" s="371"/>
      <c r="U504" s="126"/>
      <c r="V504" s="127"/>
      <c r="W504" s="127" t="s">
        <v>94</v>
      </c>
      <c r="X504" s="126"/>
      <c r="Y504" s="127"/>
      <c r="Z504" s="127" t="s">
        <v>94</v>
      </c>
      <c r="AA504" s="299">
        <v>0</v>
      </c>
      <c r="AC504" s="200">
        <v>1</v>
      </c>
      <c r="AE504" s="42"/>
      <c r="AF504" s="42"/>
    </row>
    <row r="505" spans="1:32" s="37" customFormat="1" x14ac:dyDescent="0.2">
      <c r="B505" s="88" t="s">
        <v>1382</v>
      </c>
      <c r="C505" s="170" t="s">
        <v>27</v>
      </c>
      <c r="D505" s="170"/>
      <c r="E505" s="19"/>
      <c r="F505" s="170"/>
      <c r="G505" s="170"/>
      <c r="H505" s="244"/>
      <c r="I505" s="244"/>
      <c r="J505" s="170"/>
      <c r="K505" s="170"/>
      <c r="L505" s="170"/>
      <c r="M505" s="539">
        <v>1</v>
      </c>
      <c r="N505" s="515"/>
      <c r="O505" s="515"/>
      <c r="P505" s="515"/>
      <c r="Q505" s="371"/>
      <c r="R505" s="371">
        <f>+Q507</f>
        <v>1</v>
      </c>
      <c r="S505" s="371"/>
      <c r="T505" s="371"/>
      <c r="U505" s="126" t="s">
        <v>92</v>
      </c>
      <c r="V505" s="127"/>
      <c r="W505" s="127" t="s">
        <v>94</v>
      </c>
      <c r="X505" s="126" t="s">
        <v>92</v>
      </c>
      <c r="Y505" s="127"/>
      <c r="Z505" s="127" t="s">
        <v>94</v>
      </c>
      <c r="AA505" s="299">
        <v>0</v>
      </c>
      <c r="AC505" s="200">
        <v>1</v>
      </c>
      <c r="AE505" s="42"/>
      <c r="AF505" s="42"/>
    </row>
    <row r="506" spans="1:32" s="37" customFormat="1" x14ac:dyDescent="0.2">
      <c r="B506" s="88" t="s">
        <v>1383</v>
      </c>
      <c r="C506" s="170" t="s">
        <v>27</v>
      </c>
      <c r="D506" s="170"/>
      <c r="E506" s="19"/>
      <c r="F506" s="170"/>
      <c r="G506" s="170"/>
      <c r="H506" s="244"/>
      <c r="I506" s="244"/>
      <c r="J506" s="170"/>
      <c r="K506" s="170"/>
      <c r="L506" s="170"/>
      <c r="M506" s="539">
        <v>1</v>
      </c>
      <c r="N506" s="515"/>
      <c r="O506" s="515"/>
      <c r="P506" s="515"/>
      <c r="Q506" s="371"/>
      <c r="R506" s="371">
        <f>+Q516</f>
        <v>0.75</v>
      </c>
      <c r="S506" s="371"/>
      <c r="T506" s="371"/>
      <c r="U506" s="126" t="s">
        <v>92</v>
      </c>
      <c r="V506" s="127"/>
      <c r="W506" s="127" t="s">
        <v>94</v>
      </c>
      <c r="X506" s="126" t="s">
        <v>92</v>
      </c>
      <c r="Y506" s="127"/>
      <c r="Z506" s="127" t="s">
        <v>94</v>
      </c>
      <c r="AA506" s="299">
        <v>0</v>
      </c>
      <c r="AC506" s="200">
        <v>0</v>
      </c>
      <c r="AE506" s="42"/>
      <c r="AF506" s="42"/>
    </row>
    <row r="507" spans="1:32" s="19" customFormat="1" x14ac:dyDescent="0.2">
      <c r="B507" s="37" t="s">
        <v>1384</v>
      </c>
      <c r="C507" s="170" t="s">
        <v>27</v>
      </c>
      <c r="D507" s="172"/>
      <c r="F507" s="172" t="s">
        <v>27</v>
      </c>
      <c r="G507" s="172" t="s">
        <v>27</v>
      </c>
      <c r="H507" s="245">
        <v>1</v>
      </c>
      <c r="I507" s="245"/>
      <c r="J507" s="172">
        <v>1</v>
      </c>
      <c r="K507" s="172">
        <v>9</v>
      </c>
      <c r="L507" s="172"/>
      <c r="M507" s="539">
        <v>1</v>
      </c>
      <c r="N507" s="515"/>
      <c r="O507" s="515"/>
      <c r="P507" s="515"/>
      <c r="Q507" s="371">
        <v>1</v>
      </c>
      <c r="R507" s="371">
        <f>+Q524</f>
        <v>1</v>
      </c>
      <c r="S507" s="371"/>
      <c r="T507" s="371"/>
      <c r="U507" s="29" t="s">
        <v>92</v>
      </c>
      <c r="V507" s="30"/>
      <c r="W507" s="30" t="s">
        <v>94</v>
      </c>
      <c r="X507" s="29" t="s">
        <v>92</v>
      </c>
      <c r="Y507" s="30"/>
      <c r="Z507" s="30" t="s">
        <v>94</v>
      </c>
      <c r="AA507" s="299">
        <v>0</v>
      </c>
      <c r="AC507" s="200">
        <v>0</v>
      </c>
      <c r="AE507" s="42"/>
      <c r="AF507" s="42"/>
    </row>
    <row r="508" spans="1:32" s="19" customFormat="1" x14ac:dyDescent="0.2">
      <c r="B508" s="37" t="s">
        <v>1385</v>
      </c>
      <c r="C508" s="170" t="s">
        <v>27</v>
      </c>
      <c r="D508" s="172"/>
      <c r="F508" s="172"/>
      <c r="G508" s="172"/>
      <c r="H508" s="245"/>
      <c r="I508" s="245"/>
      <c r="J508" s="172"/>
      <c r="K508" s="172"/>
      <c r="L508" s="172"/>
      <c r="M508" s="539">
        <v>1</v>
      </c>
      <c r="N508" s="515"/>
      <c r="O508" s="515"/>
      <c r="P508" s="515"/>
      <c r="Q508" s="371"/>
      <c r="R508" s="371">
        <f>+Q526</f>
        <v>1</v>
      </c>
      <c r="S508" s="371"/>
      <c r="T508" s="371"/>
      <c r="U508" s="29" t="s">
        <v>92</v>
      </c>
      <c r="V508" s="30"/>
      <c r="W508" s="30" t="s">
        <v>94</v>
      </c>
      <c r="X508" s="29" t="s">
        <v>92</v>
      </c>
      <c r="Y508" s="30"/>
      <c r="Z508" s="30" t="s">
        <v>94</v>
      </c>
      <c r="AA508" s="299">
        <v>0</v>
      </c>
      <c r="AC508" s="200">
        <v>1</v>
      </c>
      <c r="AE508" s="42"/>
      <c r="AF508" s="42"/>
    </row>
    <row r="509" spans="1:32" s="19" customFormat="1" x14ac:dyDescent="0.2">
      <c r="A509" s="37"/>
      <c r="B509" s="37" t="s">
        <v>1386</v>
      </c>
      <c r="C509" s="170" t="s">
        <v>27</v>
      </c>
      <c r="D509" s="172" t="s">
        <v>258</v>
      </c>
      <c r="F509" s="172"/>
      <c r="G509" s="172"/>
      <c r="H509" s="245"/>
      <c r="I509" s="245"/>
      <c r="J509" s="172"/>
      <c r="K509" s="172"/>
      <c r="L509" s="172"/>
      <c r="M509" s="539">
        <v>1</v>
      </c>
      <c r="N509" s="515"/>
      <c r="O509" s="515"/>
      <c r="P509" s="515"/>
      <c r="Q509" s="371"/>
      <c r="R509" s="371">
        <f>+Q529</f>
        <v>1</v>
      </c>
      <c r="S509" s="371"/>
      <c r="T509" s="371"/>
      <c r="U509" s="29" t="s">
        <v>92</v>
      </c>
      <c r="V509" s="30"/>
      <c r="W509" s="30" t="s">
        <v>94</v>
      </c>
      <c r="X509" s="29"/>
      <c r="Y509" s="30"/>
      <c r="Z509" s="30" t="s">
        <v>94</v>
      </c>
      <c r="AA509" s="299">
        <v>0</v>
      </c>
      <c r="AC509" s="200">
        <v>1</v>
      </c>
      <c r="AE509" s="42"/>
      <c r="AF509" s="42"/>
    </row>
    <row r="510" spans="1:32" s="19" customFormat="1" x14ac:dyDescent="0.2">
      <c r="A510" s="37"/>
      <c r="B510" s="37" t="s">
        <v>1387</v>
      </c>
      <c r="C510" s="170" t="s">
        <v>27</v>
      </c>
      <c r="D510" s="172"/>
      <c r="F510" s="172"/>
      <c r="G510" s="172" t="s">
        <v>27</v>
      </c>
      <c r="H510" s="245" t="s">
        <v>27</v>
      </c>
      <c r="I510" s="245"/>
      <c r="J510" s="172" t="s">
        <v>27</v>
      </c>
      <c r="K510" s="172" t="s">
        <v>27</v>
      </c>
      <c r="L510" s="172"/>
      <c r="M510" s="200">
        <v>1</v>
      </c>
      <c r="N510" s="515"/>
      <c r="O510" s="515"/>
      <c r="P510" s="515"/>
      <c r="Q510" s="371" t="s">
        <v>27</v>
      </c>
      <c r="R510" s="371">
        <f>+Q538</f>
        <v>0.91666666666666663</v>
      </c>
      <c r="S510" s="371"/>
      <c r="T510" s="371"/>
      <c r="U510" s="29"/>
      <c r="V510" s="30"/>
      <c r="W510" s="30"/>
      <c r="X510" s="29"/>
      <c r="Y510" s="30"/>
      <c r="Z510" s="30"/>
      <c r="AA510" s="299">
        <v>0</v>
      </c>
      <c r="AC510" s="200">
        <v>1</v>
      </c>
      <c r="AE510" s="42"/>
      <c r="AF510" s="42"/>
    </row>
    <row r="511" spans="1:32" s="19" customFormat="1" x14ac:dyDescent="0.2">
      <c r="A511" s="37"/>
      <c r="B511" s="37" t="s">
        <v>1388</v>
      </c>
      <c r="C511" s="170" t="s">
        <v>27</v>
      </c>
      <c r="D511" s="172"/>
      <c r="F511" s="172"/>
      <c r="G511" s="172"/>
      <c r="H511" s="245"/>
      <c r="I511" s="245"/>
      <c r="J511" s="172"/>
      <c r="K511" s="172"/>
      <c r="L511" s="172"/>
      <c r="M511" s="539">
        <v>1</v>
      </c>
      <c r="N511" s="515"/>
      <c r="O511" s="515"/>
      <c r="P511" s="515"/>
      <c r="Q511" s="371"/>
      <c r="R511" s="371">
        <f>+Q550</f>
        <v>1</v>
      </c>
      <c r="S511" s="371"/>
      <c r="T511" s="371"/>
      <c r="U511" s="29" t="s">
        <v>92</v>
      </c>
      <c r="V511" s="30"/>
      <c r="W511" s="30" t="s">
        <v>94</v>
      </c>
      <c r="X511" s="29"/>
      <c r="Y511" s="30"/>
      <c r="Z511" s="30" t="s">
        <v>94</v>
      </c>
      <c r="AA511" s="299">
        <v>0</v>
      </c>
      <c r="AC511" s="200">
        <v>1</v>
      </c>
      <c r="AE511" s="42"/>
      <c r="AF511" s="42"/>
    </row>
    <row r="512" spans="1:32" s="19" customFormat="1" x14ac:dyDescent="0.2">
      <c r="A512" s="37"/>
      <c r="B512" s="37" t="s">
        <v>1389</v>
      </c>
      <c r="C512" s="170" t="s">
        <v>27</v>
      </c>
      <c r="D512" s="172"/>
      <c r="F512" s="172"/>
      <c r="G512" s="172"/>
      <c r="H512" s="245"/>
      <c r="I512" s="245"/>
      <c r="J512" s="172"/>
      <c r="K512" s="172"/>
      <c r="L512" s="172"/>
      <c r="M512" s="200">
        <v>1</v>
      </c>
      <c r="N512" s="515"/>
      <c r="O512" s="515"/>
      <c r="P512" s="515"/>
      <c r="Q512" s="371"/>
      <c r="R512" s="371">
        <f>+Q552</f>
        <v>1</v>
      </c>
      <c r="S512" s="371"/>
      <c r="T512" s="371"/>
      <c r="AA512" s="299">
        <v>0</v>
      </c>
      <c r="AC512" s="200">
        <v>1</v>
      </c>
      <c r="AE512" s="42"/>
      <c r="AF512" s="42"/>
    </row>
    <row r="513" spans="1:32" s="19" customFormat="1" x14ac:dyDescent="0.2">
      <c r="A513" s="37"/>
      <c r="B513" s="37" t="s">
        <v>1390</v>
      </c>
      <c r="C513" s="170" t="s">
        <v>27</v>
      </c>
      <c r="D513" s="172"/>
      <c r="F513" s="172"/>
      <c r="G513" s="172"/>
      <c r="H513" s="245"/>
      <c r="I513" s="245"/>
      <c r="J513" s="172"/>
      <c r="K513" s="172"/>
      <c r="L513" s="172"/>
      <c r="M513" s="200">
        <v>1</v>
      </c>
      <c r="N513" s="515"/>
      <c r="O513" s="515"/>
      <c r="P513" s="515"/>
      <c r="Q513" s="371"/>
      <c r="R513" s="371">
        <f>+Q553</f>
        <v>1</v>
      </c>
      <c r="S513" s="371"/>
      <c r="T513" s="371"/>
      <c r="U513" s="29"/>
      <c r="V513" s="30"/>
      <c r="W513" s="30"/>
      <c r="X513" s="29"/>
      <c r="Y513" s="30"/>
      <c r="Z513" s="30"/>
      <c r="AA513" s="299">
        <v>0</v>
      </c>
      <c r="AC513" s="200">
        <v>1</v>
      </c>
      <c r="AE513" s="42"/>
      <c r="AF513" s="42"/>
    </row>
    <row r="514" spans="1:32" s="19" customFormat="1" x14ac:dyDescent="0.2">
      <c r="A514" s="37"/>
      <c r="B514" s="37" t="s">
        <v>1391</v>
      </c>
      <c r="C514" s="170" t="s">
        <v>27</v>
      </c>
      <c r="D514" s="172"/>
      <c r="F514" s="172"/>
      <c r="G514" s="172"/>
      <c r="H514" s="245"/>
      <c r="I514" s="245"/>
      <c r="J514" s="172"/>
      <c r="K514" s="172"/>
      <c r="L514" s="172"/>
      <c r="M514" s="200">
        <v>1</v>
      </c>
      <c r="N514" s="515"/>
      <c r="O514" s="515"/>
      <c r="P514" s="515"/>
      <c r="Q514" s="371"/>
      <c r="R514" s="371">
        <f>+Q555</f>
        <v>1</v>
      </c>
      <c r="S514" s="371"/>
      <c r="T514" s="371"/>
      <c r="U514" s="29"/>
      <c r="V514" s="30"/>
      <c r="W514" s="30"/>
      <c r="X514" s="29"/>
      <c r="Y514" s="30"/>
      <c r="Z514" s="30"/>
      <c r="AA514" s="299">
        <v>0</v>
      </c>
      <c r="AC514" s="200">
        <v>1</v>
      </c>
      <c r="AE514" s="42"/>
      <c r="AF514" s="42"/>
    </row>
    <row r="515" spans="1:32" s="19" customFormat="1" x14ac:dyDescent="0.2">
      <c r="A515" s="37"/>
      <c r="B515" s="37" t="s">
        <v>1392</v>
      </c>
      <c r="C515" s="170" t="s">
        <v>27</v>
      </c>
      <c r="D515" s="172"/>
      <c r="F515" s="172"/>
      <c r="G515" s="172"/>
      <c r="H515" s="245"/>
      <c r="I515" s="245"/>
      <c r="J515" s="172"/>
      <c r="K515" s="172"/>
      <c r="L515" s="172"/>
      <c r="M515" s="200">
        <v>1</v>
      </c>
      <c r="N515" s="515"/>
      <c r="O515" s="515"/>
      <c r="P515" s="515"/>
      <c r="Q515" s="371"/>
      <c r="R515" s="371">
        <f>+Q558</f>
        <v>1</v>
      </c>
      <c r="S515" s="371"/>
      <c r="T515" s="371"/>
      <c r="U515" s="29"/>
      <c r="V515" s="30"/>
      <c r="W515" s="30"/>
      <c r="X515" s="29"/>
      <c r="Y515" s="30"/>
      <c r="Z515" s="30"/>
      <c r="AA515" s="299">
        <v>0</v>
      </c>
      <c r="AC515" s="200">
        <v>1</v>
      </c>
      <c r="AE515" s="42"/>
      <c r="AF515" s="42"/>
    </row>
    <row r="516" spans="1:32" s="19" customFormat="1" x14ac:dyDescent="0.2">
      <c r="A516" s="37"/>
      <c r="B516" s="37" t="s">
        <v>1393</v>
      </c>
      <c r="C516" s="170" t="s">
        <v>27</v>
      </c>
      <c r="D516" s="172"/>
      <c r="F516" s="172"/>
      <c r="G516" s="172"/>
      <c r="H516" s="245">
        <v>1</v>
      </c>
      <c r="I516" s="245"/>
      <c r="J516" s="172">
        <v>1</v>
      </c>
      <c r="K516" s="172">
        <v>8</v>
      </c>
      <c r="L516" s="172"/>
      <c r="M516" s="200">
        <v>1</v>
      </c>
      <c r="N516" s="515"/>
      <c r="O516" s="515"/>
      <c r="P516" s="515"/>
      <c r="Q516" s="371">
        <f>SUM(M516:M523)/SUM(K516:K523)</f>
        <v>0.75</v>
      </c>
      <c r="R516" s="371">
        <f>+Q561</f>
        <v>1</v>
      </c>
      <c r="S516" s="371"/>
      <c r="T516" s="371"/>
      <c r="U516" s="29"/>
      <c r="V516" s="30"/>
      <c r="W516" s="30"/>
      <c r="X516" s="29"/>
      <c r="Y516" s="30"/>
      <c r="Z516" s="30"/>
      <c r="AA516" s="299"/>
      <c r="AC516" s="200">
        <v>1</v>
      </c>
      <c r="AE516" s="42"/>
      <c r="AF516" s="42"/>
    </row>
    <row r="517" spans="1:32" s="19" customFormat="1" x14ac:dyDescent="0.2">
      <c r="A517" s="37"/>
      <c r="B517" s="37" t="s">
        <v>1394</v>
      </c>
      <c r="C517" s="170"/>
      <c r="D517" s="172"/>
      <c r="F517" s="172"/>
      <c r="G517" s="172"/>
      <c r="H517" s="245"/>
      <c r="I517" s="245"/>
      <c r="J517" s="172"/>
      <c r="K517" s="172"/>
      <c r="L517" s="172"/>
      <c r="M517" s="200">
        <v>1</v>
      </c>
      <c r="N517" s="515"/>
      <c r="O517" s="515"/>
      <c r="P517" s="515"/>
      <c r="Q517" s="371"/>
      <c r="R517" s="371">
        <f>+Q564</f>
        <v>1</v>
      </c>
      <c r="S517" s="371"/>
      <c r="T517" s="371"/>
      <c r="U517" s="29"/>
      <c r="V517" s="30"/>
      <c r="W517" s="30"/>
      <c r="X517" s="29"/>
      <c r="Y517" s="30"/>
      <c r="Z517" s="30"/>
      <c r="AA517" s="299"/>
      <c r="AC517" s="200">
        <v>1</v>
      </c>
      <c r="AE517" s="42"/>
      <c r="AF517" s="42"/>
    </row>
    <row r="518" spans="1:32" s="19" customFormat="1" x14ac:dyDescent="0.2">
      <c r="A518" s="37"/>
      <c r="B518" s="37" t="s">
        <v>1395</v>
      </c>
      <c r="C518" s="170"/>
      <c r="D518" s="172"/>
      <c r="F518" s="172"/>
      <c r="G518" s="172"/>
      <c r="H518" s="245"/>
      <c r="I518" s="245"/>
      <c r="J518" s="172"/>
      <c r="K518" s="172"/>
      <c r="L518" s="172"/>
      <c r="M518" s="200">
        <v>1</v>
      </c>
      <c r="N518" s="515"/>
      <c r="O518" s="515"/>
      <c r="P518" s="515"/>
      <c r="Q518" s="371"/>
      <c r="R518" s="371">
        <f>+Q568</f>
        <v>1</v>
      </c>
      <c r="S518" s="371"/>
      <c r="T518" s="371"/>
      <c r="U518" s="29"/>
      <c r="V518" s="30"/>
      <c r="W518" s="30"/>
      <c r="X518" s="29"/>
      <c r="Y518" s="30"/>
      <c r="Z518" s="30"/>
      <c r="AA518" s="299"/>
      <c r="AC518" s="200">
        <v>1</v>
      </c>
      <c r="AE518" s="42"/>
      <c r="AF518" s="42"/>
    </row>
    <row r="519" spans="1:32" s="19" customFormat="1" x14ac:dyDescent="0.2">
      <c r="A519" s="37" t="s">
        <v>27</v>
      </c>
      <c r="B519" s="37" t="s">
        <v>1396</v>
      </c>
      <c r="C519" s="170"/>
      <c r="D519" s="172"/>
      <c r="F519" s="172"/>
      <c r="G519" s="172"/>
      <c r="H519" s="245" t="s">
        <v>27</v>
      </c>
      <c r="I519" s="245"/>
      <c r="J519" s="172" t="s">
        <v>27</v>
      </c>
      <c r="K519" s="172" t="s">
        <v>27</v>
      </c>
      <c r="L519" s="172"/>
      <c r="M519" s="200">
        <v>0</v>
      </c>
      <c r="N519" s="515"/>
      <c r="O519" s="515"/>
      <c r="P519" s="515"/>
      <c r="Q519" s="371" t="s">
        <v>27</v>
      </c>
      <c r="R519" s="371">
        <f>+Q570</f>
        <v>1</v>
      </c>
      <c r="S519" s="371"/>
      <c r="T519" s="371"/>
      <c r="U519" s="29"/>
      <c r="V519" s="30"/>
      <c r="W519" s="30"/>
      <c r="X519" s="29"/>
      <c r="Y519" s="30"/>
      <c r="Z519" s="30"/>
      <c r="AA519" s="299"/>
      <c r="AC519" s="200">
        <v>1</v>
      </c>
      <c r="AE519" s="42"/>
      <c r="AF519" s="42"/>
    </row>
    <row r="520" spans="1:32" s="19" customFormat="1" x14ac:dyDescent="0.2">
      <c r="A520" s="37"/>
      <c r="B520" s="37" t="s">
        <v>1397</v>
      </c>
      <c r="C520" s="170"/>
      <c r="D520" s="172"/>
      <c r="F520" s="172"/>
      <c r="G520" s="172"/>
      <c r="H520" s="245"/>
      <c r="I520" s="245"/>
      <c r="J520" s="172"/>
      <c r="K520" s="172"/>
      <c r="L520" s="172"/>
      <c r="M520" s="200">
        <v>0</v>
      </c>
      <c r="N520" s="515"/>
      <c r="O520" s="515"/>
      <c r="P520" s="515"/>
      <c r="Q520" s="371"/>
      <c r="R520" s="371"/>
      <c r="S520" s="371"/>
      <c r="T520" s="371"/>
      <c r="U520" s="29"/>
      <c r="V520" s="30"/>
      <c r="W520" s="30"/>
      <c r="X520" s="29"/>
      <c r="Y520" s="30"/>
      <c r="Z520" s="30"/>
      <c r="AA520" s="299"/>
      <c r="AC520" s="200">
        <v>1</v>
      </c>
      <c r="AE520" s="42"/>
      <c r="AF520" s="42"/>
    </row>
    <row r="521" spans="1:32" s="19" customFormat="1" x14ac:dyDescent="0.2">
      <c r="A521" s="37"/>
      <c r="B521" s="37" t="s">
        <v>1398</v>
      </c>
      <c r="C521" s="170"/>
      <c r="D521" s="172"/>
      <c r="F521" s="172"/>
      <c r="G521" s="172"/>
      <c r="H521" s="245"/>
      <c r="I521" s="245"/>
      <c r="J521" s="172"/>
      <c r="K521" s="172"/>
      <c r="L521" s="172"/>
      <c r="M521" s="200">
        <v>1</v>
      </c>
      <c r="N521" s="515"/>
      <c r="O521" s="515"/>
      <c r="P521" s="515"/>
      <c r="Q521" s="371"/>
      <c r="R521" s="371"/>
      <c r="S521" s="371"/>
      <c r="T521" s="371"/>
      <c r="U521" s="29"/>
      <c r="V521" s="30"/>
      <c r="W521" s="30"/>
      <c r="X521" s="29"/>
      <c r="Y521" s="30"/>
      <c r="Z521" s="30"/>
      <c r="AA521" s="299"/>
      <c r="AC521" s="200">
        <v>1</v>
      </c>
      <c r="AE521" s="42"/>
      <c r="AF521" s="42"/>
    </row>
    <row r="522" spans="1:32" s="19" customFormat="1" x14ac:dyDescent="0.2">
      <c r="A522" s="37"/>
      <c r="B522" s="37" t="s">
        <v>1399</v>
      </c>
      <c r="C522" s="170"/>
      <c r="D522" s="172"/>
      <c r="F522" s="172"/>
      <c r="G522" s="172"/>
      <c r="H522" s="245"/>
      <c r="I522" s="245"/>
      <c r="J522" s="172"/>
      <c r="K522" s="172"/>
      <c r="L522" s="172"/>
      <c r="M522" s="200">
        <v>1</v>
      </c>
      <c r="N522" s="515"/>
      <c r="O522" s="515"/>
      <c r="P522" s="515"/>
      <c r="Q522" s="371"/>
      <c r="R522" s="383">
        <f>AVERAGE(R504:R519)</f>
        <v>0.97916666666666674</v>
      </c>
      <c r="S522" s="383"/>
      <c r="T522" s="380">
        <f>STDEV(R504:R519)/(SQRT(COUNT(R504:R519)))</f>
        <v>1.6137430609197572E-2</v>
      </c>
      <c r="U522" s="29"/>
      <c r="V522" s="30"/>
      <c r="W522" s="30"/>
      <c r="X522" s="29"/>
      <c r="Y522" s="30"/>
      <c r="Z522" s="30"/>
      <c r="AA522" s="299"/>
      <c r="AC522" s="200">
        <v>1</v>
      </c>
      <c r="AE522" s="42"/>
      <c r="AF522" s="42"/>
    </row>
    <row r="523" spans="1:32" s="19" customFormat="1" x14ac:dyDescent="0.2">
      <c r="A523" s="37"/>
      <c r="B523" s="37" t="s">
        <v>1400</v>
      </c>
      <c r="C523" s="170"/>
      <c r="D523" s="172"/>
      <c r="F523" s="172"/>
      <c r="G523" s="172"/>
      <c r="H523" s="245" t="s">
        <v>27</v>
      </c>
      <c r="I523" s="245"/>
      <c r="J523" s="172" t="s">
        <v>27</v>
      </c>
      <c r="K523" s="172" t="s">
        <v>27</v>
      </c>
      <c r="L523" s="172"/>
      <c r="M523" s="200">
        <v>1</v>
      </c>
      <c r="N523" s="515"/>
      <c r="O523" s="515"/>
      <c r="P523" s="515"/>
      <c r="Q523" s="371" t="s">
        <v>27</v>
      </c>
      <c r="R523" s="371"/>
      <c r="S523" s="371"/>
      <c r="T523" s="371"/>
      <c r="U523" s="29"/>
      <c r="V523" s="30"/>
      <c r="W523" s="30"/>
      <c r="X523" s="29"/>
      <c r="Y523" s="30"/>
      <c r="Z523" s="30"/>
      <c r="AA523" s="299"/>
      <c r="AC523" s="200">
        <v>1</v>
      </c>
      <c r="AE523" s="42"/>
      <c r="AF523" s="42"/>
    </row>
    <row r="524" spans="1:32" s="19" customFormat="1" x14ac:dyDescent="0.2">
      <c r="A524" s="37"/>
      <c r="B524" s="37" t="s">
        <v>1401</v>
      </c>
      <c r="C524" s="170"/>
      <c r="D524" s="172"/>
      <c r="F524" s="172"/>
      <c r="G524" s="172"/>
      <c r="H524" s="245">
        <v>1</v>
      </c>
      <c r="I524" s="245"/>
      <c r="J524" s="172">
        <v>1</v>
      </c>
      <c r="K524" s="172">
        <v>2</v>
      </c>
      <c r="L524" s="172"/>
      <c r="M524" s="200">
        <v>1</v>
      </c>
      <c r="N524" s="515"/>
      <c r="O524" s="515"/>
      <c r="P524" s="515"/>
      <c r="Q524" s="371">
        <v>1</v>
      </c>
      <c r="R524" s="371"/>
      <c r="S524" s="371"/>
      <c r="T524" s="371"/>
      <c r="U524" s="29"/>
      <c r="V524" s="30"/>
      <c r="W524" s="30"/>
      <c r="X524" s="29"/>
      <c r="Y524" s="30"/>
      <c r="Z524" s="30"/>
      <c r="AA524" s="299"/>
      <c r="AC524" s="200">
        <v>1</v>
      </c>
      <c r="AE524" s="42"/>
      <c r="AF524" s="42"/>
    </row>
    <row r="525" spans="1:32" s="19" customFormat="1" x14ac:dyDescent="0.2">
      <c r="A525" s="37"/>
      <c r="B525" s="37" t="s">
        <v>1402</v>
      </c>
      <c r="C525" s="170"/>
      <c r="D525" s="172"/>
      <c r="F525" s="172"/>
      <c r="G525" s="172"/>
      <c r="H525" s="245"/>
      <c r="I525" s="245"/>
      <c r="J525" s="172"/>
      <c r="K525" s="172"/>
      <c r="L525" s="172"/>
      <c r="M525" s="200">
        <v>1</v>
      </c>
      <c r="N525" s="515"/>
      <c r="O525" s="515"/>
      <c r="P525" s="515"/>
      <c r="Q525" s="371"/>
      <c r="R525" s="371"/>
      <c r="S525" s="371"/>
      <c r="T525" s="371"/>
      <c r="U525" s="29"/>
      <c r="V525" s="30"/>
      <c r="W525" s="30"/>
      <c r="X525" s="29"/>
      <c r="Y525" s="30"/>
      <c r="Z525" s="30"/>
      <c r="AA525" s="299"/>
      <c r="AC525" s="200">
        <v>1</v>
      </c>
      <c r="AE525" s="42"/>
      <c r="AF525" s="42"/>
    </row>
    <row r="526" spans="1:32" s="19" customFormat="1" x14ac:dyDescent="0.2">
      <c r="A526" s="37"/>
      <c r="B526" s="37" t="s">
        <v>1403</v>
      </c>
      <c r="C526" s="170"/>
      <c r="D526" s="172"/>
      <c r="F526" s="172"/>
      <c r="G526" s="172"/>
      <c r="H526" s="245">
        <v>1</v>
      </c>
      <c r="I526" s="245"/>
      <c r="J526" s="172">
        <v>1</v>
      </c>
      <c r="K526" s="172">
        <v>3</v>
      </c>
      <c r="L526" s="172"/>
      <c r="M526" s="200">
        <v>1</v>
      </c>
      <c r="N526" s="515"/>
      <c r="O526" s="515"/>
      <c r="P526" s="515"/>
      <c r="Q526" s="371">
        <v>1</v>
      </c>
      <c r="R526" s="371"/>
      <c r="S526" s="371"/>
      <c r="T526" s="371"/>
      <c r="U526" s="29"/>
      <c r="V526" s="30"/>
      <c r="W526" s="30"/>
      <c r="X526" s="29"/>
      <c r="Y526" s="30"/>
      <c r="Z526" s="30"/>
      <c r="AA526" s="299"/>
      <c r="AC526" s="200">
        <v>1</v>
      </c>
      <c r="AE526" s="42"/>
      <c r="AF526" s="42"/>
    </row>
    <row r="527" spans="1:32" s="19" customFormat="1" x14ac:dyDescent="0.2">
      <c r="A527" s="37"/>
      <c r="B527" s="37" t="s">
        <v>1404</v>
      </c>
      <c r="C527" s="170"/>
      <c r="D527" s="172"/>
      <c r="F527" s="172"/>
      <c r="G527" s="172"/>
      <c r="H527" s="245"/>
      <c r="I527" s="245"/>
      <c r="J527" s="172"/>
      <c r="K527" s="172"/>
      <c r="L527" s="172"/>
      <c r="M527" s="200">
        <v>1</v>
      </c>
      <c r="N527" s="515"/>
      <c r="O527" s="515"/>
      <c r="P527" s="515"/>
      <c r="Q527" s="371"/>
      <c r="R527" s="371"/>
      <c r="S527" s="371"/>
      <c r="T527" s="371"/>
      <c r="U527" s="29"/>
      <c r="V527" s="30"/>
      <c r="W527" s="30"/>
      <c r="X527" s="29"/>
      <c r="Y527" s="30"/>
      <c r="Z527" s="30"/>
      <c r="AA527" s="299"/>
      <c r="AC527" s="200">
        <v>1</v>
      </c>
      <c r="AE527" s="42"/>
      <c r="AF527" s="42"/>
    </row>
    <row r="528" spans="1:32" s="19" customFormat="1" x14ac:dyDescent="0.2">
      <c r="A528" s="37"/>
      <c r="B528" s="37" t="s">
        <v>1405</v>
      </c>
      <c r="C528" s="170"/>
      <c r="D528" s="172"/>
      <c r="F528" s="172"/>
      <c r="G528" s="172"/>
      <c r="H528" s="245"/>
      <c r="I528" s="245"/>
      <c r="J528" s="172"/>
      <c r="K528" s="172"/>
      <c r="L528" s="172"/>
      <c r="M528" s="200">
        <v>1</v>
      </c>
      <c r="N528" s="515"/>
      <c r="O528" s="515"/>
      <c r="P528" s="515"/>
      <c r="Q528" s="371"/>
      <c r="R528" s="371"/>
      <c r="S528" s="371"/>
      <c r="T528" s="371"/>
      <c r="U528" s="29"/>
      <c r="V528" s="30"/>
      <c r="W528" s="30"/>
      <c r="X528" s="29"/>
      <c r="Y528" s="30"/>
      <c r="Z528" s="30"/>
      <c r="AA528" s="299"/>
      <c r="AC528" s="200">
        <v>1</v>
      </c>
      <c r="AE528" s="42"/>
      <c r="AF528" s="42"/>
    </row>
    <row r="529" spans="1:32" s="19" customFormat="1" x14ac:dyDescent="0.2">
      <c r="A529" s="37"/>
      <c r="B529" s="37" t="s">
        <v>1406</v>
      </c>
      <c r="C529" s="170"/>
      <c r="D529" s="172"/>
      <c r="F529" s="172"/>
      <c r="G529" s="172"/>
      <c r="H529" s="245">
        <v>1</v>
      </c>
      <c r="I529" s="245"/>
      <c r="J529" s="172">
        <v>1</v>
      </c>
      <c r="K529" s="172">
        <v>9</v>
      </c>
      <c r="L529" s="172"/>
      <c r="M529" s="200">
        <v>1</v>
      </c>
      <c r="N529" s="515"/>
      <c r="O529" s="515"/>
      <c r="P529" s="515"/>
      <c r="Q529" s="371">
        <v>1</v>
      </c>
      <c r="R529" s="371"/>
      <c r="S529" s="371"/>
      <c r="T529" s="371"/>
      <c r="U529" s="29"/>
      <c r="V529" s="30"/>
      <c r="W529" s="30"/>
      <c r="X529" s="29"/>
      <c r="Y529" s="30"/>
      <c r="Z529" s="30"/>
      <c r="AA529" s="299"/>
      <c r="AC529" s="200">
        <v>1</v>
      </c>
      <c r="AE529" s="42"/>
      <c r="AF529" s="42"/>
    </row>
    <row r="530" spans="1:32" s="19" customFormat="1" x14ac:dyDescent="0.2">
      <c r="A530" s="37"/>
      <c r="B530" s="37" t="s">
        <v>1407</v>
      </c>
      <c r="C530" s="170"/>
      <c r="D530" s="172"/>
      <c r="F530" s="172"/>
      <c r="G530" s="172"/>
      <c r="H530" s="245"/>
      <c r="I530" s="245"/>
      <c r="J530" s="172"/>
      <c r="K530" s="172"/>
      <c r="L530" s="172"/>
      <c r="M530" s="200">
        <v>1</v>
      </c>
      <c r="N530" s="515"/>
      <c r="O530" s="515"/>
      <c r="P530" s="515"/>
      <c r="Q530" s="371"/>
      <c r="R530" s="371"/>
      <c r="S530" s="371"/>
      <c r="T530" s="371"/>
      <c r="U530" s="29"/>
      <c r="V530" s="30"/>
      <c r="W530" s="30"/>
      <c r="X530" s="29"/>
      <c r="Y530" s="30"/>
      <c r="Z530" s="30"/>
      <c r="AA530" s="299"/>
      <c r="AC530" s="200">
        <v>1</v>
      </c>
      <c r="AE530" s="42"/>
      <c r="AF530" s="42"/>
    </row>
    <row r="531" spans="1:32" s="19" customFormat="1" x14ac:dyDescent="0.2">
      <c r="A531" s="37"/>
      <c r="B531" s="37" t="s">
        <v>1408</v>
      </c>
      <c r="C531" s="170"/>
      <c r="D531" s="172"/>
      <c r="F531" s="172"/>
      <c r="G531" s="172"/>
      <c r="H531" s="245"/>
      <c r="I531" s="245"/>
      <c r="J531" s="172"/>
      <c r="K531" s="172"/>
      <c r="L531" s="172"/>
      <c r="M531" s="200">
        <v>1</v>
      </c>
      <c r="N531" s="515"/>
      <c r="O531" s="515"/>
      <c r="P531" s="515"/>
      <c r="Q531" s="371"/>
      <c r="R531" s="371"/>
      <c r="S531" s="371"/>
      <c r="T531" s="371"/>
      <c r="U531" s="29"/>
      <c r="V531" s="30"/>
      <c r="W531" s="30"/>
      <c r="X531" s="29"/>
      <c r="Y531" s="30"/>
      <c r="Z531" s="30"/>
      <c r="AA531" s="299"/>
      <c r="AC531" s="200">
        <v>1</v>
      </c>
      <c r="AE531" s="42"/>
      <c r="AF531" s="42"/>
    </row>
    <row r="532" spans="1:32" s="19" customFormat="1" x14ac:dyDescent="0.2">
      <c r="A532" s="37"/>
      <c r="B532" s="37" t="s">
        <v>1409</v>
      </c>
      <c r="C532" s="170"/>
      <c r="D532" s="172"/>
      <c r="F532" s="172"/>
      <c r="G532" s="172"/>
      <c r="H532" s="245" t="s">
        <v>27</v>
      </c>
      <c r="I532" s="245"/>
      <c r="J532" s="172" t="s">
        <v>27</v>
      </c>
      <c r="K532" s="172" t="s">
        <v>27</v>
      </c>
      <c r="L532" s="172"/>
      <c r="M532" s="200">
        <v>1</v>
      </c>
      <c r="N532" s="515"/>
      <c r="O532" s="515"/>
      <c r="P532" s="515"/>
      <c r="Q532" s="371" t="s">
        <v>27</v>
      </c>
      <c r="R532" s="371"/>
      <c r="S532" s="371"/>
      <c r="T532" s="371"/>
      <c r="U532" s="29"/>
      <c r="V532" s="30"/>
      <c r="W532" s="30"/>
      <c r="X532" s="29"/>
      <c r="Y532" s="30"/>
      <c r="Z532" s="30"/>
      <c r="AA532" s="299"/>
      <c r="AC532" s="200">
        <v>1</v>
      </c>
      <c r="AE532" s="42"/>
      <c r="AF532" s="42"/>
    </row>
    <row r="533" spans="1:32" s="19" customFormat="1" x14ac:dyDescent="0.2">
      <c r="A533" s="37"/>
      <c r="B533" s="37" t="s">
        <v>1410</v>
      </c>
      <c r="C533" s="170"/>
      <c r="D533" s="172"/>
      <c r="F533" s="172"/>
      <c r="G533" s="172"/>
      <c r="H533" s="245"/>
      <c r="I533" s="245"/>
      <c r="J533" s="172"/>
      <c r="K533" s="172"/>
      <c r="L533" s="172"/>
      <c r="M533" s="200">
        <v>1</v>
      </c>
      <c r="N533" s="515"/>
      <c r="O533" s="515"/>
      <c r="P533" s="515"/>
      <c r="Q533" s="371"/>
      <c r="R533" s="371"/>
      <c r="S533" s="371"/>
      <c r="T533" s="371"/>
      <c r="U533" s="29"/>
      <c r="V533" s="30"/>
      <c r="W533" s="30"/>
      <c r="X533" s="29"/>
      <c r="Y533" s="30"/>
      <c r="Z533" s="30"/>
      <c r="AA533" s="299"/>
      <c r="AC533" s="200">
        <v>1</v>
      </c>
      <c r="AE533" s="42"/>
      <c r="AF533" s="42"/>
    </row>
    <row r="534" spans="1:32" s="19" customFormat="1" x14ac:dyDescent="0.2">
      <c r="A534" s="37"/>
      <c r="B534" s="37" t="s">
        <v>1411</v>
      </c>
      <c r="C534" s="170"/>
      <c r="D534" s="172"/>
      <c r="F534" s="172"/>
      <c r="G534" s="172"/>
      <c r="H534" s="245"/>
      <c r="I534" s="245"/>
      <c r="J534" s="172"/>
      <c r="K534" s="172"/>
      <c r="L534" s="172"/>
      <c r="M534" s="200">
        <v>1</v>
      </c>
      <c r="N534" s="515"/>
      <c r="O534" s="515"/>
      <c r="P534" s="515"/>
      <c r="Q534" s="371"/>
      <c r="R534" s="371"/>
      <c r="S534" s="371"/>
      <c r="T534" s="371"/>
      <c r="U534" s="29"/>
      <c r="V534" s="30"/>
      <c r="W534" s="30"/>
      <c r="X534" s="29"/>
      <c r="Y534" s="30"/>
      <c r="Z534" s="30"/>
      <c r="AA534" s="299"/>
      <c r="AC534" s="200">
        <v>1</v>
      </c>
      <c r="AE534" s="42"/>
      <c r="AF534" s="42"/>
    </row>
    <row r="535" spans="1:32" s="19" customFormat="1" x14ac:dyDescent="0.2">
      <c r="A535" s="37"/>
      <c r="B535" s="37" t="s">
        <v>1412</v>
      </c>
      <c r="C535" s="170"/>
      <c r="D535" s="172"/>
      <c r="F535" s="172"/>
      <c r="G535" s="172"/>
      <c r="H535" s="245" t="s">
        <v>27</v>
      </c>
      <c r="I535" s="245"/>
      <c r="J535" s="172" t="s">
        <v>27</v>
      </c>
      <c r="K535" s="172" t="s">
        <v>27</v>
      </c>
      <c r="L535" s="172"/>
      <c r="M535" s="200">
        <v>1</v>
      </c>
      <c r="N535" s="515"/>
      <c r="O535" s="515"/>
      <c r="P535" s="515"/>
      <c r="Q535" s="371" t="s">
        <v>27</v>
      </c>
      <c r="R535" s="371"/>
      <c r="S535" s="371"/>
      <c r="T535" s="371"/>
      <c r="U535" s="29"/>
      <c r="V535" s="30"/>
      <c r="W535" s="30"/>
      <c r="X535" s="29"/>
      <c r="Y535" s="30"/>
      <c r="Z535" s="30"/>
      <c r="AA535" s="299"/>
      <c r="AC535" s="200">
        <v>1</v>
      </c>
      <c r="AE535" s="42"/>
      <c r="AF535" s="42"/>
    </row>
    <row r="536" spans="1:32" s="19" customFormat="1" x14ac:dyDescent="0.2">
      <c r="A536" s="37"/>
      <c r="B536" s="37" t="s">
        <v>1413</v>
      </c>
      <c r="C536" s="170"/>
      <c r="D536" s="172"/>
      <c r="F536" s="172"/>
      <c r="G536" s="172"/>
      <c r="H536" s="245"/>
      <c r="I536" s="245"/>
      <c r="J536" s="172"/>
      <c r="K536" s="172"/>
      <c r="L536" s="172"/>
      <c r="M536" s="200">
        <v>1</v>
      </c>
      <c r="N536" s="515"/>
      <c r="O536" s="515"/>
      <c r="P536" s="515"/>
      <c r="Q536" s="371"/>
      <c r="R536" s="371"/>
      <c r="S536" s="371"/>
      <c r="T536" s="371"/>
      <c r="U536" s="29"/>
      <c r="V536" s="30"/>
      <c r="W536" s="30"/>
      <c r="X536" s="29"/>
      <c r="Y536" s="30"/>
      <c r="Z536" s="30"/>
      <c r="AA536" s="299"/>
      <c r="AC536" s="200">
        <v>0</v>
      </c>
      <c r="AE536" s="42"/>
      <c r="AF536" s="42"/>
    </row>
    <row r="537" spans="1:32" s="19" customFormat="1" x14ac:dyDescent="0.2">
      <c r="A537" s="37"/>
      <c r="B537" s="37" t="s">
        <v>1414</v>
      </c>
      <c r="C537" s="170"/>
      <c r="D537" s="172"/>
      <c r="F537" s="172"/>
      <c r="G537" s="172"/>
      <c r="H537" s="245"/>
      <c r="I537" s="245"/>
      <c r="J537" s="172"/>
      <c r="K537" s="172"/>
      <c r="L537" s="172"/>
      <c r="M537" s="200">
        <v>1</v>
      </c>
      <c r="N537" s="515"/>
      <c r="O537" s="515"/>
      <c r="P537" s="515"/>
      <c r="Q537" s="371"/>
      <c r="R537" s="371"/>
      <c r="S537" s="371"/>
      <c r="T537" s="371"/>
      <c r="U537" s="29"/>
      <c r="V537" s="30"/>
      <c r="W537" s="30"/>
      <c r="X537" s="29"/>
      <c r="Y537" s="30"/>
      <c r="Z537" s="30"/>
      <c r="AA537" s="299"/>
      <c r="AC537" s="200">
        <v>1</v>
      </c>
      <c r="AE537" s="42"/>
      <c r="AF537" s="42"/>
    </row>
    <row r="538" spans="1:32" s="19" customFormat="1" x14ac:dyDescent="0.2">
      <c r="A538" s="37"/>
      <c r="B538" s="37" t="s">
        <v>1415</v>
      </c>
      <c r="C538" s="170"/>
      <c r="D538" s="172"/>
      <c r="F538" s="172"/>
      <c r="G538" s="172"/>
      <c r="H538" s="245">
        <v>1</v>
      </c>
      <c r="I538" s="245"/>
      <c r="J538" s="172">
        <v>1</v>
      </c>
      <c r="K538" s="172">
        <v>12</v>
      </c>
      <c r="L538" s="172"/>
      <c r="M538" s="200">
        <v>1</v>
      </c>
      <c r="N538" s="515"/>
      <c r="O538" s="515"/>
      <c r="P538" s="515"/>
      <c r="Q538" s="371">
        <f>SUM(M538:M549)/SUM(K538:K549)</f>
        <v>0.91666666666666663</v>
      </c>
      <c r="R538" s="371"/>
      <c r="S538" s="371"/>
      <c r="T538" s="371"/>
      <c r="U538" s="29" t="s">
        <v>92</v>
      </c>
      <c r="V538" s="30"/>
      <c r="W538" s="30"/>
      <c r="X538" s="29"/>
      <c r="Y538" s="30"/>
      <c r="Z538" s="30"/>
      <c r="AA538" s="299"/>
      <c r="AC538" s="200">
        <v>1</v>
      </c>
      <c r="AE538" s="42"/>
      <c r="AF538" s="42"/>
    </row>
    <row r="539" spans="1:32" s="19" customFormat="1" x14ac:dyDescent="0.2">
      <c r="A539" s="37"/>
      <c r="B539" s="37" t="s">
        <v>1416</v>
      </c>
      <c r="C539" s="170"/>
      <c r="D539" s="172"/>
      <c r="F539" s="172"/>
      <c r="G539" s="172"/>
      <c r="H539" s="245"/>
      <c r="I539" s="245"/>
      <c r="J539" s="172"/>
      <c r="K539" s="172"/>
      <c r="L539" s="172"/>
      <c r="M539" s="200">
        <v>1</v>
      </c>
      <c r="N539" s="515"/>
      <c r="O539" s="515"/>
      <c r="P539" s="515"/>
      <c r="Q539" s="371"/>
      <c r="R539" s="371"/>
      <c r="S539" s="371"/>
      <c r="T539" s="371"/>
      <c r="U539" s="29"/>
      <c r="V539" s="30"/>
      <c r="W539" s="30"/>
      <c r="X539" s="29"/>
      <c r="Y539" s="30"/>
      <c r="Z539" s="30"/>
      <c r="AA539" s="299"/>
      <c r="AC539" s="200">
        <v>1</v>
      </c>
      <c r="AE539" s="42"/>
      <c r="AF539" s="42"/>
    </row>
    <row r="540" spans="1:32" s="19" customFormat="1" x14ac:dyDescent="0.2">
      <c r="A540" s="37"/>
      <c r="B540" s="37" t="s">
        <v>1417</v>
      </c>
      <c r="C540" s="170"/>
      <c r="D540" s="172"/>
      <c r="F540" s="172"/>
      <c r="G540" s="172"/>
      <c r="H540" s="245"/>
      <c r="I540" s="245"/>
      <c r="J540" s="172"/>
      <c r="K540" s="172"/>
      <c r="L540" s="172"/>
      <c r="M540" s="200">
        <v>1</v>
      </c>
      <c r="N540" s="515"/>
      <c r="O540" s="515"/>
      <c r="P540" s="515"/>
      <c r="Q540" s="371"/>
      <c r="R540" s="371"/>
      <c r="S540" s="371"/>
      <c r="T540" s="371"/>
      <c r="U540" s="29"/>
      <c r="V540" s="30"/>
      <c r="W540" s="30"/>
      <c r="X540" s="29"/>
      <c r="Y540" s="30"/>
      <c r="Z540" s="30"/>
      <c r="AA540" s="299"/>
      <c r="AC540" s="200">
        <v>1</v>
      </c>
      <c r="AE540" s="42"/>
      <c r="AF540" s="42"/>
    </row>
    <row r="541" spans="1:32" s="19" customFormat="1" x14ac:dyDescent="0.2">
      <c r="A541" s="37"/>
      <c r="B541" s="37" t="s">
        <v>1418</v>
      </c>
      <c r="C541" s="170"/>
      <c r="D541" s="172"/>
      <c r="F541" s="172"/>
      <c r="G541" s="172"/>
      <c r="H541" s="245" t="s">
        <v>27</v>
      </c>
      <c r="I541" s="245"/>
      <c r="J541" s="172" t="s">
        <v>27</v>
      </c>
      <c r="K541" s="172" t="s">
        <v>27</v>
      </c>
      <c r="L541" s="172"/>
      <c r="M541" s="200">
        <v>1</v>
      </c>
      <c r="N541" s="515"/>
      <c r="O541" s="515"/>
      <c r="P541" s="515"/>
      <c r="Q541" s="371"/>
      <c r="R541" s="371"/>
      <c r="S541" s="371"/>
      <c r="T541" s="371"/>
      <c r="U541" s="29"/>
      <c r="V541" s="30"/>
      <c r="W541" s="30"/>
      <c r="X541" s="29"/>
      <c r="Y541" s="30"/>
      <c r="Z541" s="30"/>
      <c r="AA541" s="299"/>
      <c r="AC541" s="200">
        <v>1</v>
      </c>
      <c r="AE541" s="42"/>
      <c r="AF541" s="42"/>
    </row>
    <row r="542" spans="1:32" s="19" customFormat="1" x14ac:dyDescent="0.2">
      <c r="A542" s="37"/>
      <c r="B542" s="37" t="s">
        <v>1419</v>
      </c>
      <c r="C542" s="170"/>
      <c r="D542" s="172"/>
      <c r="F542" s="172"/>
      <c r="G542" s="172"/>
      <c r="H542" s="245"/>
      <c r="I542" s="245"/>
      <c r="J542" s="172"/>
      <c r="K542" s="172"/>
      <c r="L542" s="172"/>
      <c r="M542" s="200">
        <v>1</v>
      </c>
      <c r="N542" s="515"/>
      <c r="O542" s="515"/>
      <c r="P542" s="515"/>
      <c r="Q542" s="371"/>
      <c r="R542" s="371"/>
      <c r="S542" s="371"/>
      <c r="T542" s="371"/>
      <c r="U542" s="29"/>
      <c r="V542" s="30"/>
      <c r="W542" s="30"/>
      <c r="X542" s="29"/>
      <c r="Y542" s="30"/>
      <c r="Z542" s="30"/>
      <c r="AA542" s="299"/>
      <c r="AC542" s="200">
        <v>1</v>
      </c>
      <c r="AE542" s="42"/>
      <c r="AF542" s="42"/>
    </row>
    <row r="543" spans="1:32" s="19" customFormat="1" x14ac:dyDescent="0.2">
      <c r="A543" s="37"/>
      <c r="B543" s="37" t="s">
        <v>1420</v>
      </c>
      <c r="C543" s="170"/>
      <c r="D543" s="172"/>
      <c r="F543" s="172"/>
      <c r="G543" s="172"/>
      <c r="H543" s="245"/>
      <c r="I543" s="245"/>
      <c r="J543" s="172"/>
      <c r="K543" s="172"/>
      <c r="L543" s="172"/>
      <c r="M543" s="200">
        <v>1</v>
      </c>
      <c r="N543" s="515"/>
      <c r="O543" s="515"/>
      <c r="P543" s="515"/>
      <c r="Q543" s="371"/>
      <c r="R543" s="371"/>
      <c r="S543" s="371"/>
      <c r="T543" s="371"/>
      <c r="U543" s="29"/>
      <c r="V543" s="30"/>
      <c r="W543" s="30"/>
      <c r="X543" s="29"/>
      <c r="Y543" s="30"/>
      <c r="Z543" s="30"/>
      <c r="AA543" s="299"/>
      <c r="AC543" s="200">
        <v>1</v>
      </c>
      <c r="AE543" s="42"/>
      <c r="AF543" s="42"/>
    </row>
    <row r="544" spans="1:32" s="19" customFormat="1" x14ac:dyDescent="0.2">
      <c r="A544" s="37"/>
      <c r="B544" s="37" t="s">
        <v>1421</v>
      </c>
      <c r="C544" s="170"/>
      <c r="D544" s="172"/>
      <c r="F544" s="172"/>
      <c r="G544" s="172"/>
      <c r="H544" s="245"/>
      <c r="I544" s="245"/>
      <c r="J544" s="172"/>
      <c r="K544" s="172"/>
      <c r="L544" s="172"/>
      <c r="M544" s="200">
        <v>1</v>
      </c>
      <c r="N544" s="515"/>
      <c r="O544" s="515"/>
      <c r="P544" s="515"/>
      <c r="Q544" s="371"/>
      <c r="R544" s="371"/>
      <c r="S544" s="371"/>
      <c r="T544" s="371"/>
      <c r="U544" s="29"/>
      <c r="V544" s="30"/>
      <c r="W544" s="30"/>
      <c r="X544" s="29"/>
      <c r="Y544" s="30"/>
      <c r="Z544" s="30"/>
      <c r="AA544" s="299"/>
      <c r="AC544" s="200">
        <v>1</v>
      </c>
      <c r="AE544" s="42"/>
      <c r="AF544" s="42"/>
    </row>
    <row r="545" spans="1:32" s="19" customFormat="1" x14ac:dyDescent="0.2">
      <c r="A545" s="37"/>
      <c r="B545" s="37" t="s">
        <v>1422</v>
      </c>
      <c r="C545" s="170"/>
      <c r="D545" s="172"/>
      <c r="F545" s="172"/>
      <c r="G545" s="172"/>
      <c r="H545" s="245"/>
      <c r="I545" s="245"/>
      <c r="J545" s="172"/>
      <c r="K545" s="172"/>
      <c r="L545" s="172"/>
      <c r="M545" s="200">
        <v>1</v>
      </c>
      <c r="N545" s="515"/>
      <c r="O545" s="515"/>
      <c r="P545" s="515"/>
      <c r="Q545" s="371"/>
      <c r="R545" s="371"/>
      <c r="S545" s="371"/>
      <c r="T545" s="371"/>
      <c r="U545" s="29"/>
      <c r="V545" s="30"/>
      <c r="W545" s="30"/>
      <c r="X545" s="29"/>
      <c r="Y545" s="30"/>
      <c r="Z545" s="30"/>
      <c r="AA545" s="299"/>
      <c r="AC545" s="200">
        <v>1</v>
      </c>
      <c r="AE545" s="42"/>
      <c r="AF545" s="42"/>
    </row>
    <row r="546" spans="1:32" s="19" customFormat="1" x14ac:dyDescent="0.2">
      <c r="A546" s="37"/>
      <c r="B546" s="37" t="s">
        <v>1423</v>
      </c>
      <c r="C546" s="170"/>
      <c r="D546" s="172"/>
      <c r="F546" s="172"/>
      <c r="G546" s="172"/>
      <c r="H546" s="245"/>
      <c r="I546" s="245"/>
      <c r="J546" s="172"/>
      <c r="K546" s="172"/>
      <c r="L546" s="172"/>
      <c r="M546" s="200">
        <v>1</v>
      </c>
      <c r="N546" s="515"/>
      <c r="O546" s="515"/>
      <c r="P546" s="515"/>
      <c r="Q546" s="371"/>
      <c r="R546" s="371"/>
      <c r="S546" s="371"/>
      <c r="T546" s="371"/>
      <c r="U546" s="29"/>
      <c r="V546" s="30"/>
      <c r="W546" s="30"/>
      <c r="X546" s="29"/>
      <c r="Y546" s="30"/>
      <c r="Z546" s="30"/>
      <c r="AA546" s="299"/>
      <c r="AC546" s="200">
        <v>1</v>
      </c>
      <c r="AE546" s="42"/>
      <c r="AF546" s="42"/>
    </row>
    <row r="547" spans="1:32" s="19" customFormat="1" x14ac:dyDescent="0.2">
      <c r="A547" s="37"/>
      <c r="B547" s="37" t="s">
        <v>1424</v>
      </c>
      <c r="C547" s="170"/>
      <c r="D547" s="172"/>
      <c r="F547" s="172"/>
      <c r="G547" s="172"/>
      <c r="H547" s="245" t="s">
        <v>27</v>
      </c>
      <c r="I547" s="245"/>
      <c r="J547" s="172" t="s">
        <v>27</v>
      </c>
      <c r="K547" s="172" t="s">
        <v>27</v>
      </c>
      <c r="L547" s="172"/>
      <c r="M547" s="200">
        <v>1</v>
      </c>
      <c r="N547" s="515"/>
      <c r="O547" s="515"/>
      <c r="P547" s="515"/>
      <c r="Q547" s="371"/>
      <c r="R547" s="371"/>
      <c r="S547" s="371"/>
      <c r="T547" s="371"/>
      <c r="U547" s="29"/>
      <c r="V547" s="30"/>
      <c r="W547" s="30"/>
      <c r="X547" s="29"/>
      <c r="Y547" s="30"/>
      <c r="Z547" s="30"/>
      <c r="AA547" s="299"/>
      <c r="AC547" s="200">
        <v>1</v>
      </c>
      <c r="AE547" s="42"/>
      <c r="AF547" s="42"/>
    </row>
    <row r="548" spans="1:32" s="19" customFormat="1" x14ac:dyDescent="0.2">
      <c r="A548" s="37"/>
      <c r="B548" s="37" t="s">
        <v>1425</v>
      </c>
      <c r="C548" s="170"/>
      <c r="D548" s="172"/>
      <c r="F548" s="172"/>
      <c r="G548" s="172"/>
      <c r="H548" s="245"/>
      <c r="I548" s="245"/>
      <c r="J548" s="172"/>
      <c r="K548" s="172"/>
      <c r="L548" s="172"/>
      <c r="M548" s="200">
        <v>1</v>
      </c>
      <c r="N548" s="515"/>
      <c r="O548" s="515"/>
      <c r="P548" s="515"/>
      <c r="Q548" s="371"/>
      <c r="R548" s="371"/>
      <c r="S548" s="371"/>
      <c r="T548" s="371"/>
      <c r="U548" s="29"/>
      <c r="V548" s="30"/>
      <c r="W548" s="30"/>
      <c r="X548" s="29"/>
      <c r="Y548" s="30"/>
      <c r="Z548" s="30"/>
      <c r="AA548" s="299"/>
      <c r="AC548" s="200">
        <v>1</v>
      </c>
      <c r="AE548" s="42"/>
      <c r="AF548" s="42"/>
    </row>
    <row r="549" spans="1:32" s="19" customFormat="1" x14ac:dyDescent="0.2">
      <c r="A549" s="37"/>
      <c r="B549" s="37" t="s">
        <v>1426</v>
      </c>
      <c r="C549" s="170"/>
      <c r="D549" s="172"/>
      <c r="F549" s="172"/>
      <c r="G549" s="172"/>
      <c r="H549" s="245"/>
      <c r="I549" s="245"/>
      <c r="J549" s="172"/>
      <c r="K549" s="172"/>
      <c r="L549" s="172"/>
      <c r="M549" s="200">
        <v>0</v>
      </c>
      <c r="N549" s="515"/>
      <c r="O549" s="515"/>
      <c r="P549" s="515"/>
      <c r="Q549" s="371"/>
      <c r="R549" s="371"/>
      <c r="S549" s="371"/>
      <c r="T549" s="371"/>
      <c r="U549" s="29"/>
      <c r="V549" s="30"/>
      <c r="W549" s="30"/>
      <c r="X549" s="29"/>
      <c r="Y549" s="30"/>
      <c r="Z549" s="30"/>
      <c r="AA549" s="299"/>
      <c r="AC549" s="200">
        <v>1</v>
      </c>
      <c r="AE549" s="42"/>
      <c r="AF549" s="42"/>
    </row>
    <row r="550" spans="1:32" s="19" customFormat="1" x14ac:dyDescent="0.2">
      <c r="A550" s="37"/>
      <c r="B550" s="37" t="s">
        <v>1427</v>
      </c>
      <c r="C550" s="170"/>
      <c r="D550" s="172"/>
      <c r="F550" s="172"/>
      <c r="G550" s="172"/>
      <c r="H550" s="245">
        <v>1</v>
      </c>
      <c r="I550" s="245"/>
      <c r="J550" s="172">
        <v>1</v>
      </c>
      <c r="K550" s="172">
        <v>2</v>
      </c>
      <c r="L550" s="172"/>
      <c r="M550" s="200">
        <v>1</v>
      </c>
      <c r="N550" s="515"/>
      <c r="O550" s="515"/>
      <c r="P550" s="515"/>
      <c r="Q550" s="371">
        <v>1</v>
      </c>
      <c r="R550" s="371"/>
      <c r="S550" s="371"/>
      <c r="T550" s="371"/>
      <c r="U550" s="29"/>
      <c r="V550" s="30"/>
      <c r="W550" s="30"/>
      <c r="X550" s="29"/>
      <c r="Y550" s="30"/>
      <c r="Z550" s="30"/>
      <c r="AA550" s="299"/>
      <c r="AC550" s="200">
        <v>1</v>
      </c>
      <c r="AE550" s="42"/>
      <c r="AF550" s="42"/>
    </row>
    <row r="551" spans="1:32" s="19" customFormat="1" x14ac:dyDescent="0.2">
      <c r="A551" s="37"/>
      <c r="B551" s="37" t="s">
        <v>1428</v>
      </c>
      <c r="C551" s="170"/>
      <c r="D551" s="172"/>
      <c r="F551" s="172"/>
      <c r="G551" s="172"/>
      <c r="H551" s="245"/>
      <c r="I551" s="245"/>
      <c r="J551" s="172"/>
      <c r="K551" s="172"/>
      <c r="L551" s="172"/>
      <c r="M551" s="200">
        <v>1</v>
      </c>
      <c r="N551" s="515"/>
      <c r="O551" s="515"/>
      <c r="P551" s="515"/>
      <c r="Q551" s="371"/>
      <c r="R551" s="371"/>
      <c r="S551" s="371"/>
      <c r="T551" s="371"/>
      <c r="U551" s="29"/>
      <c r="V551" s="30"/>
      <c r="W551" s="30"/>
      <c r="X551" s="29"/>
      <c r="Y551" s="30"/>
      <c r="Z551" s="30"/>
      <c r="AA551" s="299"/>
      <c r="AC551" s="200">
        <v>1</v>
      </c>
      <c r="AE551" s="42"/>
      <c r="AF551" s="42"/>
    </row>
    <row r="552" spans="1:32" s="19" customFormat="1" x14ac:dyDescent="0.2">
      <c r="A552" s="37"/>
      <c r="B552" s="37" t="s">
        <v>1429</v>
      </c>
      <c r="C552" s="170"/>
      <c r="D552" s="172"/>
      <c r="F552" s="172"/>
      <c r="G552" s="172"/>
      <c r="H552" s="245">
        <v>1</v>
      </c>
      <c r="I552" s="245"/>
      <c r="J552" s="172">
        <v>1</v>
      </c>
      <c r="K552" s="172">
        <v>1</v>
      </c>
      <c r="L552" s="172"/>
      <c r="M552" s="200">
        <v>1</v>
      </c>
      <c r="N552" s="515"/>
      <c r="O552" s="515"/>
      <c r="P552" s="515"/>
      <c r="Q552" s="371">
        <v>1</v>
      </c>
      <c r="R552" s="371"/>
      <c r="S552" s="371"/>
      <c r="T552" s="371"/>
      <c r="U552" s="29"/>
      <c r="V552" s="30"/>
      <c r="W552" s="30"/>
      <c r="X552" s="29"/>
      <c r="Y552" s="30"/>
      <c r="Z552" s="30"/>
      <c r="AA552" s="299"/>
      <c r="AC552" s="200">
        <v>1</v>
      </c>
      <c r="AE552" s="42"/>
      <c r="AF552" s="42"/>
    </row>
    <row r="553" spans="1:32" s="19" customFormat="1" x14ac:dyDescent="0.2">
      <c r="A553" s="37"/>
      <c r="B553" s="37" t="s">
        <v>1430</v>
      </c>
      <c r="C553" s="170"/>
      <c r="D553" s="172"/>
      <c r="F553" s="172"/>
      <c r="G553" s="172"/>
      <c r="H553" s="245">
        <v>1</v>
      </c>
      <c r="I553" s="245"/>
      <c r="J553" s="172">
        <v>1</v>
      </c>
      <c r="K553" s="172">
        <v>2</v>
      </c>
      <c r="L553" s="172"/>
      <c r="M553" s="200">
        <v>1</v>
      </c>
      <c r="N553" s="515"/>
      <c r="O553" s="515"/>
      <c r="P553" s="515"/>
      <c r="Q553" s="371">
        <v>1</v>
      </c>
      <c r="R553" s="371"/>
      <c r="S553" s="371"/>
      <c r="T553" s="371"/>
      <c r="U553" s="29"/>
      <c r="V553" s="30"/>
      <c r="W553" s="30"/>
      <c r="X553" s="29"/>
      <c r="Y553" s="30"/>
      <c r="Z553" s="30"/>
      <c r="AA553" s="299"/>
      <c r="AC553" s="200">
        <v>1</v>
      </c>
      <c r="AE553" s="42"/>
      <c r="AF553" s="42"/>
    </row>
    <row r="554" spans="1:32" s="19" customFormat="1" x14ac:dyDescent="0.2">
      <c r="A554" s="37"/>
      <c r="B554" s="37" t="s">
        <v>1431</v>
      </c>
      <c r="C554" s="170"/>
      <c r="D554" s="172"/>
      <c r="F554" s="172"/>
      <c r="G554" s="172"/>
      <c r="H554" s="245"/>
      <c r="I554" s="245"/>
      <c r="J554" s="172"/>
      <c r="K554" s="172"/>
      <c r="L554" s="172"/>
      <c r="M554" s="200">
        <v>1</v>
      </c>
      <c r="N554" s="515"/>
      <c r="O554" s="515"/>
      <c r="P554" s="515"/>
      <c r="Q554" s="371"/>
      <c r="R554" s="371"/>
      <c r="S554" s="371"/>
      <c r="T554" s="371"/>
      <c r="U554" s="29"/>
      <c r="V554" s="30"/>
      <c r="W554" s="30"/>
      <c r="X554" s="29"/>
      <c r="Y554" s="30"/>
      <c r="Z554" s="30"/>
      <c r="AA554" s="299"/>
      <c r="AC554" s="200">
        <v>1</v>
      </c>
      <c r="AE554" s="42"/>
      <c r="AF554" s="42"/>
    </row>
    <row r="555" spans="1:32" s="19" customFormat="1" x14ac:dyDescent="0.2">
      <c r="A555" s="37"/>
      <c r="B555" s="37" t="s">
        <v>1432</v>
      </c>
      <c r="C555" s="170"/>
      <c r="D555" s="172"/>
      <c r="F555" s="172"/>
      <c r="G555" s="172"/>
      <c r="H555" s="245">
        <v>1</v>
      </c>
      <c r="I555" s="245"/>
      <c r="J555" s="172">
        <v>1</v>
      </c>
      <c r="K555" s="172">
        <v>3</v>
      </c>
      <c r="L555" s="172"/>
      <c r="M555" s="539">
        <v>1</v>
      </c>
      <c r="N555" s="515"/>
      <c r="O555" s="515"/>
      <c r="P555" s="515"/>
      <c r="Q555" s="371">
        <v>1</v>
      </c>
      <c r="R555" s="371"/>
      <c r="S555" s="371"/>
      <c r="T555" s="371"/>
      <c r="U555" s="29" t="s">
        <v>92</v>
      </c>
      <c r="V555" s="30"/>
      <c r="W555" s="30" t="s">
        <v>94</v>
      </c>
      <c r="X555" s="29" t="s">
        <v>27</v>
      </c>
      <c r="Y555" s="30"/>
      <c r="Z555" s="30" t="s">
        <v>94</v>
      </c>
      <c r="AA555" s="299"/>
      <c r="AC555" s="200">
        <v>1</v>
      </c>
      <c r="AE555" s="42"/>
      <c r="AF555" s="42"/>
    </row>
    <row r="556" spans="1:32" s="19" customFormat="1" x14ac:dyDescent="0.2">
      <c r="A556" s="37"/>
      <c r="B556" s="37" t="s">
        <v>1433</v>
      </c>
      <c r="C556" s="170"/>
      <c r="D556" s="172"/>
      <c r="F556" s="172"/>
      <c r="G556" s="172"/>
      <c r="H556" s="245"/>
      <c r="I556" s="245"/>
      <c r="J556" s="172"/>
      <c r="K556" s="172"/>
      <c r="L556" s="172"/>
      <c r="M556" s="539">
        <v>1</v>
      </c>
      <c r="N556" s="515"/>
      <c r="O556" s="515"/>
      <c r="P556" s="515"/>
      <c r="Q556" s="371"/>
      <c r="R556" s="371"/>
      <c r="S556" s="371"/>
      <c r="T556" s="371"/>
      <c r="U556" s="29" t="s">
        <v>92</v>
      </c>
      <c r="V556" s="30"/>
      <c r="W556" s="30" t="s">
        <v>94</v>
      </c>
      <c r="X556" s="29"/>
      <c r="Y556" s="30"/>
      <c r="Z556" s="30"/>
      <c r="AA556" s="299"/>
      <c r="AC556" s="200">
        <v>1</v>
      </c>
      <c r="AE556" s="42"/>
      <c r="AF556" s="42"/>
    </row>
    <row r="557" spans="1:32" s="19" customFormat="1" x14ac:dyDescent="0.2">
      <c r="A557" s="37"/>
      <c r="B557" s="37" t="s">
        <v>1434</v>
      </c>
      <c r="C557" s="170"/>
      <c r="D557" s="172"/>
      <c r="F557" s="172"/>
      <c r="G557" s="172"/>
      <c r="H557" s="245"/>
      <c r="I557" s="245"/>
      <c r="J557" s="172"/>
      <c r="K557" s="172"/>
      <c r="L557" s="172"/>
      <c r="M557" s="200">
        <v>1</v>
      </c>
      <c r="N557" s="515"/>
      <c r="O557" s="515"/>
      <c r="P557" s="515"/>
      <c r="Q557" s="371"/>
      <c r="R557" s="371"/>
      <c r="S557" s="371"/>
      <c r="T557" s="371"/>
      <c r="U557" s="29"/>
      <c r="V557" s="30"/>
      <c r="W557" s="30"/>
      <c r="X557" s="29"/>
      <c r="Y557" s="30"/>
      <c r="Z557" s="30"/>
      <c r="AA557" s="299"/>
      <c r="AC557" s="200">
        <v>1</v>
      </c>
      <c r="AE557" s="42"/>
      <c r="AF557" s="42"/>
    </row>
    <row r="558" spans="1:32" s="19" customFormat="1" x14ac:dyDescent="0.2">
      <c r="A558" s="37"/>
      <c r="B558" s="37" t="s">
        <v>1435</v>
      </c>
      <c r="C558" s="170"/>
      <c r="D558" s="172"/>
      <c r="F558" s="172"/>
      <c r="G558" s="172"/>
      <c r="H558" s="245">
        <v>1</v>
      </c>
      <c r="I558" s="245"/>
      <c r="J558" s="172">
        <v>1</v>
      </c>
      <c r="K558" s="172">
        <v>3</v>
      </c>
      <c r="L558" s="172"/>
      <c r="M558" s="200">
        <v>1</v>
      </c>
      <c r="N558" s="515"/>
      <c r="O558" s="515"/>
      <c r="P558" s="515"/>
      <c r="Q558" s="371">
        <v>1</v>
      </c>
      <c r="R558" s="371"/>
      <c r="S558" s="371"/>
      <c r="T558" s="371"/>
      <c r="U558" s="29"/>
      <c r="V558" s="30"/>
      <c r="W558" s="30"/>
      <c r="X558" s="29"/>
      <c r="Y558" s="30"/>
      <c r="Z558" s="30"/>
      <c r="AA558" s="299"/>
      <c r="AC558" s="200">
        <v>1</v>
      </c>
      <c r="AE558" s="42"/>
      <c r="AF558" s="42"/>
    </row>
    <row r="559" spans="1:32" s="19" customFormat="1" x14ac:dyDescent="0.2">
      <c r="A559" s="37"/>
      <c r="B559" s="37" t="s">
        <v>1436</v>
      </c>
      <c r="C559" s="170"/>
      <c r="D559" s="172"/>
      <c r="F559" s="172"/>
      <c r="G559" s="172"/>
      <c r="H559" s="245"/>
      <c r="I559" s="245"/>
      <c r="J559" s="172"/>
      <c r="K559" s="172"/>
      <c r="L559" s="172"/>
      <c r="M559" s="200">
        <v>1</v>
      </c>
      <c r="N559" s="515"/>
      <c r="O559" s="515"/>
      <c r="P559" s="515"/>
      <c r="Q559" s="371"/>
      <c r="R559" s="371"/>
      <c r="S559" s="371"/>
      <c r="T559" s="371"/>
      <c r="U559" s="29"/>
      <c r="V559" s="30"/>
      <c r="W559" s="30"/>
      <c r="X559" s="29"/>
      <c r="Y559" s="30"/>
      <c r="Z559" s="30"/>
      <c r="AA559" s="299"/>
      <c r="AC559" s="200">
        <v>1</v>
      </c>
      <c r="AE559" s="42"/>
      <c r="AF559" s="42"/>
    </row>
    <row r="560" spans="1:32" s="19" customFormat="1" x14ac:dyDescent="0.2">
      <c r="A560" s="37"/>
      <c r="B560" s="37" t="s">
        <v>1437</v>
      </c>
      <c r="C560" s="170"/>
      <c r="D560" s="172"/>
      <c r="F560" s="172"/>
      <c r="G560" s="172"/>
      <c r="H560" s="245"/>
      <c r="I560" s="245"/>
      <c r="J560" s="172"/>
      <c r="K560" s="172"/>
      <c r="L560" s="172"/>
      <c r="M560" s="200">
        <v>1</v>
      </c>
      <c r="N560" s="515"/>
      <c r="O560" s="515"/>
      <c r="P560" s="515"/>
      <c r="Q560" s="371"/>
      <c r="R560" s="371"/>
      <c r="S560" s="371"/>
      <c r="T560" s="371"/>
      <c r="U560" s="29"/>
      <c r="V560" s="30"/>
      <c r="W560" s="30"/>
      <c r="X560" s="29"/>
      <c r="Y560" s="30"/>
      <c r="Z560" s="30"/>
      <c r="AA560" s="299"/>
      <c r="AC560" s="200">
        <v>1</v>
      </c>
      <c r="AE560" s="42"/>
      <c r="AF560" s="42"/>
    </row>
    <row r="561" spans="1:32" s="19" customFormat="1" x14ac:dyDescent="0.2">
      <c r="A561" s="37"/>
      <c r="B561" s="37" t="s">
        <v>1438</v>
      </c>
      <c r="C561" s="170"/>
      <c r="D561" s="172"/>
      <c r="F561" s="172"/>
      <c r="G561" s="172"/>
      <c r="H561" s="245">
        <v>1</v>
      </c>
      <c r="I561" s="245"/>
      <c r="J561" s="172">
        <v>1</v>
      </c>
      <c r="K561" s="172">
        <v>3</v>
      </c>
      <c r="L561" s="172"/>
      <c r="M561" s="200">
        <v>1</v>
      </c>
      <c r="N561" s="515"/>
      <c r="O561" s="515"/>
      <c r="P561" s="515"/>
      <c r="Q561" s="371">
        <v>1</v>
      </c>
      <c r="R561" s="371"/>
      <c r="S561" s="371"/>
      <c r="T561" s="371"/>
      <c r="U561" s="29"/>
      <c r="V561" s="30"/>
      <c r="W561" s="30"/>
      <c r="X561" s="29"/>
      <c r="Y561" s="30"/>
      <c r="Z561" s="30"/>
      <c r="AA561" s="299"/>
      <c r="AC561" s="200">
        <v>1</v>
      </c>
      <c r="AE561" s="42"/>
      <c r="AF561" s="42"/>
    </row>
    <row r="562" spans="1:32" s="19" customFormat="1" x14ac:dyDescent="0.2">
      <c r="A562" s="37"/>
      <c r="B562" s="37" t="s">
        <v>1439</v>
      </c>
      <c r="C562" s="170"/>
      <c r="D562" s="172"/>
      <c r="F562" s="172"/>
      <c r="G562" s="172"/>
      <c r="H562" s="245"/>
      <c r="I562" s="245"/>
      <c r="J562" s="172"/>
      <c r="K562" s="172"/>
      <c r="L562" s="172"/>
      <c r="M562" s="200">
        <v>1</v>
      </c>
      <c r="N562" s="515"/>
      <c r="O562" s="515"/>
      <c r="P562" s="515"/>
      <c r="Q562" s="371"/>
      <c r="R562" s="371"/>
      <c r="S562" s="371"/>
      <c r="T562" s="371"/>
      <c r="U562" s="29"/>
      <c r="V562" s="30"/>
      <c r="W562" s="30"/>
      <c r="X562" s="29"/>
      <c r="Y562" s="30"/>
      <c r="Z562" s="30"/>
      <c r="AA562" s="299"/>
      <c r="AC562" s="200">
        <v>1</v>
      </c>
      <c r="AE562" s="42"/>
      <c r="AF562" s="42"/>
    </row>
    <row r="563" spans="1:32" s="19" customFormat="1" x14ac:dyDescent="0.2">
      <c r="A563" s="37"/>
      <c r="B563" s="37" t="s">
        <v>1440</v>
      </c>
      <c r="C563" s="170"/>
      <c r="D563" s="172"/>
      <c r="F563" s="172"/>
      <c r="G563" s="172"/>
      <c r="H563" s="245"/>
      <c r="I563" s="245"/>
      <c r="J563" s="172"/>
      <c r="K563" s="172"/>
      <c r="L563" s="172"/>
      <c r="M563" s="200">
        <v>1</v>
      </c>
      <c r="N563" s="515"/>
      <c r="O563" s="515"/>
      <c r="P563" s="515"/>
      <c r="Q563" s="371"/>
      <c r="R563" s="371"/>
      <c r="S563" s="371"/>
      <c r="T563" s="371"/>
      <c r="U563" s="29"/>
      <c r="V563" s="30"/>
      <c r="W563" s="30"/>
      <c r="X563" s="29"/>
      <c r="Y563" s="30"/>
      <c r="Z563" s="30"/>
      <c r="AA563" s="299"/>
      <c r="AC563" s="200">
        <v>1</v>
      </c>
      <c r="AE563" s="42"/>
      <c r="AF563" s="42"/>
    </row>
    <row r="564" spans="1:32" s="19" customFormat="1" x14ac:dyDescent="0.2">
      <c r="A564" s="37"/>
      <c r="B564" s="37" t="s">
        <v>1441</v>
      </c>
      <c r="C564" s="170"/>
      <c r="D564" s="172"/>
      <c r="F564" s="172"/>
      <c r="G564" s="172"/>
      <c r="H564" s="245">
        <v>1</v>
      </c>
      <c r="I564" s="245"/>
      <c r="J564" s="172">
        <v>1</v>
      </c>
      <c r="K564" s="172">
        <v>4</v>
      </c>
      <c r="L564" s="172"/>
      <c r="M564" s="200">
        <v>1</v>
      </c>
      <c r="N564" s="515"/>
      <c r="O564" s="515"/>
      <c r="P564" s="515"/>
      <c r="Q564" s="371">
        <v>1</v>
      </c>
      <c r="R564" s="371"/>
      <c r="S564" s="371"/>
      <c r="T564" s="371"/>
      <c r="U564" s="29"/>
      <c r="V564" s="30"/>
      <c r="W564" s="30"/>
      <c r="X564" s="29"/>
      <c r="Y564" s="30"/>
      <c r="Z564" s="30"/>
      <c r="AA564" s="299"/>
      <c r="AC564" s="200">
        <v>1</v>
      </c>
      <c r="AE564" s="42"/>
      <c r="AF564" s="42"/>
    </row>
    <row r="565" spans="1:32" s="19" customFormat="1" x14ac:dyDescent="0.2">
      <c r="A565" s="37"/>
      <c r="B565" s="37" t="s">
        <v>1442</v>
      </c>
      <c r="C565" s="170"/>
      <c r="D565" s="172"/>
      <c r="F565" s="172"/>
      <c r="G565" s="172"/>
      <c r="H565" s="245"/>
      <c r="I565" s="245"/>
      <c r="J565" s="172"/>
      <c r="K565" s="172"/>
      <c r="L565" s="172"/>
      <c r="M565" s="200">
        <v>1</v>
      </c>
      <c r="N565" s="515"/>
      <c r="O565" s="515"/>
      <c r="P565" s="515"/>
      <c r="Q565" s="371"/>
      <c r="R565" s="371"/>
      <c r="S565" s="371"/>
      <c r="T565" s="371"/>
      <c r="U565" s="29"/>
      <c r="V565" s="30"/>
      <c r="W565" s="30"/>
      <c r="X565" s="29"/>
      <c r="Y565" s="30"/>
      <c r="Z565" s="30"/>
      <c r="AA565" s="299"/>
      <c r="AC565" s="200">
        <v>1</v>
      </c>
      <c r="AE565" s="42"/>
      <c r="AF565" s="42"/>
    </row>
    <row r="566" spans="1:32" s="19" customFormat="1" x14ac:dyDescent="0.2">
      <c r="A566" s="37"/>
      <c r="B566" s="37" t="s">
        <v>1443</v>
      </c>
      <c r="C566" s="170"/>
      <c r="D566" s="172"/>
      <c r="F566" s="172"/>
      <c r="G566" s="172"/>
      <c r="H566" s="245"/>
      <c r="I566" s="245"/>
      <c r="J566" s="172"/>
      <c r="K566" s="172"/>
      <c r="L566" s="172"/>
      <c r="M566" s="200">
        <v>1</v>
      </c>
      <c r="N566" s="515"/>
      <c r="O566" s="515"/>
      <c r="P566" s="515"/>
      <c r="Q566" s="371"/>
      <c r="R566" s="371"/>
      <c r="S566" s="371"/>
      <c r="T566" s="371"/>
      <c r="U566" s="29"/>
      <c r="V566" s="30"/>
      <c r="W566" s="30"/>
      <c r="X566" s="29"/>
      <c r="Y566" s="30"/>
      <c r="Z566" s="30"/>
      <c r="AA566" s="299"/>
      <c r="AC566" s="200">
        <v>1</v>
      </c>
      <c r="AE566" s="42"/>
      <c r="AF566" s="42"/>
    </row>
    <row r="567" spans="1:32" s="19" customFormat="1" x14ac:dyDescent="0.2">
      <c r="A567" s="37"/>
      <c r="B567" s="37" t="s">
        <v>1444</v>
      </c>
      <c r="C567" s="170"/>
      <c r="D567" s="172"/>
      <c r="F567" s="172"/>
      <c r="G567" s="172"/>
      <c r="H567" s="245"/>
      <c r="I567" s="245"/>
      <c r="J567" s="172"/>
      <c r="K567" s="172"/>
      <c r="L567" s="172"/>
      <c r="M567" s="200">
        <v>1</v>
      </c>
      <c r="N567" s="515"/>
      <c r="O567" s="515"/>
      <c r="P567" s="515"/>
      <c r="Q567" s="371"/>
      <c r="R567" s="371"/>
      <c r="S567" s="371"/>
      <c r="T567" s="371"/>
      <c r="U567" s="29"/>
      <c r="V567" s="30"/>
      <c r="W567" s="30"/>
      <c r="X567" s="29"/>
      <c r="Y567" s="30"/>
      <c r="Z567" s="30"/>
      <c r="AA567" s="299"/>
      <c r="AC567" s="200">
        <v>1</v>
      </c>
      <c r="AE567" s="42"/>
      <c r="AF567" s="42"/>
    </row>
    <row r="568" spans="1:32" s="19" customFormat="1" x14ac:dyDescent="0.2">
      <c r="A568" s="37"/>
      <c r="B568" s="37" t="s">
        <v>1445</v>
      </c>
      <c r="C568" s="170"/>
      <c r="D568" s="172"/>
      <c r="F568" s="172"/>
      <c r="G568" s="172"/>
      <c r="H568" s="245">
        <v>1</v>
      </c>
      <c r="I568" s="245"/>
      <c r="J568" s="172">
        <v>1</v>
      </c>
      <c r="K568" s="172">
        <v>2</v>
      </c>
      <c r="L568" s="172"/>
      <c r="M568" s="200">
        <v>1</v>
      </c>
      <c r="N568" s="515"/>
      <c r="O568" s="515"/>
      <c r="P568" s="515"/>
      <c r="Q568" s="371">
        <v>1</v>
      </c>
      <c r="R568" s="371"/>
      <c r="S568" s="371"/>
      <c r="T568" s="371"/>
      <c r="U568" s="29"/>
      <c r="V568" s="30"/>
      <c r="W568" s="30"/>
      <c r="X568" s="29"/>
      <c r="Y568" s="30"/>
      <c r="Z568" s="30"/>
      <c r="AA568" s="299"/>
      <c r="AC568" s="200">
        <v>1</v>
      </c>
      <c r="AE568" s="42"/>
      <c r="AF568" s="42"/>
    </row>
    <row r="569" spans="1:32" s="19" customFormat="1" x14ac:dyDescent="0.2">
      <c r="A569" s="37"/>
      <c r="B569" s="37" t="s">
        <v>1446</v>
      </c>
      <c r="C569" s="170"/>
      <c r="D569" s="172"/>
      <c r="F569" s="172"/>
      <c r="G569" s="172"/>
      <c r="H569" s="245"/>
      <c r="I569" s="245"/>
      <c r="J569" s="172"/>
      <c r="K569" s="172" t="s">
        <v>27</v>
      </c>
      <c r="L569" s="172"/>
      <c r="M569" s="200">
        <v>1</v>
      </c>
      <c r="N569" s="515"/>
      <c r="O569" s="515"/>
      <c r="P569" s="515"/>
      <c r="Q569" s="371"/>
      <c r="R569" s="371"/>
      <c r="S569" s="371"/>
      <c r="T569" s="371"/>
      <c r="U569" s="29"/>
      <c r="V569" s="30"/>
      <c r="W569" s="30"/>
      <c r="X569" s="29"/>
      <c r="Y569" s="30"/>
      <c r="Z569" s="30"/>
      <c r="AA569" s="299"/>
      <c r="AC569" s="200">
        <v>1</v>
      </c>
      <c r="AE569" s="42"/>
      <c r="AF569" s="42"/>
    </row>
    <row r="570" spans="1:32" s="19" customFormat="1" x14ac:dyDescent="0.2">
      <c r="A570" s="37"/>
      <c r="B570" s="37" t="s">
        <v>1447</v>
      </c>
      <c r="C570" s="170"/>
      <c r="D570" s="172"/>
      <c r="F570" s="172"/>
      <c r="G570" s="172"/>
      <c r="H570" s="245">
        <v>1</v>
      </c>
      <c r="I570" s="245"/>
      <c r="J570" s="172">
        <v>1</v>
      </c>
      <c r="K570" s="172">
        <v>1</v>
      </c>
      <c r="L570" s="172"/>
      <c r="M570" s="200">
        <v>1</v>
      </c>
      <c r="N570" s="515"/>
      <c r="O570" s="515"/>
      <c r="P570" s="515"/>
      <c r="Q570" s="371">
        <v>1</v>
      </c>
      <c r="R570" s="371"/>
      <c r="S570" s="371"/>
      <c r="T570" s="371"/>
      <c r="U570" s="29"/>
      <c r="V570" s="30"/>
      <c r="W570" s="30"/>
      <c r="X570" s="29"/>
      <c r="Y570" s="30"/>
      <c r="Z570" s="30"/>
      <c r="AA570" s="299"/>
      <c r="AC570" s="200">
        <v>1</v>
      </c>
      <c r="AE570" s="42"/>
      <c r="AF570" s="42"/>
    </row>
    <row r="571" spans="1:32" s="134" customFormat="1" x14ac:dyDescent="0.2">
      <c r="B571" s="134" t="s">
        <v>1448</v>
      </c>
      <c r="C571" s="236"/>
      <c r="D571" s="236"/>
      <c r="F571" s="236"/>
      <c r="G571" s="236"/>
      <c r="H571" s="263"/>
      <c r="I571" s="263"/>
      <c r="J571" s="236"/>
      <c r="K571" s="236"/>
      <c r="L571" s="236"/>
      <c r="M571" s="237"/>
      <c r="N571" s="518"/>
      <c r="O571" s="518"/>
      <c r="P571" s="518"/>
      <c r="Q571" s="619"/>
      <c r="R571" s="619"/>
      <c r="S571" s="619"/>
      <c r="T571" s="619"/>
      <c r="U571" s="238"/>
      <c r="V571" s="239"/>
      <c r="W571" s="239"/>
      <c r="X571" s="238"/>
      <c r="Y571" s="239"/>
      <c r="Z571" s="239"/>
      <c r="AA571" s="236"/>
      <c r="AC571" s="237">
        <v>1</v>
      </c>
      <c r="AE571" s="135">
        <v>4</v>
      </c>
      <c r="AF571" s="135">
        <v>0</v>
      </c>
    </row>
    <row r="572" spans="1:32" s="134" customFormat="1" x14ac:dyDescent="0.2">
      <c r="B572" s="134" t="s">
        <v>1449</v>
      </c>
      <c r="C572" s="236"/>
      <c r="D572" s="236"/>
      <c r="F572" s="236"/>
      <c r="G572" s="236"/>
      <c r="H572" s="263"/>
      <c r="I572" s="263"/>
      <c r="J572" s="236"/>
      <c r="K572" s="236"/>
      <c r="L572" s="236"/>
      <c r="M572" s="237"/>
      <c r="N572" s="518"/>
      <c r="O572" s="518"/>
      <c r="P572" s="518"/>
      <c r="Q572" s="619"/>
      <c r="R572" s="619"/>
      <c r="S572" s="619"/>
      <c r="T572" s="619"/>
      <c r="U572" s="238"/>
      <c r="V572" s="239"/>
      <c r="W572" s="239"/>
      <c r="X572" s="238"/>
      <c r="Y572" s="239"/>
      <c r="Z572" s="239"/>
      <c r="AA572" s="236"/>
      <c r="AC572" s="237">
        <v>1</v>
      </c>
      <c r="AE572" s="135"/>
      <c r="AF572" s="135">
        <v>0</v>
      </c>
    </row>
    <row r="573" spans="1:32" s="134" customFormat="1" x14ac:dyDescent="0.2">
      <c r="B573" s="134" t="s">
        <v>1450</v>
      </c>
      <c r="C573" s="236"/>
      <c r="D573" s="236"/>
      <c r="F573" s="236"/>
      <c r="G573" s="236"/>
      <c r="H573" s="263"/>
      <c r="I573" s="263"/>
      <c r="J573" s="236"/>
      <c r="K573" s="236"/>
      <c r="L573" s="236"/>
      <c r="M573" s="237"/>
      <c r="N573" s="518"/>
      <c r="O573" s="518"/>
      <c r="P573" s="518"/>
      <c r="Q573" s="619"/>
      <c r="R573" s="619"/>
      <c r="S573" s="619"/>
      <c r="T573" s="619"/>
      <c r="U573" s="238"/>
      <c r="V573" s="239"/>
      <c r="W573" s="239"/>
      <c r="X573" s="238"/>
      <c r="Y573" s="239"/>
      <c r="Z573" s="239"/>
      <c r="AA573" s="236"/>
      <c r="AC573" s="237">
        <v>1</v>
      </c>
      <c r="AE573" s="135"/>
      <c r="AF573" s="135">
        <v>1</v>
      </c>
    </row>
    <row r="574" spans="1:32" s="134" customFormat="1" x14ac:dyDescent="0.2">
      <c r="B574" s="134" t="s">
        <v>1451</v>
      </c>
      <c r="C574" s="236"/>
      <c r="D574" s="236"/>
      <c r="F574" s="236"/>
      <c r="G574" s="236"/>
      <c r="H574" s="263"/>
      <c r="I574" s="263"/>
      <c r="J574" s="236"/>
      <c r="K574" s="236"/>
      <c r="L574" s="236"/>
      <c r="M574" s="237"/>
      <c r="N574" s="518"/>
      <c r="O574" s="518"/>
      <c r="P574" s="518"/>
      <c r="Q574" s="619"/>
      <c r="R574" s="619"/>
      <c r="S574" s="619"/>
      <c r="T574" s="619"/>
      <c r="U574" s="238"/>
      <c r="V574" s="239"/>
      <c r="W574" s="239"/>
      <c r="X574" s="238"/>
      <c r="Y574" s="239"/>
      <c r="Z574" s="239"/>
      <c r="AA574" s="236"/>
      <c r="AC574" s="237">
        <v>1</v>
      </c>
      <c r="AE574" s="135"/>
      <c r="AF574" s="135">
        <v>0</v>
      </c>
    </row>
    <row r="575" spans="1:32" s="280" customFormat="1" x14ac:dyDescent="0.2">
      <c r="A575" s="280" t="s">
        <v>709</v>
      </c>
      <c r="B575" s="281" t="s">
        <v>1452</v>
      </c>
      <c r="C575" s="279"/>
      <c r="D575" s="279"/>
      <c r="E575" s="279"/>
      <c r="F575" s="279">
        <v>3</v>
      </c>
      <c r="G575" s="276">
        <f>SUM(G576:G617)/F575</f>
        <v>1</v>
      </c>
      <c r="H575" s="292">
        <f>SUM(H576:H630)</f>
        <v>11</v>
      </c>
      <c r="I575" s="294">
        <f>SUM(J576:J617)/H575</f>
        <v>0.63636363636363635</v>
      </c>
      <c r="J575" s="292">
        <f>SUM(J576:J630)</f>
        <v>10</v>
      </c>
      <c r="K575" s="292">
        <f>SUM(K576:K630)</f>
        <v>55</v>
      </c>
      <c r="L575" s="291">
        <f>SUM(M576:M630)/K575</f>
        <v>0.92727272727272725</v>
      </c>
      <c r="M575" s="292">
        <f>SUM(M576:M630)</f>
        <v>51</v>
      </c>
      <c r="N575" s="558">
        <f>AVERAGE(M576:M630,M634:M682)</f>
        <v>0.91346153846153844</v>
      </c>
      <c r="O575" s="558">
        <f>_xlfn.STDEV.P(M576:M630,M634:M682)</f>
        <v>0.28115752917718162</v>
      </c>
      <c r="P575" s="559">
        <f>STDEV(M576:M630,M634:M682)/(SQRT(COUNT(M576:M630,M634:M682)))</f>
        <v>2.7703274527460849E-2</v>
      </c>
      <c r="Q575" s="381">
        <f>((Q576*K576)+(Q584*K584)+(Q588*K588)+(Q593*K593)+(Q596*K596)+(Q598*K598)+(Q600*K600)+(Q609*K609)+(Q621*K621)+(Q628*K628))/K575</f>
        <v>0.84890909090909084</v>
      </c>
      <c r="R575" s="381"/>
      <c r="S575" s="381">
        <f>_xlfn.STDEV.P(R576:R605)</f>
        <v>0.23701145984691424</v>
      </c>
      <c r="T575" s="381">
        <f>+T606</f>
        <v>4.4011923188109495E-2</v>
      </c>
      <c r="U575" s="277">
        <f>COUNTA(U576:U682)</f>
        <v>12</v>
      </c>
      <c r="V575" s="277">
        <f t="shared" ref="V575:Z575" si="9">COUNTA(V576:V682)</f>
        <v>0</v>
      </c>
      <c r="W575" s="277">
        <f t="shared" si="9"/>
        <v>12</v>
      </c>
      <c r="X575" s="277">
        <f t="shared" si="9"/>
        <v>0</v>
      </c>
      <c r="Y575" s="277">
        <f t="shared" si="9"/>
        <v>0</v>
      </c>
      <c r="Z575" s="277">
        <f t="shared" si="9"/>
        <v>12</v>
      </c>
      <c r="AA575" s="316">
        <f>SUM(AA576:AA617)/K575</f>
        <v>3.6363636363636362E-2</v>
      </c>
      <c r="AC575" s="616">
        <v>1</v>
      </c>
      <c r="AD575" s="284">
        <f>+U575/M575</f>
        <v>0.23529411764705882</v>
      </c>
      <c r="AE575" s="328"/>
      <c r="AF575" s="328"/>
    </row>
    <row r="576" spans="1:32" s="37" customFormat="1" x14ac:dyDescent="0.2">
      <c r="A576" s="37">
        <v>1</v>
      </c>
      <c r="B576" s="37" t="s">
        <v>1453</v>
      </c>
      <c r="C576" s="170" t="s">
        <v>27</v>
      </c>
      <c r="D576" s="170"/>
      <c r="E576" s="19"/>
      <c r="F576" s="170" t="s">
        <v>27</v>
      </c>
      <c r="G576" s="170">
        <v>1</v>
      </c>
      <c r="H576" s="244">
        <v>1</v>
      </c>
      <c r="I576" s="244"/>
      <c r="J576" s="170">
        <v>1</v>
      </c>
      <c r="K576" s="170">
        <v>8</v>
      </c>
      <c r="L576" s="170"/>
      <c r="M576" s="541">
        <v>1</v>
      </c>
      <c r="N576" s="515"/>
      <c r="O576" s="515"/>
      <c r="P576" s="515"/>
      <c r="Q576" s="371">
        <v>1</v>
      </c>
      <c r="R576" s="371">
        <f>+Q576</f>
        <v>1</v>
      </c>
      <c r="S576" s="371"/>
      <c r="T576" s="371"/>
      <c r="U576" s="126"/>
      <c r="V576" s="127"/>
      <c r="W576" s="127"/>
      <c r="X576" s="126"/>
      <c r="Y576" s="127"/>
      <c r="Z576" s="127" t="s">
        <v>93</v>
      </c>
      <c r="AA576" s="299">
        <v>0</v>
      </c>
      <c r="AC576" s="200">
        <v>1</v>
      </c>
      <c r="AE576" s="42"/>
      <c r="AF576" s="42"/>
    </row>
    <row r="577" spans="1:32" s="37" customFormat="1" x14ac:dyDescent="0.2">
      <c r="B577" s="37" t="s">
        <v>1454</v>
      </c>
      <c r="C577" s="170" t="s">
        <v>27</v>
      </c>
      <c r="D577" s="170"/>
      <c r="E577" s="19"/>
      <c r="F577" s="170"/>
      <c r="G577" s="170"/>
      <c r="H577" s="244"/>
      <c r="I577" s="244"/>
      <c r="J577" s="170"/>
      <c r="K577" s="170"/>
      <c r="L577" s="170"/>
      <c r="M577" s="200">
        <v>1</v>
      </c>
      <c r="N577" s="515"/>
      <c r="O577" s="515"/>
      <c r="P577" s="515"/>
      <c r="Q577" s="371"/>
      <c r="R577" s="371">
        <f>+Q584</f>
        <v>1</v>
      </c>
      <c r="S577" s="371"/>
      <c r="T577" s="371"/>
      <c r="U577" s="126"/>
      <c r="V577" s="127"/>
      <c r="W577" s="127"/>
      <c r="X577" s="126"/>
      <c r="Y577" s="127"/>
      <c r="Z577" s="127"/>
      <c r="AA577" s="299">
        <v>0</v>
      </c>
      <c r="AC577" s="200">
        <v>1</v>
      </c>
      <c r="AE577" s="42"/>
      <c r="AF577" s="42"/>
    </row>
    <row r="578" spans="1:32" s="37" customFormat="1" x14ac:dyDescent="0.2">
      <c r="B578" s="37" t="s">
        <v>1455</v>
      </c>
      <c r="C578" s="170" t="s">
        <v>27</v>
      </c>
      <c r="D578" s="170"/>
      <c r="E578" s="19"/>
      <c r="F578" s="170"/>
      <c r="G578" s="170"/>
      <c r="H578" s="244"/>
      <c r="I578" s="244"/>
      <c r="J578" s="170"/>
      <c r="K578" s="170"/>
      <c r="L578" s="170"/>
      <c r="M578" s="200">
        <v>1</v>
      </c>
      <c r="N578" s="515"/>
      <c r="O578" s="515"/>
      <c r="P578" s="515"/>
      <c r="Q578" s="371"/>
      <c r="R578" s="371">
        <f>+Q588</f>
        <v>1</v>
      </c>
      <c r="S578" s="371"/>
      <c r="T578" s="371"/>
      <c r="U578" s="126"/>
      <c r="V578" s="127"/>
      <c r="W578" s="127"/>
      <c r="X578" s="126"/>
      <c r="Y578" s="127"/>
      <c r="Z578" s="127"/>
      <c r="AA578" s="299">
        <v>0</v>
      </c>
      <c r="AC578" s="200">
        <v>1</v>
      </c>
      <c r="AE578" s="42"/>
      <c r="AF578" s="42"/>
    </row>
    <row r="579" spans="1:32" s="19" customFormat="1" x14ac:dyDescent="0.2">
      <c r="A579" s="37" t="s">
        <v>27</v>
      </c>
      <c r="B579" s="37" t="s">
        <v>1456</v>
      </c>
      <c r="C579" s="170" t="s">
        <v>27</v>
      </c>
      <c r="D579" s="172"/>
      <c r="F579" s="172"/>
      <c r="G579" s="172"/>
      <c r="H579" s="245" t="s">
        <v>27</v>
      </c>
      <c r="I579" s="245"/>
      <c r="J579" s="172" t="s">
        <v>27</v>
      </c>
      <c r="K579" s="172" t="s">
        <v>27</v>
      </c>
      <c r="L579" s="172"/>
      <c r="M579" s="200">
        <v>1</v>
      </c>
      <c r="N579" s="515"/>
      <c r="O579" s="515"/>
      <c r="P579" s="515"/>
      <c r="Q579" s="371"/>
      <c r="R579" s="371">
        <f>+Q593</f>
        <v>1</v>
      </c>
      <c r="S579" s="371"/>
      <c r="T579" s="371"/>
      <c r="U579" s="29"/>
      <c r="V579" s="127"/>
      <c r="W579" s="30"/>
      <c r="X579" s="29"/>
      <c r="Y579" s="127"/>
      <c r="Z579" s="30"/>
      <c r="AA579" s="299">
        <v>0</v>
      </c>
      <c r="AC579" s="200">
        <v>0</v>
      </c>
      <c r="AE579" s="42"/>
      <c r="AF579" s="42"/>
    </row>
    <row r="580" spans="1:32" s="19" customFormat="1" x14ac:dyDescent="0.2">
      <c r="A580" s="37"/>
      <c r="B580" s="37" t="s">
        <v>1457</v>
      </c>
      <c r="C580" s="170" t="s">
        <v>27</v>
      </c>
      <c r="D580" s="172"/>
      <c r="F580" s="172"/>
      <c r="G580" s="172"/>
      <c r="H580" s="245"/>
      <c r="I580" s="245"/>
      <c r="J580" s="172"/>
      <c r="K580" s="172"/>
      <c r="L580" s="172"/>
      <c r="M580" s="200">
        <v>1</v>
      </c>
      <c r="N580" s="515"/>
      <c r="O580" s="515"/>
      <c r="P580" s="515"/>
      <c r="Q580" s="371"/>
      <c r="R580" s="371">
        <f>+Q596</f>
        <v>0.5</v>
      </c>
      <c r="S580" s="371"/>
      <c r="T580" s="371"/>
      <c r="U580" s="29"/>
      <c r="V580" s="127"/>
      <c r="W580" s="30"/>
      <c r="X580" s="29"/>
      <c r="Y580" s="127"/>
      <c r="Z580" s="30"/>
      <c r="AA580" s="299">
        <v>0</v>
      </c>
      <c r="AC580" s="200">
        <v>0</v>
      </c>
      <c r="AE580" s="42"/>
      <c r="AF580" s="42"/>
    </row>
    <row r="581" spans="1:32" s="19" customFormat="1" x14ac:dyDescent="0.2">
      <c r="A581" s="37"/>
      <c r="B581" s="37" t="s">
        <v>1458</v>
      </c>
      <c r="C581" s="170" t="s">
        <v>27</v>
      </c>
      <c r="D581" s="172"/>
      <c r="F581" s="172"/>
      <c r="G581" s="172"/>
      <c r="H581" s="245"/>
      <c r="I581" s="245"/>
      <c r="J581" s="172"/>
      <c r="K581" s="172"/>
      <c r="L581" s="172"/>
      <c r="M581" s="200">
        <v>1</v>
      </c>
      <c r="N581" s="515"/>
      <c r="O581" s="515"/>
      <c r="P581" s="515"/>
      <c r="Q581" s="371"/>
      <c r="R581" s="371">
        <f>+Q598</f>
        <v>0</v>
      </c>
      <c r="S581" s="371"/>
      <c r="T581" s="371"/>
      <c r="U581" s="29"/>
      <c r="V581" s="127"/>
      <c r="W581" s="30"/>
      <c r="X581" s="29"/>
      <c r="Y581" s="127"/>
      <c r="Z581" s="30"/>
      <c r="AA581" s="299">
        <v>0</v>
      </c>
      <c r="AC581" s="200">
        <v>0</v>
      </c>
      <c r="AE581" s="42"/>
      <c r="AF581" s="42"/>
    </row>
    <row r="582" spans="1:32" s="19" customFormat="1" x14ac:dyDescent="0.2">
      <c r="A582" s="37"/>
      <c r="B582" s="37" t="s">
        <v>1459</v>
      </c>
      <c r="C582" s="170" t="s">
        <v>27</v>
      </c>
      <c r="D582" s="172"/>
      <c r="F582" s="172"/>
      <c r="G582" s="172"/>
      <c r="H582" s="245"/>
      <c r="I582" s="245"/>
      <c r="J582" s="172"/>
      <c r="K582" s="172" t="s">
        <v>27</v>
      </c>
      <c r="L582" s="172"/>
      <c r="M582" s="541">
        <v>1</v>
      </c>
      <c r="N582" s="515"/>
      <c r="O582" s="515"/>
      <c r="P582" s="515"/>
      <c r="Q582" s="371"/>
      <c r="R582" s="371">
        <f>+Q600</f>
        <v>1</v>
      </c>
      <c r="S582" s="371"/>
      <c r="T582" s="371"/>
      <c r="U582" s="29"/>
      <c r="V582" s="127"/>
      <c r="W582" s="30" t="s">
        <v>94</v>
      </c>
      <c r="X582" s="29"/>
      <c r="Y582" s="127"/>
      <c r="Z582" s="30" t="s">
        <v>94</v>
      </c>
      <c r="AA582" s="299">
        <v>0</v>
      </c>
      <c r="AC582" s="200">
        <v>1</v>
      </c>
      <c r="AE582" s="42"/>
      <c r="AF582" s="42"/>
    </row>
    <row r="583" spans="1:32" s="19" customFormat="1" x14ac:dyDescent="0.2">
      <c r="A583" s="37"/>
      <c r="B583" s="37" t="s">
        <v>1460</v>
      </c>
      <c r="C583" s="170" t="s">
        <v>27</v>
      </c>
      <c r="D583" s="172"/>
      <c r="F583" s="172"/>
      <c r="G583" s="172"/>
      <c r="H583" s="245"/>
      <c r="I583" s="245"/>
      <c r="J583" s="172"/>
      <c r="K583" s="172"/>
      <c r="L583" s="172"/>
      <c r="M583" s="200">
        <v>1</v>
      </c>
      <c r="N583" s="515"/>
      <c r="O583" s="515"/>
      <c r="P583" s="515"/>
      <c r="Q583" s="371"/>
      <c r="R583" s="371">
        <f>+Q609</f>
        <v>1</v>
      </c>
      <c r="S583" s="371"/>
      <c r="T583" s="371"/>
      <c r="U583" s="29"/>
      <c r="V583" s="127"/>
      <c r="W583" s="30"/>
      <c r="X583" s="29"/>
      <c r="Y583" s="127"/>
      <c r="Z583" s="30"/>
      <c r="AA583" s="299">
        <v>0</v>
      </c>
      <c r="AC583" s="200">
        <v>1</v>
      </c>
      <c r="AE583" s="42"/>
      <c r="AF583" s="42"/>
    </row>
    <row r="584" spans="1:32" s="19" customFormat="1" x14ac:dyDescent="0.2">
      <c r="A584" s="37"/>
      <c r="B584" s="37" t="s">
        <v>1461</v>
      </c>
      <c r="C584" s="170" t="s">
        <v>27</v>
      </c>
      <c r="D584" s="172"/>
      <c r="F584" s="172"/>
      <c r="G584" s="172"/>
      <c r="H584" s="245">
        <v>1</v>
      </c>
      <c r="I584" s="245"/>
      <c r="J584" s="172">
        <v>1</v>
      </c>
      <c r="K584" s="172">
        <v>4</v>
      </c>
      <c r="L584" s="172"/>
      <c r="M584" s="200">
        <v>1</v>
      </c>
      <c r="N584" s="515"/>
      <c r="O584" s="515"/>
      <c r="P584" s="515"/>
      <c r="Q584" s="371">
        <v>1</v>
      </c>
      <c r="R584" s="371">
        <f>+Q621</f>
        <v>0.67</v>
      </c>
      <c r="S584" s="371"/>
      <c r="T584" s="371"/>
      <c r="U584" s="29"/>
      <c r="V584" s="127"/>
      <c r="W584" s="30"/>
      <c r="X584" s="29"/>
      <c r="Y584" s="127"/>
      <c r="Z584" s="30"/>
      <c r="AA584" s="299">
        <v>1</v>
      </c>
      <c r="AC584" s="200">
        <v>1</v>
      </c>
      <c r="AE584" s="42"/>
      <c r="AF584" s="42"/>
    </row>
    <row r="585" spans="1:32" s="19" customFormat="1" x14ac:dyDescent="0.2">
      <c r="A585" s="37"/>
      <c r="B585" s="37" t="s">
        <v>1462</v>
      </c>
      <c r="C585" s="170" t="s">
        <v>27</v>
      </c>
      <c r="D585" s="172"/>
      <c r="F585" s="172"/>
      <c r="G585" s="172"/>
      <c r="H585" s="245"/>
      <c r="I585" s="245"/>
      <c r="J585" s="172"/>
      <c r="K585" s="172"/>
      <c r="L585" s="172"/>
      <c r="M585" s="200">
        <v>1</v>
      </c>
      <c r="N585" s="515"/>
      <c r="O585" s="515"/>
      <c r="P585" s="515"/>
      <c r="Q585" s="371"/>
      <c r="R585" s="371">
        <f>+Q634</f>
        <v>1</v>
      </c>
      <c r="S585" s="371"/>
      <c r="T585" s="371"/>
      <c r="U585" s="29"/>
      <c r="V585" s="127"/>
      <c r="W585" s="30"/>
      <c r="X585" s="29"/>
      <c r="Y585" s="127"/>
      <c r="Z585" s="30"/>
      <c r="AA585" s="299">
        <v>1</v>
      </c>
      <c r="AC585" s="200">
        <v>1</v>
      </c>
      <c r="AE585" s="42"/>
      <c r="AF585" s="42"/>
    </row>
    <row r="586" spans="1:32" s="19" customFormat="1" x14ac:dyDescent="0.2">
      <c r="A586" s="37"/>
      <c r="B586" s="37" t="s">
        <v>1463</v>
      </c>
      <c r="C586" s="170" t="s">
        <v>27</v>
      </c>
      <c r="D586" s="172"/>
      <c r="F586" s="172"/>
      <c r="G586" s="172"/>
      <c r="H586" s="245"/>
      <c r="I586" s="245"/>
      <c r="J586" s="172"/>
      <c r="K586" s="172"/>
      <c r="L586" s="172"/>
      <c r="M586" s="200">
        <v>1</v>
      </c>
      <c r="N586" s="515"/>
      <c r="O586" s="515"/>
      <c r="P586" s="515"/>
      <c r="Q586" s="371"/>
      <c r="R586" s="371">
        <f>+Q642</f>
        <v>0.625</v>
      </c>
      <c r="S586" s="371"/>
      <c r="T586" s="371"/>
      <c r="U586" s="29"/>
      <c r="V586" s="127"/>
      <c r="W586" s="30"/>
      <c r="X586" s="29"/>
      <c r="Y586" s="127"/>
      <c r="Z586" s="30"/>
      <c r="AA586" s="299">
        <v>0</v>
      </c>
      <c r="AC586" s="200">
        <v>1</v>
      </c>
      <c r="AE586" s="42"/>
      <c r="AF586" s="42"/>
    </row>
    <row r="587" spans="1:32" s="19" customFormat="1" x14ac:dyDescent="0.2">
      <c r="A587" s="37"/>
      <c r="B587" s="37" t="s">
        <v>1464</v>
      </c>
      <c r="C587" s="170" t="s">
        <v>27</v>
      </c>
      <c r="D587" s="172"/>
      <c r="F587" s="172"/>
      <c r="G587" s="172"/>
      <c r="H587" s="245"/>
      <c r="I587" s="245"/>
      <c r="J587" s="172"/>
      <c r="K587" s="172"/>
      <c r="L587" s="172"/>
      <c r="M587" s="200">
        <v>1</v>
      </c>
      <c r="N587" s="515"/>
      <c r="O587" s="515"/>
      <c r="P587" s="515"/>
      <c r="Q587" s="371"/>
      <c r="R587" s="371">
        <f>+Q650</f>
        <v>0.5</v>
      </c>
      <c r="S587" s="371"/>
      <c r="T587" s="371"/>
      <c r="U587" s="29"/>
      <c r="V587" s="127"/>
      <c r="W587" s="30"/>
      <c r="X587" s="29"/>
      <c r="Y587" s="127"/>
      <c r="Z587" s="30"/>
      <c r="AA587" s="299">
        <v>0</v>
      </c>
      <c r="AC587" s="200">
        <v>1</v>
      </c>
      <c r="AE587" s="42"/>
      <c r="AF587" s="42"/>
    </row>
    <row r="588" spans="1:32" s="19" customFormat="1" x14ac:dyDescent="0.2">
      <c r="A588" s="37">
        <v>2</v>
      </c>
      <c r="B588" s="37" t="s">
        <v>1465</v>
      </c>
      <c r="C588" s="170" t="s">
        <v>27</v>
      </c>
      <c r="D588" s="172"/>
      <c r="F588" s="172" t="s">
        <v>27</v>
      </c>
      <c r="G588" s="172">
        <v>1</v>
      </c>
      <c r="H588" s="245">
        <v>1</v>
      </c>
      <c r="I588" s="245"/>
      <c r="J588" s="172">
        <v>1</v>
      </c>
      <c r="K588" s="172">
        <v>5</v>
      </c>
      <c r="L588" s="172"/>
      <c r="M588" s="200">
        <v>1</v>
      </c>
      <c r="N588" s="515"/>
      <c r="O588" s="515"/>
      <c r="P588" s="515"/>
      <c r="Q588" s="371">
        <v>1</v>
      </c>
      <c r="R588" s="731">
        <f>+Q657</f>
        <v>1</v>
      </c>
      <c r="S588" s="620"/>
      <c r="T588" s="621"/>
      <c r="U588" s="29"/>
      <c r="V588" s="127"/>
      <c r="W588" s="30"/>
      <c r="X588" s="29"/>
      <c r="Y588" s="127"/>
      <c r="Z588" s="30"/>
      <c r="AA588" s="299">
        <v>0</v>
      </c>
      <c r="AC588" s="200">
        <v>1</v>
      </c>
      <c r="AE588" s="42"/>
      <c r="AF588" s="42"/>
    </row>
    <row r="589" spans="1:32" s="19" customFormat="1" x14ac:dyDescent="0.2">
      <c r="A589" s="37"/>
      <c r="B589" s="37" t="s">
        <v>1466</v>
      </c>
      <c r="C589" s="170" t="s">
        <v>27</v>
      </c>
      <c r="D589" s="172"/>
      <c r="F589" s="172"/>
      <c r="G589" s="172"/>
      <c r="H589" s="245"/>
      <c r="I589" s="245"/>
      <c r="J589" s="172"/>
      <c r="K589" s="172"/>
      <c r="L589" s="172"/>
      <c r="M589" s="200">
        <v>1</v>
      </c>
      <c r="N589" s="515"/>
      <c r="O589" s="515"/>
      <c r="P589" s="515"/>
      <c r="Q589" s="371"/>
      <c r="R589" s="371">
        <f>+Q659</f>
        <v>0.83333333333333337</v>
      </c>
      <c r="S589" s="371"/>
      <c r="T589" s="371"/>
      <c r="U589" s="29"/>
      <c r="V589" s="127"/>
      <c r="W589" s="30"/>
      <c r="X589" s="29"/>
      <c r="Y589" s="127"/>
      <c r="Z589" s="30"/>
      <c r="AA589" s="299">
        <v>0</v>
      </c>
      <c r="AC589" s="200">
        <v>1</v>
      </c>
      <c r="AE589" s="42"/>
      <c r="AF589" s="42"/>
    </row>
    <row r="590" spans="1:32" s="19" customFormat="1" x14ac:dyDescent="0.2">
      <c r="A590" s="37"/>
      <c r="B590" s="37" t="s">
        <v>1467</v>
      </c>
      <c r="C590" s="170" t="s">
        <v>27</v>
      </c>
      <c r="D590" s="172"/>
      <c r="F590" s="172"/>
      <c r="G590" s="172"/>
      <c r="H590" s="245"/>
      <c r="I590" s="245"/>
      <c r="J590" s="172"/>
      <c r="K590" s="172"/>
      <c r="L590" s="172"/>
      <c r="M590" s="200">
        <v>1</v>
      </c>
      <c r="N590" s="515"/>
      <c r="O590" s="515"/>
      <c r="P590" s="515"/>
      <c r="Q590" s="371"/>
      <c r="R590" s="371">
        <f>+Q671</f>
        <v>1</v>
      </c>
      <c r="S590" s="371"/>
      <c r="T590" s="371"/>
      <c r="U590" s="29"/>
      <c r="V590" s="127"/>
      <c r="W590" s="30"/>
      <c r="X590" s="29"/>
      <c r="Y590" s="127"/>
      <c r="Z590" s="30"/>
      <c r="AA590" s="299">
        <v>0</v>
      </c>
      <c r="AC590" s="200">
        <v>1</v>
      </c>
      <c r="AE590" s="42"/>
      <c r="AF590" s="42"/>
    </row>
    <row r="591" spans="1:32" s="19" customFormat="1" x14ac:dyDescent="0.2">
      <c r="A591" s="37"/>
      <c r="B591" s="37" t="s">
        <v>1468</v>
      </c>
      <c r="C591" s="170" t="s">
        <v>27</v>
      </c>
      <c r="D591" s="172"/>
      <c r="F591" s="172"/>
      <c r="G591" s="172"/>
      <c r="H591" s="245"/>
      <c r="I591" s="245"/>
      <c r="J591" s="172"/>
      <c r="K591" s="172"/>
      <c r="L591" s="172"/>
      <c r="M591" s="200">
        <v>1</v>
      </c>
      <c r="N591" s="515"/>
      <c r="O591" s="515"/>
      <c r="P591" s="515"/>
      <c r="Q591" s="371"/>
      <c r="R591" s="371">
        <f>+Q678</f>
        <v>1</v>
      </c>
      <c r="S591" s="371"/>
      <c r="T591" s="371"/>
      <c r="U591" s="29"/>
      <c r="V591" s="127"/>
      <c r="W591" s="30"/>
      <c r="X591" s="29"/>
      <c r="Y591" s="127"/>
      <c r="Z591" s="30"/>
      <c r="AA591" s="299">
        <v>0</v>
      </c>
      <c r="AC591" s="200">
        <v>1</v>
      </c>
      <c r="AE591" s="42"/>
      <c r="AF591" s="42"/>
    </row>
    <row r="592" spans="1:32" s="19" customFormat="1" x14ac:dyDescent="0.2">
      <c r="A592" s="37"/>
      <c r="B592" s="37" t="s">
        <v>1469</v>
      </c>
      <c r="C592" s="170" t="s">
        <v>27</v>
      </c>
      <c r="D592" s="172"/>
      <c r="F592" s="172"/>
      <c r="G592" s="172"/>
      <c r="H592" s="245"/>
      <c r="I592" s="245"/>
      <c r="J592" s="172"/>
      <c r="K592" s="172"/>
      <c r="L592" s="172"/>
      <c r="M592" s="200">
        <v>1</v>
      </c>
      <c r="N592" s="200">
        <v>1</v>
      </c>
      <c r="O592" s="200"/>
      <c r="P592" s="200">
        <v>1</v>
      </c>
      <c r="Q592" s="622">
        <v>1</v>
      </c>
      <c r="R592" s="732">
        <v>1</v>
      </c>
      <c r="S592" s="622"/>
      <c r="T592" s="622">
        <v>1</v>
      </c>
      <c r="U592" s="29"/>
      <c r="V592" s="127"/>
      <c r="W592" s="30"/>
      <c r="X592" s="29"/>
      <c r="Y592" s="127"/>
      <c r="Z592" s="30"/>
      <c r="AA592" s="299">
        <v>0</v>
      </c>
      <c r="AC592" s="200">
        <v>1</v>
      </c>
      <c r="AE592" s="42"/>
      <c r="AF592" s="42"/>
    </row>
    <row r="593" spans="1:32" s="19" customFormat="1" x14ac:dyDescent="0.2">
      <c r="A593" s="37"/>
      <c r="B593" s="37" t="s">
        <v>1470</v>
      </c>
      <c r="C593" s="170" t="s">
        <v>27</v>
      </c>
      <c r="D593" s="172"/>
      <c r="F593" s="172"/>
      <c r="G593" s="172"/>
      <c r="H593" s="245">
        <v>1</v>
      </c>
      <c r="I593" s="245"/>
      <c r="J593" s="172">
        <v>1</v>
      </c>
      <c r="K593" s="172">
        <v>3</v>
      </c>
      <c r="L593" s="172"/>
      <c r="M593" s="200">
        <v>1</v>
      </c>
      <c r="N593" s="515"/>
      <c r="O593" s="515"/>
      <c r="P593" s="515"/>
      <c r="Q593" s="371">
        <v>1</v>
      </c>
      <c r="R593" s="371">
        <f>+Q628</f>
        <v>1</v>
      </c>
      <c r="S593" s="371"/>
      <c r="T593" s="371"/>
      <c r="U593" s="29" t="s">
        <v>27</v>
      </c>
      <c r="V593" s="127"/>
      <c r="W593" s="30"/>
      <c r="X593" s="29"/>
      <c r="Y593" s="127"/>
      <c r="Z593" s="30"/>
      <c r="AA593" s="299">
        <v>0</v>
      </c>
      <c r="AC593" s="200">
        <v>1</v>
      </c>
      <c r="AE593" s="42"/>
      <c r="AF593" s="42"/>
    </row>
    <row r="594" spans="1:32" s="19" customFormat="1" x14ac:dyDescent="0.2">
      <c r="A594" s="37"/>
      <c r="B594" s="37" t="s">
        <v>1471</v>
      </c>
      <c r="C594" s="170" t="s">
        <v>27</v>
      </c>
      <c r="D594" s="172"/>
      <c r="F594" s="172"/>
      <c r="G594" s="172"/>
      <c r="H594" s="245"/>
      <c r="I594" s="245"/>
      <c r="J594" s="172"/>
      <c r="K594" s="172"/>
      <c r="L594" s="172"/>
      <c r="M594" s="541">
        <v>1</v>
      </c>
      <c r="N594" s="515"/>
      <c r="O594" s="515"/>
      <c r="P594" s="515"/>
      <c r="Q594" s="371"/>
      <c r="R594" s="371">
        <f>+Q634</f>
        <v>1</v>
      </c>
      <c r="S594" s="371"/>
      <c r="T594" s="371"/>
      <c r="U594" s="29" t="s">
        <v>92</v>
      </c>
      <c r="V594" s="127"/>
      <c r="W594" s="30"/>
      <c r="X594" s="29"/>
      <c r="Y594" s="127"/>
      <c r="Z594" s="30" t="s">
        <v>93</v>
      </c>
      <c r="AA594" s="299">
        <v>0</v>
      </c>
      <c r="AC594" s="200">
        <v>1</v>
      </c>
      <c r="AE594" s="42"/>
      <c r="AF594" s="42"/>
    </row>
    <row r="595" spans="1:32" s="19" customFormat="1" x14ac:dyDescent="0.2">
      <c r="A595" s="37"/>
      <c r="B595" s="37" t="s">
        <v>1472</v>
      </c>
      <c r="C595" s="170" t="s">
        <v>27</v>
      </c>
      <c r="D595" s="172"/>
      <c r="F595" s="172"/>
      <c r="G595" s="172"/>
      <c r="H595" s="245"/>
      <c r="I595" s="245"/>
      <c r="J595" s="172"/>
      <c r="K595" s="172"/>
      <c r="L595" s="172"/>
      <c r="M595" s="200">
        <v>1</v>
      </c>
      <c r="N595" s="515"/>
      <c r="O595" s="515"/>
      <c r="P595" s="515"/>
      <c r="Q595" s="371"/>
      <c r="R595" s="371">
        <f>+Q642</f>
        <v>0.625</v>
      </c>
      <c r="S595" s="371"/>
      <c r="T595" s="371"/>
      <c r="U595" s="29"/>
      <c r="V595" s="127"/>
      <c r="W595" s="30"/>
      <c r="X595" s="29"/>
      <c r="Y595" s="127"/>
      <c r="Z595" s="30"/>
      <c r="AA595" s="299">
        <v>0</v>
      </c>
      <c r="AC595" s="200">
        <v>1</v>
      </c>
      <c r="AE595" s="42"/>
      <c r="AF595" s="42"/>
    </row>
    <row r="596" spans="1:32" s="19" customFormat="1" x14ac:dyDescent="0.2">
      <c r="A596" s="37"/>
      <c r="B596" s="37" t="s">
        <v>1473</v>
      </c>
      <c r="C596" s="170" t="s">
        <v>27</v>
      </c>
      <c r="D596" s="172"/>
      <c r="F596" s="172"/>
      <c r="G596" s="172"/>
      <c r="H596" s="245">
        <v>1</v>
      </c>
      <c r="I596" s="245"/>
      <c r="J596" s="172">
        <v>1</v>
      </c>
      <c r="K596" s="172">
        <v>2</v>
      </c>
      <c r="L596" s="172"/>
      <c r="M596" s="200">
        <v>1</v>
      </c>
      <c r="N596" s="515"/>
      <c r="O596" s="515"/>
      <c r="P596" s="515"/>
      <c r="Q596" s="371">
        <v>0.5</v>
      </c>
      <c r="R596" s="371">
        <f>+Q650</f>
        <v>0.5</v>
      </c>
      <c r="S596" s="371"/>
      <c r="T596" s="371"/>
      <c r="U596" s="29"/>
      <c r="V596" s="127"/>
      <c r="W596" s="30"/>
      <c r="X596" s="29"/>
      <c r="Y596" s="127"/>
      <c r="Z596" s="30"/>
      <c r="AA596" s="299">
        <v>0</v>
      </c>
      <c r="AC596" s="200">
        <v>1</v>
      </c>
      <c r="AE596" s="42"/>
      <c r="AF596" s="42"/>
    </row>
    <row r="597" spans="1:32" s="19" customFormat="1" x14ac:dyDescent="0.2">
      <c r="A597" s="37"/>
      <c r="B597" s="37" t="s">
        <v>1474</v>
      </c>
      <c r="C597" s="170" t="s">
        <v>27</v>
      </c>
      <c r="D597" s="172"/>
      <c r="F597" s="172"/>
      <c r="G597" s="172"/>
      <c r="H597" s="245"/>
      <c r="I597" s="245"/>
      <c r="J597" s="172"/>
      <c r="K597" s="172"/>
      <c r="L597" s="172"/>
      <c r="M597" s="200">
        <v>0</v>
      </c>
      <c r="N597" s="515"/>
      <c r="O597" s="515"/>
      <c r="P597" s="515"/>
      <c r="Q597" s="371"/>
      <c r="R597" s="371">
        <f>+Q652</f>
        <v>1</v>
      </c>
      <c r="S597" s="371"/>
      <c r="T597" s="371"/>
      <c r="U597" s="29"/>
      <c r="V597" s="127"/>
      <c r="W597" s="30"/>
      <c r="X597" s="29"/>
      <c r="Y597" s="127"/>
      <c r="Z597" s="30"/>
      <c r="AA597" s="299">
        <v>0</v>
      </c>
      <c r="AC597" s="200">
        <v>1</v>
      </c>
      <c r="AE597" s="42"/>
      <c r="AF597" s="42"/>
    </row>
    <row r="598" spans="1:32" s="19" customFormat="1" x14ac:dyDescent="0.2">
      <c r="A598" s="37"/>
      <c r="B598" s="37" t="s">
        <v>1475</v>
      </c>
      <c r="C598" s="170" t="s">
        <v>27</v>
      </c>
      <c r="D598" s="172"/>
      <c r="F598" s="172"/>
      <c r="G598" s="172"/>
      <c r="H598" s="245">
        <v>1</v>
      </c>
      <c r="I598" s="245"/>
      <c r="J598" s="172">
        <v>0</v>
      </c>
      <c r="K598" s="172">
        <v>2</v>
      </c>
      <c r="L598" s="172"/>
      <c r="M598" s="200">
        <v>0</v>
      </c>
      <c r="N598" s="515"/>
      <c r="O598" s="515"/>
      <c r="P598" s="515"/>
      <c r="Q598" s="371">
        <v>0</v>
      </c>
      <c r="R598" s="371">
        <f>+Q654</f>
        <v>1</v>
      </c>
      <c r="S598" s="371"/>
      <c r="T598" s="371"/>
      <c r="U598" s="29"/>
      <c r="V598" s="30"/>
      <c r="W598" s="30"/>
      <c r="X598" s="29"/>
      <c r="Y598" s="127"/>
      <c r="Z598" s="30"/>
      <c r="AA598" s="299">
        <v>0</v>
      </c>
      <c r="AC598" s="200">
        <v>1</v>
      </c>
      <c r="AE598" s="42"/>
      <c r="AF598" s="42"/>
    </row>
    <row r="599" spans="1:32" s="19" customFormat="1" x14ac:dyDescent="0.2">
      <c r="A599" s="37"/>
      <c r="B599" s="37" t="s">
        <v>1476</v>
      </c>
      <c r="C599" s="170" t="s">
        <v>27</v>
      </c>
      <c r="D599" s="172"/>
      <c r="F599" s="172"/>
      <c r="G599" s="172"/>
      <c r="H599" s="245"/>
      <c r="I599" s="245"/>
      <c r="J599" s="172"/>
      <c r="K599" s="172"/>
      <c r="L599" s="172"/>
      <c r="M599" s="200">
        <v>0</v>
      </c>
      <c r="N599" s="515"/>
      <c r="O599" s="515"/>
      <c r="P599" s="515"/>
      <c r="Q599" s="371"/>
      <c r="R599" s="371">
        <f>+Q657</f>
        <v>1</v>
      </c>
      <c r="S599" s="371"/>
      <c r="T599" s="371"/>
      <c r="U599" s="29"/>
      <c r="V599" s="30"/>
      <c r="W599" s="30"/>
      <c r="X599" s="29"/>
      <c r="Y599" s="127"/>
      <c r="Z599" s="30"/>
      <c r="AA599" s="299">
        <v>0</v>
      </c>
      <c r="AC599" s="200">
        <v>1</v>
      </c>
      <c r="AE599" s="42"/>
      <c r="AF599" s="42"/>
    </row>
    <row r="600" spans="1:32" s="19" customFormat="1" x14ac:dyDescent="0.2">
      <c r="A600" s="37">
        <v>3</v>
      </c>
      <c r="B600" s="37" t="s">
        <v>1477</v>
      </c>
      <c r="C600" s="170" t="s">
        <v>27</v>
      </c>
      <c r="D600" s="172"/>
      <c r="F600" s="172" t="s">
        <v>27</v>
      </c>
      <c r="G600" s="172">
        <v>1</v>
      </c>
      <c r="H600" s="245">
        <v>1</v>
      </c>
      <c r="I600" s="245"/>
      <c r="J600" s="172">
        <v>1</v>
      </c>
      <c r="K600" s="172">
        <v>9</v>
      </c>
      <c r="L600" s="172"/>
      <c r="M600" s="200">
        <v>1</v>
      </c>
      <c r="N600" s="515"/>
      <c r="O600" s="515"/>
      <c r="P600" s="515"/>
      <c r="Q600" s="371">
        <v>1</v>
      </c>
      <c r="R600" s="371">
        <f>+Q659</f>
        <v>0.83333333333333337</v>
      </c>
      <c r="S600" s="371"/>
      <c r="T600" s="371"/>
      <c r="U600" s="29"/>
      <c r="V600" s="30"/>
      <c r="W600" s="30"/>
      <c r="X600" s="29"/>
      <c r="Y600" s="127"/>
      <c r="Z600" s="30"/>
      <c r="AA600" s="299">
        <v>0</v>
      </c>
      <c r="AC600" s="200">
        <v>1</v>
      </c>
      <c r="AE600" s="42"/>
      <c r="AF600" s="42"/>
    </row>
    <row r="601" spans="1:32" s="19" customFormat="1" x14ac:dyDescent="0.2">
      <c r="A601" s="37"/>
      <c r="B601" s="37" t="s">
        <v>1478</v>
      </c>
      <c r="C601" s="170" t="s">
        <v>27</v>
      </c>
      <c r="D601" s="172"/>
      <c r="F601" s="172"/>
      <c r="G601" s="172"/>
      <c r="H601" s="245"/>
      <c r="I601" s="245"/>
      <c r="J601" s="172"/>
      <c r="K601" s="172"/>
      <c r="L601" s="172"/>
      <c r="M601" s="200">
        <v>1</v>
      </c>
      <c r="N601" s="515"/>
      <c r="O601" s="515"/>
      <c r="P601" s="515"/>
      <c r="Q601" s="371"/>
      <c r="R601" s="318">
        <f>+Q665</f>
        <v>1</v>
      </c>
      <c r="S601" s="383"/>
      <c r="T601" s="380" t="s">
        <v>27</v>
      </c>
      <c r="U601" s="29"/>
      <c r="V601" s="30"/>
      <c r="W601" s="30"/>
      <c r="X601" s="29"/>
      <c r="Y601" s="127"/>
      <c r="Z601" s="30"/>
      <c r="AA601" s="299">
        <v>0</v>
      </c>
      <c r="AC601" s="200">
        <v>1</v>
      </c>
      <c r="AE601" s="42"/>
      <c r="AF601" s="42"/>
    </row>
    <row r="602" spans="1:32" s="19" customFormat="1" x14ac:dyDescent="0.2">
      <c r="A602" s="37"/>
      <c r="B602" s="37" t="s">
        <v>1479</v>
      </c>
      <c r="C602" s="170" t="s">
        <v>27</v>
      </c>
      <c r="D602" s="172"/>
      <c r="F602" s="172"/>
      <c r="G602" s="172"/>
      <c r="H602" s="245"/>
      <c r="I602" s="245"/>
      <c r="J602" s="172"/>
      <c r="K602" s="172"/>
      <c r="L602" s="172"/>
      <c r="M602" s="200">
        <v>1</v>
      </c>
      <c r="N602" s="515"/>
      <c r="O602" s="515"/>
      <c r="P602" s="515"/>
      <c r="Q602" s="371"/>
      <c r="R602" s="371">
        <f>+Q668</f>
        <v>1</v>
      </c>
      <c r="S602" s="371"/>
      <c r="T602" s="371"/>
      <c r="U602" s="29"/>
      <c r="V602" s="30"/>
      <c r="W602" s="30"/>
      <c r="X602" s="29"/>
      <c r="Y602" s="127"/>
      <c r="Z602" s="30"/>
      <c r="AA602" s="299">
        <v>0</v>
      </c>
      <c r="AC602" s="200">
        <v>1</v>
      </c>
      <c r="AE602" s="42"/>
      <c r="AF602" s="42"/>
    </row>
    <row r="603" spans="1:32" s="19" customFormat="1" x14ac:dyDescent="0.2">
      <c r="A603" s="37"/>
      <c r="B603" s="37" t="s">
        <v>1653</v>
      </c>
      <c r="C603" s="170"/>
      <c r="D603" s="172"/>
      <c r="F603" s="172"/>
      <c r="G603" s="172"/>
      <c r="H603" s="245"/>
      <c r="I603" s="245"/>
      <c r="J603" s="172"/>
      <c r="K603" s="172"/>
      <c r="L603" s="172"/>
      <c r="M603" s="200">
        <v>1</v>
      </c>
      <c r="N603" s="515"/>
      <c r="O603" s="515"/>
      <c r="P603" s="515"/>
      <c r="Q603" s="371"/>
      <c r="R603" s="371">
        <f>+Q671</f>
        <v>1</v>
      </c>
      <c r="S603" s="371"/>
      <c r="T603" s="371"/>
      <c r="U603" s="29"/>
      <c r="V603" s="30"/>
      <c r="W603" s="30"/>
      <c r="X603" s="29"/>
      <c r="Y603" s="127"/>
      <c r="Z603" s="30"/>
      <c r="AA603" s="299"/>
      <c r="AC603" s="200">
        <v>1</v>
      </c>
      <c r="AE603" s="42"/>
      <c r="AF603" s="42"/>
    </row>
    <row r="604" spans="1:32" s="19" customFormat="1" x14ac:dyDescent="0.2">
      <c r="A604" s="37"/>
      <c r="B604" s="37" t="s">
        <v>1654</v>
      </c>
      <c r="C604" s="170"/>
      <c r="D604" s="172"/>
      <c r="F604" s="172"/>
      <c r="G604" s="172"/>
      <c r="H604" s="245"/>
      <c r="I604" s="245"/>
      <c r="J604" s="172"/>
      <c r="K604" s="172"/>
      <c r="L604" s="172"/>
      <c r="M604" s="200">
        <v>1</v>
      </c>
      <c r="N604" s="515"/>
      <c r="O604" s="515"/>
      <c r="P604" s="515"/>
      <c r="Q604" s="371"/>
      <c r="R604" s="371">
        <f>+Q678</f>
        <v>1</v>
      </c>
      <c r="S604" s="371"/>
      <c r="T604" s="371"/>
      <c r="U604" s="29"/>
      <c r="V604" s="30"/>
      <c r="W604" s="30"/>
      <c r="X604" s="29"/>
      <c r="Y604" s="127"/>
      <c r="Z604" s="30"/>
      <c r="AA604" s="299"/>
      <c r="AC604" s="200">
        <v>0</v>
      </c>
      <c r="AE604" s="42"/>
      <c r="AF604" s="42"/>
    </row>
    <row r="605" spans="1:32" s="19" customFormat="1" x14ac:dyDescent="0.2">
      <c r="A605" s="37"/>
      <c r="B605" s="37" t="s">
        <v>1655</v>
      </c>
      <c r="C605" s="170"/>
      <c r="D605" s="172"/>
      <c r="F605" s="172"/>
      <c r="G605" s="172"/>
      <c r="H605" s="245"/>
      <c r="I605" s="245"/>
      <c r="J605" s="172"/>
      <c r="K605" s="172"/>
      <c r="L605" s="172"/>
      <c r="M605" s="200">
        <v>1</v>
      </c>
      <c r="N605" s="515"/>
      <c r="O605" s="515"/>
      <c r="P605" s="515"/>
      <c r="Q605" s="371"/>
      <c r="R605" s="371">
        <f>+Q680</f>
        <v>1</v>
      </c>
      <c r="S605" s="371"/>
      <c r="T605" s="371"/>
      <c r="U605" s="29"/>
      <c r="V605" s="30"/>
      <c r="W605" s="30"/>
      <c r="X605" s="29"/>
      <c r="Y605" s="127"/>
      <c r="Z605" s="30"/>
      <c r="AA605" s="299"/>
      <c r="AC605" s="200">
        <v>1</v>
      </c>
      <c r="AE605" s="42"/>
      <c r="AF605" s="42"/>
    </row>
    <row r="606" spans="1:32" s="19" customFormat="1" x14ac:dyDescent="0.2">
      <c r="A606" s="37"/>
      <c r="B606" s="37" t="s">
        <v>1480</v>
      </c>
      <c r="C606" s="170"/>
      <c r="D606" s="172"/>
      <c r="F606" s="172"/>
      <c r="G606" s="172"/>
      <c r="H606" s="245"/>
      <c r="I606" s="245"/>
      <c r="J606" s="172"/>
      <c r="K606" s="172" t="s">
        <v>27</v>
      </c>
      <c r="L606" s="172"/>
      <c r="M606" s="200">
        <v>1</v>
      </c>
      <c r="N606" s="515"/>
      <c r="O606" s="515"/>
      <c r="P606" s="515"/>
      <c r="Q606" s="371"/>
      <c r="R606" s="383">
        <f>AVERAGE(R576:R605)</f>
        <v>0.86955555555555553</v>
      </c>
      <c r="S606" s="383"/>
      <c r="T606" s="380">
        <f>STDEV(R576:R605)/(SQRT(COUNT(R576:R605)))</f>
        <v>4.4011923188109495E-2</v>
      </c>
      <c r="U606" s="29"/>
      <c r="V606" s="30"/>
      <c r="W606" s="30"/>
      <c r="X606" s="29"/>
      <c r="Y606" s="127"/>
      <c r="Z606" s="30"/>
      <c r="AA606" s="299"/>
      <c r="AC606" s="200">
        <v>1</v>
      </c>
      <c r="AE606" s="42"/>
      <c r="AF606" s="42"/>
    </row>
    <row r="607" spans="1:32" s="19" customFormat="1" x14ac:dyDescent="0.2">
      <c r="A607" s="37"/>
      <c r="B607" s="37" t="s">
        <v>1481</v>
      </c>
      <c r="C607" s="170"/>
      <c r="D607" s="172"/>
      <c r="F607" s="172"/>
      <c r="G607" s="172"/>
      <c r="H607" s="245"/>
      <c r="I607" s="245"/>
      <c r="J607" s="172"/>
      <c r="K607" s="172"/>
      <c r="L607" s="172"/>
      <c r="M607" s="200">
        <v>1</v>
      </c>
      <c r="N607" s="515"/>
      <c r="O607" s="515"/>
      <c r="P607" s="515"/>
      <c r="Q607" s="371"/>
      <c r="R607" s="371"/>
      <c r="S607" s="371"/>
      <c r="T607" s="371"/>
      <c r="U607" s="29"/>
      <c r="V607" s="30"/>
      <c r="W607" s="30"/>
      <c r="X607" s="29"/>
      <c r="Y607" s="127"/>
      <c r="Z607" s="30"/>
      <c r="AA607" s="299"/>
      <c r="AC607" s="200">
        <v>1</v>
      </c>
      <c r="AE607" s="42"/>
      <c r="AF607" s="42"/>
    </row>
    <row r="608" spans="1:32" s="19" customFormat="1" x14ac:dyDescent="0.2">
      <c r="A608" s="37"/>
      <c r="B608" s="37" t="s">
        <v>1482</v>
      </c>
      <c r="C608" s="170"/>
      <c r="D608" s="172"/>
      <c r="F608" s="172"/>
      <c r="G608" s="172"/>
      <c r="H608" s="245"/>
      <c r="I608" s="245"/>
      <c r="J608" s="172"/>
      <c r="K608" s="172"/>
      <c r="L608" s="172"/>
      <c r="M608" s="200">
        <v>1</v>
      </c>
      <c r="N608" s="515"/>
      <c r="O608" s="515"/>
      <c r="P608" s="515"/>
      <c r="Q608" s="371"/>
      <c r="R608" s="371"/>
      <c r="S608" s="371"/>
      <c r="T608" s="371"/>
      <c r="U608" s="29"/>
      <c r="V608" s="30"/>
      <c r="W608" s="30"/>
      <c r="X608" s="29"/>
      <c r="Y608" s="127"/>
      <c r="Z608" s="30"/>
      <c r="AA608" s="299"/>
      <c r="AC608" s="200">
        <v>1</v>
      </c>
      <c r="AE608" s="42"/>
      <c r="AF608" s="42"/>
    </row>
    <row r="609" spans="1:32" s="19" customFormat="1" x14ac:dyDescent="0.2">
      <c r="A609" s="37"/>
      <c r="B609" s="37" t="s">
        <v>1483</v>
      </c>
      <c r="C609" s="170"/>
      <c r="D609" s="172"/>
      <c r="F609" s="172"/>
      <c r="G609" s="172"/>
      <c r="H609" s="245">
        <v>1</v>
      </c>
      <c r="I609" s="245"/>
      <c r="J609" s="172">
        <v>1</v>
      </c>
      <c r="K609" s="172">
        <v>9</v>
      </c>
      <c r="L609" s="172"/>
      <c r="M609" s="200">
        <v>1</v>
      </c>
      <c r="N609" s="515"/>
      <c r="O609" s="515"/>
      <c r="P609" s="515"/>
      <c r="Q609" s="371">
        <v>1</v>
      </c>
      <c r="R609" s="371"/>
      <c r="S609" s="371"/>
      <c r="T609" s="371"/>
      <c r="U609" s="29"/>
      <c r="V609" s="30"/>
      <c r="W609" s="30"/>
      <c r="X609" s="29"/>
      <c r="Y609" s="127"/>
      <c r="Z609" s="30"/>
      <c r="AA609" s="299"/>
      <c r="AC609" s="200">
        <v>1</v>
      </c>
      <c r="AE609" s="42"/>
      <c r="AF609" s="42"/>
    </row>
    <row r="610" spans="1:32" s="19" customFormat="1" x14ac:dyDescent="0.2">
      <c r="A610" s="37"/>
      <c r="B610" s="37" t="s">
        <v>1484</v>
      </c>
      <c r="C610" s="170"/>
      <c r="D610" s="172"/>
      <c r="F610" s="172"/>
      <c r="G610" s="172"/>
      <c r="H610" s="245"/>
      <c r="I610" s="245"/>
      <c r="J610" s="172"/>
      <c r="K610" s="172"/>
      <c r="L610" s="172"/>
      <c r="M610" s="200">
        <v>1</v>
      </c>
      <c r="N610" s="515"/>
      <c r="O610" s="515"/>
      <c r="P610" s="515"/>
      <c r="Q610" s="371"/>
      <c r="R610" s="371"/>
      <c r="S610" s="371"/>
      <c r="T610" s="371"/>
      <c r="U610" s="29"/>
      <c r="V610" s="30"/>
      <c r="W610" s="30"/>
      <c r="X610" s="29"/>
      <c r="Y610" s="127"/>
      <c r="Z610" s="30"/>
      <c r="AA610" s="299"/>
      <c r="AC610" s="200">
        <v>1</v>
      </c>
      <c r="AE610" s="42"/>
      <c r="AF610" s="42"/>
    </row>
    <row r="611" spans="1:32" s="19" customFormat="1" x14ac:dyDescent="0.2">
      <c r="A611" s="37"/>
      <c r="B611" s="37" t="s">
        <v>1485</v>
      </c>
      <c r="C611" s="170"/>
      <c r="D611" s="172"/>
      <c r="F611" s="172"/>
      <c r="G611" s="172"/>
      <c r="H611" s="245"/>
      <c r="I611" s="245"/>
      <c r="J611" s="172"/>
      <c r="K611" s="172"/>
      <c r="L611" s="172"/>
      <c r="M611" s="200">
        <v>1</v>
      </c>
      <c r="N611" s="515"/>
      <c r="O611" s="515"/>
      <c r="P611" s="515"/>
      <c r="Q611" s="371"/>
      <c r="R611" s="371"/>
      <c r="S611" s="371"/>
      <c r="T611" s="371"/>
      <c r="U611" s="29"/>
      <c r="V611" s="30"/>
      <c r="W611" s="30"/>
      <c r="X611" s="29"/>
      <c r="Y611" s="127"/>
      <c r="Z611" s="30"/>
      <c r="AA611" s="299"/>
      <c r="AC611" s="200">
        <v>1</v>
      </c>
      <c r="AE611" s="42"/>
      <c r="AF611" s="42"/>
    </row>
    <row r="612" spans="1:32" s="19" customFormat="1" x14ac:dyDescent="0.2">
      <c r="A612" s="37"/>
      <c r="B612" s="37" t="s">
        <v>1656</v>
      </c>
      <c r="C612" s="170"/>
      <c r="D612" s="172"/>
      <c r="F612" s="172"/>
      <c r="G612" s="172"/>
      <c r="H612" s="245"/>
      <c r="I612" s="245"/>
      <c r="J612" s="172"/>
      <c r="K612" s="172"/>
      <c r="L612" s="172"/>
      <c r="M612" s="200">
        <v>1</v>
      </c>
      <c r="N612" s="515"/>
      <c r="O612" s="515"/>
      <c r="P612" s="515"/>
      <c r="Q612" s="371"/>
      <c r="R612" s="371"/>
      <c r="S612" s="371"/>
      <c r="T612" s="371"/>
      <c r="U612" s="29"/>
      <c r="V612" s="30"/>
      <c r="W612" s="30"/>
      <c r="X612" s="29"/>
      <c r="Y612" s="127"/>
      <c r="Z612" s="30"/>
      <c r="AA612" s="299"/>
      <c r="AC612" s="200">
        <v>1</v>
      </c>
      <c r="AE612" s="42"/>
      <c r="AF612" s="42"/>
    </row>
    <row r="613" spans="1:32" s="19" customFormat="1" x14ac:dyDescent="0.2">
      <c r="A613" s="37"/>
      <c r="B613" s="37" t="s">
        <v>1657</v>
      </c>
      <c r="C613" s="170"/>
      <c r="D613" s="172"/>
      <c r="F613" s="172"/>
      <c r="G613" s="172"/>
      <c r="H613" s="245"/>
      <c r="I613" s="245"/>
      <c r="J613" s="172"/>
      <c r="K613" s="172"/>
      <c r="L613" s="172"/>
      <c r="M613" s="200">
        <v>1</v>
      </c>
      <c r="N613" s="515"/>
      <c r="O613" s="515"/>
      <c r="P613" s="515"/>
      <c r="Q613" s="371"/>
      <c r="R613" s="371"/>
      <c r="S613" s="371"/>
      <c r="T613" s="371"/>
      <c r="U613" s="29"/>
      <c r="V613" s="30"/>
      <c r="W613" s="30"/>
      <c r="X613" s="29"/>
      <c r="Y613" s="127"/>
      <c r="Z613" s="30"/>
      <c r="AA613" s="299"/>
      <c r="AC613" s="200">
        <v>1</v>
      </c>
      <c r="AE613" s="42"/>
      <c r="AF613" s="42"/>
    </row>
    <row r="614" spans="1:32" s="19" customFormat="1" x14ac:dyDescent="0.2">
      <c r="A614" s="37"/>
      <c r="B614" s="37" t="s">
        <v>1658</v>
      </c>
      <c r="C614" s="170"/>
      <c r="D614" s="172"/>
      <c r="F614" s="172"/>
      <c r="G614" s="172"/>
      <c r="H614" s="245"/>
      <c r="I614" s="245"/>
      <c r="J614" s="172"/>
      <c r="K614" s="172"/>
      <c r="L614" s="172"/>
      <c r="M614" s="200">
        <v>1</v>
      </c>
      <c r="N614" s="515"/>
      <c r="O614" s="515"/>
      <c r="P614" s="515"/>
      <c r="Q614" s="371"/>
      <c r="R614" s="371"/>
      <c r="S614" s="371"/>
      <c r="T614" s="371"/>
      <c r="U614" s="29"/>
      <c r="V614" s="30"/>
      <c r="W614" s="30"/>
      <c r="X614" s="29"/>
      <c r="Y614" s="127"/>
      <c r="Z614" s="30"/>
      <c r="AA614" s="299"/>
      <c r="AC614" s="200">
        <v>1</v>
      </c>
      <c r="AE614" s="42"/>
      <c r="AF614" s="42"/>
    </row>
    <row r="615" spans="1:32" s="19" customFormat="1" x14ac:dyDescent="0.2">
      <c r="A615" s="37"/>
      <c r="B615" s="37" t="s">
        <v>1486</v>
      </c>
      <c r="C615" s="170" t="s">
        <v>27</v>
      </c>
      <c r="D615" s="172"/>
      <c r="F615" s="172"/>
      <c r="G615" s="172"/>
      <c r="H615" s="245" t="s">
        <v>27</v>
      </c>
      <c r="I615" s="245"/>
      <c r="J615" s="172" t="s">
        <v>27</v>
      </c>
      <c r="K615" s="172" t="s">
        <v>27</v>
      </c>
      <c r="L615" s="172"/>
      <c r="M615" s="200">
        <v>1</v>
      </c>
      <c r="N615" s="515"/>
      <c r="O615" s="515"/>
      <c r="P615" s="515"/>
      <c r="Q615" s="371"/>
      <c r="R615" s="371"/>
      <c r="S615" s="371"/>
      <c r="T615" s="371"/>
      <c r="U615" s="29"/>
      <c r="V615" s="30"/>
      <c r="W615" s="30"/>
      <c r="X615" s="29"/>
      <c r="Y615" s="127"/>
      <c r="Z615" s="30"/>
      <c r="AA615" s="299">
        <v>0</v>
      </c>
      <c r="AC615" s="200">
        <v>1</v>
      </c>
      <c r="AE615" s="42"/>
      <c r="AF615" s="42"/>
    </row>
    <row r="616" spans="1:32" s="19" customFormat="1" x14ac:dyDescent="0.2">
      <c r="A616" s="37"/>
      <c r="B616" s="37" t="s">
        <v>1487</v>
      </c>
      <c r="C616" s="170" t="s">
        <v>27</v>
      </c>
      <c r="D616" s="172"/>
      <c r="F616" s="172"/>
      <c r="G616" s="172"/>
      <c r="H616" s="245"/>
      <c r="I616" s="245"/>
      <c r="J616" s="172"/>
      <c r="K616" s="172"/>
      <c r="L616" s="172"/>
      <c r="M616" s="200">
        <v>1</v>
      </c>
      <c r="N616" s="515"/>
      <c r="O616" s="515"/>
      <c r="P616" s="515"/>
      <c r="Q616" s="371"/>
      <c r="R616" s="371"/>
      <c r="S616" s="371"/>
      <c r="T616" s="371"/>
      <c r="U616" s="29"/>
      <c r="V616" s="30"/>
      <c r="W616" s="30"/>
      <c r="X616" s="29"/>
      <c r="Y616" s="127"/>
      <c r="Z616" s="30"/>
      <c r="AA616" s="299">
        <v>0</v>
      </c>
      <c r="AC616" s="200">
        <v>1</v>
      </c>
      <c r="AE616" s="42"/>
      <c r="AF616" s="42"/>
    </row>
    <row r="617" spans="1:32" s="19" customFormat="1" x14ac:dyDescent="0.2">
      <c r="A617" s="37"/>
      <c r="B617" s="37" t="s">
        <v>1488</v>
      </c>
      <c r="C617" s="170" t="s">
        <v>27</v>
      </c>
      <c r="D617" s="172"/>
      <c r="F617" s="172"/>
      <c r="G617" s="172"/>
      <c r="H617" s="245"/>
      <c r="I617" s="245"/>
      <c r="J617" s="172"/>
      <c r="K617" s="172"/>
      <c r="L617" s="172"/>
      <c r="M617" s="200">
        <v>1</v>
      </c>
      <c r="N617" s="515"/>
      <c r="O617" s="515"/>
      <c r="P617" s="515"/>
      <c r="Q617" s="371"/>
      <c r="R617" s="371"/>
      <c r="S617" s="371"/>
      <c r="T617" s="371"/>
      <c r="U617" s="29"/>
      <c r="V617" s="30"/>
      <c r="W617" s="30"/>
      <c r="X617" s="29"/>
      <c r="Y617" s="127"/>
      <c r="Z617" s="30"/>
      <c r="AA617" s="299">
        <v>0</v>
      </c>
      <c r="AC617" s="200">
        <v>1</v>
      </c>
      <c r="AE617" s="42"/>
      <c r="AF617" s="42"/>
    </row>
    <row r="618" spans="1:32" s="19" customFormat="1" x14ac:dyDescent="0.2">
      <c r="A618" s="37"/>
      <c r="B618" s="37" t="s">
        <v>1659</v>
      </c>
      <c r="C618" s="170"/>
      <c r="D618" s="172"/>
      <c r="F618" s="172"/>
      <c r="G618" s="172"/>
      <c r="H618" s="245">
        <v>1</v>
      </c>
      <c r="I618" s="245"/>
      <c r="J618" s="172">
        <v>1</v>
      </c>
      <c r="K618" s="172">
        <v>3</v>
      </c>
      <c r="L618" s="172"/>
      <c r="M618" s="200">
        <v>1</v>
      </c>
      <c r="N618" s="515"/>
      <c r="O618" s="515"/>
      <c r="P618" s="515"/>
      <c r="Q618" s="371"/>
      <c r="R618" s="371"/>
      <c r="S618" s="371"/>
      <c r="T618" s="371"/>
      <c r="U618" s="29"/>
      <c r="V618" s="30"/>
      <c r="W618" s="30"/>
      <c r="X618" s="29"/>
      <c r="Y618" s="127"/>
      <c r="Z618" s="30"/>
      <c r="AA618" s="299"/>
      <c r="AC618" s="200">
        <v>1</v>
      </c>
      <c r="AE618" s="42"/>
      <c r="AF618" s="42"/>
    </row>
    <row r="619" spans="1:32" s="19" customFormat="1" x14ac:dyDescent="0.2">
      <c r="A619" s="37"/>
      <c r="B619" s="37" t="s">
        <v>1660</v>
      </c>
      <c r="C619" s="170"/>
      <c r="D619" s="172"/>
      <c r="F619" s="172"/>
      <c r="G619" s="172"/>
      <c r="H619" s="245"/>
      <c r="I619" s="245"/>
      <c r="J619" s="172"/>
      <c r="K619" s="172"/>
      <c r="L619" s="172"/>
      <c r="M619" s="200">
        <v>1</v>
      </c>
      <c r="N619" s="515"/>
      <c r="O619" s="515"/>
      <c r="P619" s="515"/>
      <c r="Q619" s="371"/>
      <c r="R619" s="371"/>
      <c r="S619" s="371"/>
      <c r="T619" s="371"/>
      <c r="U619" s="29"/>
      <c r="V619" s="30"/>
      <c r="W619" s="30"/>
      <c r="X619" s="29"/>
      <c r="Y619" s="127"/>
      <c r="Z619" s="30"/>
      <c r="AA619" s="299"/>
      <c r="AC619" s="200">
        <v>1</v>
      </c>
      <c r="AE619" s="42"/>
      <c r="AF619" s="42"/>
    </row>
    <row r="620" spans="1:32" s="19" customFormat="1" x14ac:dyDescent="0.2">
      <c r="A620" s="37"/>
      <c r="B620" s="37" t="s">
        <v>1661</v>
      </c>
      <c r="C620" s="170"/>
      <c r="D620" s="172"/>
      <c r="F620" s="172"/>
      <c r="G620" s="172"/>
      <c r="H620" s="245"/>
      <c r="I620" s="245"/>
      <c r="J620" s="172"/>
      <c r="K620" s="172"/>
      <c r="L620" s="172"/>
      <c r="M620" s="200">
        <v>1</v>
      </c>
      <c r="N620" s="515"/>
      <c r="O620" s="515"/>
      <c r="P620" s="515"/>
      <c r="Q620" s="371"/>
      <c r="R620" s="371"/>
      <c r="S620" s="371"/>
      <c r="T620" s="371"/>
      <c r="U620" s="29"/>
      <c r="V620" s="30"/>
      <c r="W620" s="30"/>
      <c r="X620" s="29"/>
      <c r="Y620" s="127"/>
      <c r="Z620" s="30"/>
      <c r="AA620" s="299"/>
      <c r="AC620" s="200">
        <v>1</v>
      </c>
      <c r="AE620" s="42"/>
      <c r="AF620" s="42"/>
    </row>
    <row r="621" spans="1:32" s="19" customFormat="1" x14ac:dyDescent="0.2">
      <c r="A621" s="37"/>
      <c r="B621" s="37" t="s">
        <v>1662</v>
      </c>
      <c r="C621" s="170"/>
      <c r="D621" s="172"/>
      <c r="F621" s="172"/>
      <c r="G621" s="172"/>
      <c r="H621" s="245">
        <v>1</v>
      </c>
      <c r="I621" s="245"/>
      <c r="J621" s="172">
        <v>1</v>
      </c>
      <c r="K621" s="172">
        <v>7</v>
      </c>
      <c r="L621" s="172"/>
      <c r="M621" s="200">
        <v>1</v>
      </c>
      <c r="N621" s="515"/>
      <c r="O621" s="515"/>
      <c r="P621" s="515"/>
      <c r="Q621" s="371">
        <v>0.67</v>
      </c>
      <c r="R621" s="371"/>
      <c r="S621" s="371"/>
      <c r="T621" s="371"/>
      <c r="U621" s="29"/>
      <c r="V621" s="30"/>
      <c r="W621" s="30"/>
      <c r="X621" s="29"/>
      <c r="Y621" s="127"/>
      <c r="Z621" s="30"/>
      <c r="AA621" s="299"/>
      <c r="AC621" s="200">
        <v>0</v>
      </c>
      <c r="AE621" s="42"/>
      <c r="AF621" s="42"/>
    </row>
    <row r="622" spans="1:32" s="19" customFormat="1" x14ac:dyDescent="0.2">
      <c r="A622" s="37"/>
      <c r="B622" s="37" t="s">
        <v>1663</v>
      </c>
      <c r="C622" s="170"/>
      <c r="D622" s="172"/>
      <c r="F622" s="172"/>
      <c r="G622" s="172"/>
      <c r="H622" s="245"/>
      <c r="I622" s="245"/>
      <c r="J622" s="172"/>
      <c r="K622" s="172"/>
      <c r="L622" s="172"/>
      <c r="M622" s="200">
        <v>0</v>
      </c>
      <c r="N622" s="515"/>
      <c r="O622" s="515"/>
      <c r="P622" s="515"/>
      <c r="Q622" s="371"/>
      <c r="R622" s="371"/>
      <c r="S622" s="371"/>
      <c r="T622" s="371"/>
      <c r="U622" s="29"/>
      <c r="V622" s="30"/>
      <c r="W622" s="30"/>
      <c r="X622" s="29"/>
      <c r="Y622" s="127"/>
      <c r="Z622" s="30"/>
      <c r="AA622" s="299"/>
      <c r="AC622" s="200">
        <v>1</v>
      </c>
      <c r="AE622" s="42"/>
      <c r="AF622" s="42"/>
    </row>
    <row r="623" spans="1:32" s="19" customFormat="1" x14ac:dyDescent="0.2">
      <c r="A623" s="37"/>
      <c r="B623" s="37" t="s">
        <v>1664</v>
      </c>
      <c r="C623" s="170"/>
      <c r="D623" s="172"/>
      <c r="F623" s="172"/>
      <c r="G623" s="172"/>
      <c r="H623" s="245"/>
      <c r="I623" s="245"/>
      <c r="J623" s="172"/>
      <c r="K623" s="172"/>
      <c r="L623" s="172"/>
      <c r="M623" s="200">
        <v>1</v>
      </c>
      <c r="N623" s="515"/>
      <c r="O623" s="515"/>
      <c r="P623" s="515"/>
      <c r="Q623" s="371"/>
      <c r="R623" s="371"/>
      <c r="S623" s="371"/>
      <c r="T623" s="371"/>
      <c r="U623" s="29"/>
      <c r="V623" s="30"/>
      <c r="W623" s="30"/>
      <c r="X623" s="29"/>
      <c r="Y623" s="127"/>
      <c r="Z623" s="30"/>
      <c r="AA623" s="299"/>
      <c r="AC623" s="200">
        <v>1</v>
      </c>
      <c r="AE623" s="42"/>
      <c r="AF623" s="42"/>
    </row>
    <row r="624" spans="1:32" s="19" customFormat="1" x14ac:dyDescent="0.2">
      <c r="A624" s="37"/>
      <c r="B624" s="37" t="s">
        <v>1489</v>
      </c>
      <c r="C624" s="170"/>
      <c r="D624" s="172"/>
      <c r="F624" s="172"/>
      <c r="G624" s="172"/>
      <c r="H624" s="245" t="s">
        <v>27</v>
      </c>
      <c r="I624" s="245"/>
      <c r="J624" s="172" t="s">
        <v>27</v>
      </c>
      <c r="K624" s="172" t="s">
        <v>27</v>
      </c>
      <c r="L624" s="172"/>
      <c r="M624" s="200">
        <v>1</v>
      </c>
      <c r="N624" s="515"/>
      <c r="O624" s="515"/>
      <c r="P624" s="515"/>
      <c r="Q624" s="371" t="s">
        <v>27</v>
      </c>
      <c r="R624" s="371"/>
      <c r="S624" s="371"/>
      <c r="T624" s="371"/>
      <c r="U624" s="29"/>
      <c r="V624" s="30"/>
      <c r="W624" s="30"/>
      <c r="X624" s="29"/>
      <c r="Y624" s="127"/>
      <c r="Z624" s="30"/>
      <c r="AA624" s="299"/>
      <c r="AC624" s="200">
        <v>1</v>
      </c>
      <c r="AE624" s="42"/>
      <c r="AF624" s="42"/>
    </row>
    <row r="625" spans="1:32" s="19" customFormat="1" x14ac:dyDescent="0.2">
      <c r="A625" s="37"/>
      <c r="B625" s="37" t="s">
        <v>1490</v>
      </c>
      <c r="C625" s="170"/>
      <c r="D625" s="172"/>
      <c r="F625" s="172"/>
      <c r="G625" s="172"/>
      <c r="H625" s="245"/>
      <c r="I625" s="245"/>
      <c r="J625" s="172"/>
      <c r="K625" s="172"/>
      <c r="L625" s="172"/>
      <c r="M625" s="200">
        <v>1</v>
      </c>
      <c r="N625" s="515"/>
      <c r="O625" s="515"/>
      <c r="P625" s="515"/>
      <c r="Q625" s="371"/>
      <c r="R625" s="371"/>
      <c r="S625" s="371"/>
      <c r="T625" s="371"/>
      <c r="U625" s="29"/>
      <c r="V625" s="30"/>
      <c r="W625" s="30"/>
      <c r="X625" s="29"/>
      <c r="Y625" s="127"/>
      <c r="Z625" s="30"/>
      <c r="AA625" s="299"/>
      <c r="AC625" s="200">
        <v>1</v>
      </c>
      <c r="AE625" s="42"/>
      <c r="AF625" s="42"/>
    </row>
    <row r="626" spans="1:32" s="19" customFormat="1" x14ac:dyDescent="0.2">
      <c r="A626" s="37"/>
      <c r="B626" s="37" t="s">
        <v>1491</v>
      </c>
      <c r="C626" s="170"/>
      <c r="D626" s="172"/>
      <c r="F626" s="172"/>
      <c r="G626" s="172"/>
      <c r="H626" s="245"/>
      <c r="I626" s="245"/>
      <c r="J626" s="172"/>
      <c r="K626" s="172"/>
      <c r="L626" s="172"/>
      <c r="M626" s="200">
        <v>1</v>
      </c>
      <c r="N626" s="515"/>
      <c r="O626" s="515"/>
      <c r="P626" s="515"/>
      <c r="Q626" s="371"/>
      <c r="R626" s="371"/>
      <c r="S626" s="371"/>
      <c r="T626" s="371"/>
      <c r="U626" s="29"/>
      <c r="V626" s="30"/>
      <c r="W626" s="30" t="s">
        <v>234</v>
      </c>
      <c r="X626" s="29"/>
      <c r="Y626" s="127"/>
      <c r="Z626" s="30"/>
      <c r="AA626" s="299"/>
      <c r="AC626" s="200">
        <v>1</v>
      </c>
      <c r="AE626" s="42"/>
      <c r="AF626" s="42"/>
    </row>
    <row r="627" spans="1:32" s="19" customFormat="1" x14ac:dyDescent="0.2">
      <c r="A627" s="37"/>
      <c r="B627" s="37" t="s">
        <v>1492</v>
      </c>
      <c r="C627" s="170"/>
      <c r="D627" s="172"/>
      <c r="F627" s="172"/>
      <c r="G627" s="172"/>
      <c r="H627" s="245" t="s">
        <v>27</v>
      </c>
      <c r="I627" s="245"/>
      <c r="J627" s="172" t="s">
        <v>27</v>
      </c>
      <c r="K627" s="172" t="s">
        <v>27</v>
      </c>
      <c r="L627" s="172"/>
      <c r="M627" s="200">
        <v>1</v>
      </c>
      <c r="N627" s="515"/>
      <c r="O627" s="515"/>
      <c r="P627" s="515"/>
      <c r="Q627" s="371"/>
      <c r="R627" s="371"/>
      <c r="S627" s="371"/>
      <c r="T627" s="371"/>
      <c r="U627" s="29"/>
      <c r="V627" s="30"/>
      <c r="W627" s="30" t="s">
        <v>234</v>
      </c>
      <c r="X627" s="29"/>
      <c r="Y627" s="127"/>
      <c r="Z627" s="30"/>
      <c r="AA627" s="299"/>
      <c r="AC627" s="200">
        <v>0</v>
      </c>
      <c r="AE627" s="42"/>
      <c r="AF627" s="42"/>
    </row>
    <row r="628" spans="1:32" s="19" customFormat="1" x14ac:dyDescent="0.2">
      <c r="A628" s="37"/>
      <c r="B628" s="37" t="s">
        <v>1665</v>
      </c>
      <c r="C628" s="170"/>
      <c r="D628" s="172"/>
      <c r="F628" s="172"/>
      <c r="G628" s="172"/>
      <c r="H628" s="245">
        <v>1</v>
      </c>
      <c r="I628" s="245"/>
      <c r="J628" s="172">
        <v>1</v>
      </c>
      <c r="K628" s="172">
        <v>3</v>
      </c>
      <c r="L628" s="172"/>
      <c r="M628" s="200">
        <v>1</v>
      </c>
      <c r="N628" s="515"/>
      <c r="O628" s="515"/>
      <c r="P628" s="515"/>
      <c r="Q628" s="371">
        <v>1</v>
      </c>
      <c r="R628" s="371"/>
      <c r="S628" s="371"/>
      <c r="T628" s="371"/>
      <c r="U628" s="29"/>
      <c r="V628" s="30"/>
      <c r="W628" s="30"/>
      <c r="X628" s="29"/>
      <c r="Y628" s="127"/>
      <c r="Z628" s="30"/>
      <c r="AA628" s="299"/>
      <c r="AC628" s="200">
        <v>0</v>
      </c>
      <c r="AE628" s="42"/>
      <c r="AF628" s="42"/>
    </row>
    <row r="629" spans="1:32" s="19" customFormat="1" x14ac:dyDescent="0.2">
      <c r="A629" s="37"/>
      <c r="B629" s="37" t="s">
        <v>1666</v>
      </c>
      <c r="C629" s="170"/>
      <c r="D629" s="172"/>
      <c r="F629" s="172"/>
      <c r="G629" s="172"/>
      <c r="H629" s="245"/>
      <c r="I629" s="245"/>
      <c r="J629" s="172"/>
      <c r="K629" s="172"/>
      <c r="L629" s="172"/>
      <c r="M629" s="200">
        <v>1</v>
      </c>
      <c r="N629" s="515"/>
      <c r="O629" s="515"/>
      <c r="P629" s="515"/>
      <c r="Q629" s="371"/>
      <c r="R629" s="371"/>
      <c r="S629" s="371"/>
      <c r="T629" s="371"/>
      <c r="U629" s="29"/>
      <c r="V629" s="30"/>
      <c r="W629" s="30"/>
      <c r="X629" s="29"/>
      <c r="Y629" s="127"/>
      <c r="Z629" s="30"/>
      <c r="AA629" s="299"/>
      <c r="AC629" s="200">
        <v>0</v>
      </c>
      <c r="AE629" s="42"/>
      <c r="AF629" s="42"/>
    </row>
    <row r="630" spans="1:32" s="19" customFormat="1" x14ac:dyDescent="0.2">
      <c r="A630" s="37"/>
      <c r="B630" s="37" t="s">
        <v>1667</v>
      </c>
      <c r="C630" s="170"/>
      <c r="D630" s="172"/>
      <c r="F630" s="172"/>
      <c r="G630" s="172"/>
      <c r="H630" s="245"/>
      <c r="I630" s="245"/>
      <c r="J630" s="172"/>
      <c r="K630" s="172"/>
      <c r="L630" s="172"/>
      <c r="M630" s="200">
        <v>1</v>
      </c>
      <c r="N630" s="515"/>
      <c r="O630" s="515"/>
      <c r="P630" s="515"/>
      <c r="Q630" s="371"/>
      <c r="R630" s="371"/>
      <c r="S630" s="371"/>
      <c r="T630" s="371"/>
      <c r="U630" s="29"/>
      <c r="V630" s="30"/>
      <c r="W630" s="30"/>
      <c r="X630" s="29"/>
      <c r="Y630" s="127"/>
      <c r="Z630" s="30"/>
      <c r="AA630" s="299"/>
      <c r="AC630" s="200">
        <v>1</v>
      </c>
      <c r="AE630" s="42"/>
      <c r="AF630" s="42"/>
    </row>
    <row r="631" spans="1:32" s="206" customFormat="1" x14ac:dyDescent="0.2">
      <c r="B631" s="206" t="s">
        <v>1493</v>
      </c>
      <c r="C631" s="207" t="s">
        <v>27</v>
      </c>
      <c r="D631" s="207"/>
      <c r="F631" s="207"/>
      <c r="G631" s="207"/>
      <c r="H631" s="264"/>
      <c r="I631" s="264"/>
      <c r="J631" s="207"/>
      <c r="K631" s="207"/>
      <c r="L631" s="207"/>
      <c r="M631" s="208"/>
      <c r="N631" s="519"/>
      <c r="O631" s="519"/>
      <c r="P631" s="519"/>
      <c r="Q631" s="563"/>
      <c r="R631" s="563"/>
      <c r="S631" s="563"/>
      <c r="T631" s="563"/>
      <c r="U631" s="209"/>
      <c r="V631" s="210"/>
      <c r="W631" s="210"/>
      <c r="X631" s="209"/>
      <c r="Y631" s="210"/>
      <c r="Z631" s="210"/>
      <c r="AA631" s="207"/>
      <c r="AC631" s="208">
        <v>1</v>
      </c>
      <c r="AE631" s="42"/>
      <c r="AF631" s="42">
        <v>0</v>
      </c>
    </row>
    <row r="632" spans="1:32" s="206" customFormat="1" x14ac:dyDescent="0.2">
      <c r="B632" s="206" t="s">
        <v>1494</v>
      </c>
      <c r="C632" s="207" t="s">
        <v>27</v>
      </c>
      <c r="D632" s="207"/>
      <c r="F632" s="207"/>
      <c r="G632" s="207"/>
      <c r="H632" s="264"/>
      <c r="I632" s="264"/>
      <c r="J632" s="207"/>
      <c r="K632" s="207"/>
      <c r="L632" s="207"/>
      <c r="M632" s="208"/>
      <c r="N632" s="519"/>
      <c r="O632" s="519"/>
      <c r="P632" s="519"/>
      <c r="Q632" s="563"/>
      <c r="R632" s="563"/>
      <c r="S632" s="563"/>
      <c r="T632" s="563"/>
      <c r="U632" s="209"/>
      <c r="V632" s="210"/>
      <c r="W632" s="210"/>
      <c r="X632" s="209"/>
      <c r="Y632" s="210"/>
      <c r="Z632" s="210"/>
      <c r="AA632" s="207"/>
      <c r="AC632" s="208">
        <v>1</v>
      </c>
      <c r="AE632" s="42"/>
      <c r="AF632" s="42">
        <v>1</v>
      </c>
    </row>
    <row r="633" spans="1:32" s="280" customFormat="1" x14ac:dyDescent="0.2">
      <c r="A633" s="280" t="s">
        <v>709</v>
      </c>
      <c r="B633" s="281" t="s">
        <v>1495</v>
      </c>
      <c r="C633" s="279"/>
      <c r="D633" s="279"/>
      <c r="E633" s="273"/>
      <c r="F633" s="279">
        <v>3</v>
      </c>
      <c r="G633" s="276">
        <f>SUM(G634:G682)/F633</f>
        <v>1</v>
      </c>
      <c r="H633" s="290">
        <f>SUM(H634:H682)</f>
        <v>12</v>
      </c>
      <c r="I633" s="294">
        <f>SUM(J634:J682)/H633</f>
        <v>1</v>
      </c>
      <c r="J633" s="292">
        <f>SUM(J634:J682)</f>
        <v>12</v>
      </c>
      <c r="K633" s="287">
        <f>SUM(K634:K682)</f>
        <v>49</v>
      </c>
      <c r="L633" s="291">
        <f>SUM(M634:M682)/K633</f>
        <v>0.89795918367346939</v>
      </c>
      <c r="M633" s="292">
        <f>SUM(M634:M682)</f>
        <v>44</v>
      </c>
      <c r="N633" s="514"/>
      <c r="O633" s="514" t="s">
        <v>27</v>
      </c>
      <c r="P633" s="514"/>
      <c r="Q633" s="381">
        <f>((Q634*K634)+(Q642*K642)+(Q650*K650)+(Q652*K652)+(Q654*K654)+(Q657*K657)+(Q659*K659)+(Q665*K665)+(Q668*K668)+(Q671*K671)+(Q678*K678)+(Q680*K680))/K633</f>
        <v>0.89795918367346939</v>
      </c>
      <c r="R633" s="381"/>
      <c r="S633" s="381"/>
      <c r="T633" s="381"/>
      <c r="U633" s="282"/>
      <c r="V633" s="283"/>
      <c r="W633" s="283"/>
      <c r="X633" s="282"/>
      <c r="Y633" s="283"/>
      <c r="Z633" s="283"/>
      <c r="AA633" s="316">
        <f>SUM(AA634:AA682)/K633</f>
        <v>2.0408163265306121E-2</v>
      </c>
      <c r="AC633" s="616">
        <v>1</v>
      </c>
      <c r="AD633" s="284">
        <f>+U633/M633</f>
        <v>0</v>
      </c>
      <c r="AE633" s="328"/>
      <c r="AF633" s="328"/>
    </row>
    <row r="634" spans="1:32" s="37" customFormat="1" x14ac:dyDescent="0.2">
      <c r="A634" s="37">
        <v>1</v>
      </c>
      <c r="B634" s="62" t="s">
        <v>1668</v>
      </c>
      <c r="C634" s="170"/>
      <c r="D634" s="170"/>
      <c r="F634" s="170"/>
      <c r="G634" s="170">
        <v>1</v>
      </c>
      <c r="H634" s="244">
        <v>1</v>
      </c>
      <c r="I634" s="244"/>
      <c r="J634" s="170">
        <v>1</v>
      </c>
      <c r="K634" s="170">
        <v>8</v>
      </c>
      <c r="L634" s="170"/>
      <c r="M634" s="200">
        <v>1</v>
      </c>
      <c r="N634" s="515"/>
      <c r="O634" s="515"/>
      <c r="P634" s="515"/>
      <c r="Q634" s="371">
        <v>1</v>
      </c>
      <c r="R634" s="371"/>
      <c r="S634" s="371"/>
      <c r="T634" s="371"/>
      <c r="U634" s="126"/>
      <c r="V634" s="127"/>
      <c r="W634" s="127"/>
      <c r="X634" s="126"/>
      <c r="Y634" s="127"/>
      <c r="Z634" s="127"/>
      <c r="AA634" s="299"/>
      <c r="AC634" s="200">
        <v>1</v>
      </c>
      <c r="AE634" s="42"/>
      <c r="AF634" s="42"/>
    </row>
    <row r="635" spans="1:32" s="37" customFormat="1" x14ac:dyDescent="0.2">
      <c r="B635" s="62" t="s">
        <v>1669</v>
      </c>
      <c r="C635" s="170"/>
      <c r="D635" s="170"/>
      <c r="F635" s="170"/>
      <c r="G635" s="170"/>
      <c r="H635" s="244"/>
      <c r="I635" s="244"/>
      <c r="J635" s="170"/>
      <c r="K635" s="170"/>
      <c r="L635" s="170"/>
      <c r="M635" s="200">
        <v>1</v>
      </c>
      <c r="N635" s="515"/>
      <c r="O635" s="515"/>
      <c r="P635" s="515"/>
      <c r="Q635" s="371"/>
      <c r="R635" s="371"/>
      <c r="S635" s="371"/>
      <c r="T635" s="371"/>
      <c r="U635" s="126"/>
      <c r="V635" s="127"/>
      <c r="W635" s="127"/>
      <c r="X635" s="126"/>
      <c r="Y635" s="127"/>
      <c r="Z635" s="127"/>
      <c r="AA635" s="299"/>
      <c r="AC635" s="200">
        <v>1</v>
      </c>
      <c r="AE635" s="42"/>
      <c r="AF635" s="42"/>
    </row>
    <row r="636" spans="1:32" s="37" customFormat="1" x14ac:dyDescent="0.2">
      <c r="B636" s="62" t="s">
        <v>1670</v>
      </c>
      <c r="C636" s="170"/>
      <c r="D636" s="170"/>
      <c r="F636" s="170"/>
      <c r="G636" s="170"/>
      <c r="H636" s="244"/>
      <c r="I636" s="244"/>
      <c r="J636" s="170"/>
      <c r="K636" s="170"/>
      <c r="L636" s="170"/>
      <c r="M636" s="200">
        <v>1</v>
      </c>
      <c r="N636" s="515"/>
      <c r="O636" s="515"/>
      <c r="P636" s="515"/>
      <c r="Q636" s="371"/>
      <c r="R636" s="371"/>
      <c r="S636" s="371"/>
      <c r="T636" s="371"/>
      <c r="U636" s="126"/>
      <c r="V636" s="127"/>
      <c r="W636" s="127"/>
      <c r="X636" s="126"/>
      <c r="Y636" s="127"/>
      <c r="Z636" s="127"/>
      <c r="AA636" s="299"/>
      <c r="AC636" s="200">
        <v>1</v>
      </c>
      <c r="AE636" s="42"/>
      <c r="AF636" s="42"/>
    </row>
    <row r="637" spans="1:32" s="37" customFormat="1" x14ac:dyDescent="0.2">
      <c r="B637" s="62" t="s">
        <v>1496</v>
      </c>
      <c r="C637" s="170"/>
      <c r="D637" s="170"/>
      <c r="F637" s="170"/>
      <c r="G637" s="170"/>
      <c r="H637" s="244"/>
      <c r="I637" s="244"/>
      <c r="J637" s="170"/>
      <c r="K637" s="170"/>
      <c r="L637" s="170"/>
      <c r="M637" s="200">
        <v>1</v>
      </c>
      <c r="N637" s="515"/>
      <c r="O637" s="515"/>
      <c r="P637" s="515"/>
      <c r="Q637" s="371"/>
      <c r="R637" s="371"/>
      <c r="S637" s="371"/>
      <c r="T637" s="371"/>
      <c r="U637" s="126"/>
      <c r="V637" s="127"/>
      <c r="W637" s="127"/>
      <c r="X637" s="126"/>
      <c r="Y637" s="127"/>
      <c r="Z637" s="127"/>
      <c r="AA637" s="299"/>
      <c r="AC637" s="200">
        <v>1</v>
      </c>
      <c r="AE637" s="42"/>
      <c r="AF637" s="42"/>
    </row>
    <row r="638" spans="1:32" s="37" customFormat="1" x14ac:dyDescent="0.2">
      <c r="B638" s="62" t="s">
        <v>1497</v>
      </c>
      <c r="C638" s="170"/>
      <c r="D638" s="170"/>
      <c r="E638" s="19"/>
      <c r="F638" s="170"/>
      <c r="G638" s="170"/>
      <c r="H638" s="244"/>
      <c r="I638" s="244"/>
      <c r="J638" s="170"/>
      <c r="K638" s="170"/>
      <c r="L638" s="170"/>
      <c r="M638" s="200">
        <v>1</v>
      </c>
      <c r="N638" s="515"/>
      <c r="O638" s="515"/>
      <c r="P638" s="515"/>
      <c r="Q638" s="371"/>
      <c r="R638" s="371"/>
      <c r="S638" s="371"/>
      <c r="T638" s="371"/>
      <c r="U638" s="126"/>
      <c r="V638" s="127"/>
      <c r="W638" s="127"/>
      <c r="X638" s="126"/>
      <c r="Y638" s="127"/>
      <c r="Z638" s="127"/>
      <c r="AA638" s="299"/>
      <c r="AC638" s="200">
        <v>1</v>
      </c>
      <c r="AE638" s="42"/>
      <c r="AF638" s="42"/>
    </row>
    <row r="639" spans="1:32" s="37" customFormat="1" x14ac:dyDescent="0.2">
      <c r="B639" s="62" t="s">
        <v>1498</v>
      </c>
      <c r="C639" s="170"/>
      <c r="D639" s="170"/>
      <c r="E639" s="19"/>
      <c r="F639" s="170"/>
      <c r="G639" s="170"/>
      <c r="H639" s="244"/>
      <c r="I639" s="244"/>
      <c r="J639" s="170"/>
      <c r="K639" s="170"/>
      <c r="L639" s="170"/>
      <c r="M639" s="200">
        <v>1</v>
      </c>
      <c r="N639" s="515"/>
      <c r="O639" s="515"/>
      <c r="P639" s="515"/>
      <c r="Q639" s="371"/>
      <c r="R639" s="371"/>
      <c r="S639" s="371"/>
      <c r="T639" s="371"/>
      <c r="U639" s="126"/>
      <c r="V639" s="127"/>
      <c r="W639" s="127"/>
      <c r="X639" s="126"/>
      <c r="Y639" s="127"/>
      <c r="Z639" s="127"/>
      <c r="AA639" s="299"/>
      <c r="AC639" s="200">
        <v>1</v>
      </c>
      <c r="AE639" s="42"/>
      <c r="AF639" s="42"/>
    </row>
    <row r="640" spans="1:32" s="19" customFormat="1" x14ac:dyDescent="0.2">
      <c r="A640" s="37"/>
      <c r="B640" s="62" t="s">
        <v>1499</v>
      </c>
      <c r="C640" s="170"/>
      <c r="D640" s="172"/>
      <c r="F640" s="172"/>
      <c r="G640" s="172"/>
      <c r="H640" s="245" t="s">
        <v>27</v>
      </c>
      <c r="I640" s="245"/>
      <c r="J640" s="172"/>
      <c r="K640" s="172"/>
      <c r="L640" s="172"/>
      <c r="M640" s="200">
        <v>1</v>
      </c>
      <c r="N640" s="515"/>
      <c r="O640" s="515"/>
      <c r="P640" s="515"/>
      <c r="Q640" s="371"/>
      <c r="R640" s="371"/>
      <c r="S640" s="371"/>
      <c r="T640" s="371"/>
      <c r="U640" s="30" t="s">
        <v>224</v>
      </c>
      <c r="V640" s="127"/>
      <c r="W640" s="30" t="s">
        <v>224</v>
      </c>
      <c r="X640" s="29"/>
      <c r="Y640" s="127"/>
      <c r="Z640" s="30" t="s">
        <v>224</v>
      </c>
      <c r="AA640" s="299"/>
      <c r="AC640" s="200">
        <v>0</v>
      </c>
      <c r="AE640" s="42"/>
      <c r="AF640" s="42"/>
    </row>
    <row r="641" spans="1:32" s="19" customFormat="1" x14ac:dyDescent="0.2">
      <c r="A641" s="37"/>
      <c r="B641" s="62" t="s">
        <v>1500</v>
      </c>
      <c r="C641" s="170"/>
      <c r="D641" s="170"/>
      <c r="F641" s="172"/>
      <c r="G641" s="172"/>
      <c r="H641" s="245"/>
      <c r="I641" s="245"/>
      <c r="J641" s="172"/>
      <c r="K641" s="172"/>
      <c r="L641" s="172"/>
      <c r="M641" s="200">
        <v>1</v>
      </c>
      <c r="N641" s="515"/>
      <c r="O641" s="515"/>
      <c r="P641" s="515"/>
      <c r="Q641" s="371"/>
      <c r="R641" s="371"/>
      <c r="S641" s="371"/>
      <c r="T641" s="371"/>
      <c r="U641" s="30" t="s">
        <v>224</v>
      </c>
      <c r="V641" s="127"/>
      <c r="W641" s="30" t="s">
        <v>224</v>
      </c>
      <c r="X641" s="29"/>
      <c r="Y641" s="127"/>
      <c r="Z641" s="30" t="s">
        <v>224</v>
      </c>
      <c r="AA641" s="299"/>
      <c r="AC641" s="200">
        <v>1</v>
      </c>
      <c r="AE641" s="42"/>
      <c r="AF641" s="42"/>
    </row>
    <row r="642" spans="1:32" s="19" customFormat="1" x14ac:dyDescent="0.2">
      <c r="A642" s="37" t="s">
        <v>27</v>
      </c>
      <c r="B642" s="62" t="s">
        <v>1501</v>
      </c>
      <c r="C642" s="170"/>
      <c r="D642" s="172"/>
      <c r="F642" s="172"/>
      <c r="G642" s="172" t="s">
        <v>27</v>
      </c>
      <c r="H642" s="245">
        <v>1</v>
      </c>
      <c r="I642" s="245"/>
      <c r="J642" s="172">
        <v>1</v>
      </c>
      <c r="K642" s="172">
        <v>8</v>
      </c>
      <c r="L642" s="172"/>
      <c r="M642" s="200">
        <v>0</v>
      </c>
      <c r="N642" s="515"/>
      <c r="O642" s="515"/>
      <c r="P642" s="515"/>
      <c r="Q642" s="371">
        <f>SUM(M642:M649)/SUM(K642:K649)</f>
        <v>0.625</v>
      </c>
      <c r="R642" s="371"/>
      <c r="S642" s="371"/>
      <c r="T642" s="371"/>
      <c r="U642" s="30"/>
      <c r="V642" s="127"/>
      <c r="W642" s="30"/>
      <c r="X642" s="29"/>
      <c r="Y642" s="127"/>
      <c r="Z642" s="30"/>
      <c r="AA642" s="299"/>
      <c r="AC642" s="200">
        <v>1</v>
      </c>
      <c r="AE642" s="42"/>
      <c r="AF642" s="42"/>
    </row>
    <row r="643" spans="1:32" s="19" customFormat="1" x14ac:dyDescent="0.2">
      <c r="A643" s="37"/>
      <c r="B643" s="62" t="s">
        <v>1502</v>
      </c>
      <c r="C643" s="170"/>
      <c r="D643" s="172"/>
      <c r="F643" s="172"/>
      <c r="G643" s="172"/>
      <c r="H643" s="245"/>
      <c r="I643" s="245"/>
      <c r="J643" s="172"/>
      <c r="K643" s="172"/>
      <c r="L643" s="172"/>
      <c r="M643" s="200">
        <v>1</v>
      </c>
      <c r="N643" s="515"/>
      <c r="O643" s="515"/>
      <c r="P643" s="515"/>
      <c r="Q643" s="371"/>
      <c r="R643" s="371"/>
      <c r="S643" s="371"/>
      <c r="T643" s="371"/>
      <c r="U643" s="30"/>
      <c r="V643" s="127"/>
      <c r="W643" s="30"/>
      <c r="X643" s="29"/>
      <c r="Y643" s="127"/>
      <c r="Z643" s="30"/>
      <c r="AA643" s="299"/>
      <c r="AC643" s="200">
        <v>1</v>
      </c>
      <c r="AE643" s="42"/>
      <c r="AF643" s="42"/>
    </row>
    <row r="644" spans="1:32" s="19" customFormat="1" x14ac:dyDescent="0.2">
      <c r="A644" s="37"/>
      <c r="B644" s="62" t="s">
        <v>1503</v>
      </c>
      <c r="C644" s="170"/>
      <c r="D644" s="170"/>
      <c r="F644" s="172"/>
      <c r="G644" s="172"/>
      <c r="H644" s="245"/>
      <c r="I644" s="245"/>
      <c r="J644" s="172"/>
      <c r="K644" s="172"/>
      <c r="L644" s="172"/>
      <c r="M644" s="200">
        <v>1</v>
      </c>
      <c r="N644" s="515"/>
      <c r="O644" s="515"/>
      <c r="P644" s="515"/>
      <c r="Q644" s="371"/>
      <c r="R644" s="371"/>
      <c r="S644" s="371"/>
      <c r="T644" s="371"/>
      <c r="U644" s="30"/>
      <c r="V644" s="127"/>
      <c r="W644" s="30"/>
      <c r="X644" s="29"/>
      <c r="Y644" s="127"/>
      <c r="Z644" s="30"/>
      <c r="AA644" s="299"/>
      <c r="AC644" s="200">
        <v>1</v>
      </c>
      <c r="AE644" s="42"/>
      <c r="AF644" s="42"/>
    </row>
    <row r="645" spans="1:32" s="19" customFormat="1" x14ac:dyDescent="0.2">
      <c r="A645" s="37"/>
      <c r="B645" s="62" t="s">
        <v>1504</v>
      </c>
      <c r="C645" s="170"/>
      <c r="D645" s="172"/>
      <c r="F645" s="172"/>
      <c r="G645" s="172"/>
      <c r="H645" s="245" t="s">
        <v>27</v>
      </c>
      <c r="I645" s="245"/>
      <c r="J645" s="172"/>
      <c r="K645" s="172"/>
      <c r="L645" s="172"/>
      <c r="M645" s="200">
        <v>1</v>
      </c>
      <c r="N645" s="515"/>
      <c r="O645" s="515"/>
      <c r="P645" s="515"/>
      <c r="Q645" s="371"/>
      <c r="R645" s="371"/>
      <c r="S645" s="371"/>
      <c r="T645" s="371"/>
      <c r="U645" s="30" t="s">
        <v>224</v>
      </c>
      <c r="V645" s="127"/>
      <c r="W645" s="30" t="s">
        <v>224</v>
      </c>
      <c r="X645" s="29"/>
      <c r="Y645" s="127"/>
      <c r="Z645" s="30" t="s">
        <v>224</v>
      </c>
      <c r="AA645" s="299"/>
      <c r="AC645" s="200">
        <v>1</v>
      </c>
      <c r="AE645" s="42"/>
      <c r="AF645" s="42"/>
    </row>
    <row r="646" spans="1:32" s="19" customFormat="1" x14ac:dyDescent="0.2">
      <c r="A646" s="37"/>
      <c r="B646" s="62" t="s">
        <v>1505</v>
      </c>
      <c r="C646" s="170"/>
      <c r="D646" s="174"/>
      <c r="F646" s="172"/>
      <c r="G646" s="172"/>
      <c r="H646" s="245"/>
      <c r="I646" s="245"/>
      <c r="J646" s="172"/>
      <c r="K646" s="172"/>
      <c r="L646" s="172"/>
      <c r="M646" s="541">
        <v>1</v>
      </c>
      <c r="N646" s="515"/>
      <c r="O646" s="515"/>
      <c r="P646" s="515"/>
      <c r="Q646" s="371"/>
      <c r="R646" s="371"/>
      <c r="S646" s="371"/>
      <c r="T646" s="371"/>
      <c r="U646" s="30" t="s">
        <v>27</v>
      </c>
      <c r="V646" s="127"/>
      <c r="W646" s="30"/>
      <c r="X646" s="29"/>
      <c r="Y646" s="127"/>
      <c r="Z646" s="30"/>
      <c r="AA646" s="299"/>
      <c r="AC646" s="200">
        <v>1</v>
      </c>
      <c r="AE646" s="42"/>
      <c r="AF646" s="42"/>
    </row>
    <row r="647" spans="1:32" s="19" customFormat="1" x14ac:dyDescent="0.2">
      <c r="A647" s="37"/>
      <c r="B647" s="62" t="s">
        <v>1506</v>
      </c>
      <c r="C647" s="170"/>
      <c r="D647" s="174"/>
      <c r="F647" s="172"/>
      <c r="G647" s="172"/>
      <c r="H647" s="245"/>
      <c r="I647" s="245"/>
      <c r="J647" s="172"/>
      <c r="K647" s="172"/>
      <c r="L647" s="172"/>
      <c r="M647" s="200">
        <v>1</v>
      </c>
      <c r="N647" s="515"/>
      <c r="O647" s="515"/>
      <c r="P647" s="515"/>
      <c r="Q647" s="371"/>
      <c r="R647" s="371"/>
      <c r="S647" s="371"/>
      <c r="T647" s="371"/>
      <c r="U647" s="30" t="s">
        <v>224</v>
      </c>
      <c r="V647" s="127"/>
      <c r="W647" s="30" t="s">
        <v>224</v>
      </c>
      <c r="X647" s="29"/>
      <c r="Y647" s="127"/>
      <c r="Z647" s="30" t="s">
        <v>224</v>
      </c>
      <c r="AA647" s="299"/>
      <c r="AC647" s="200">
        <v>1</v>
      </c>
      <c r="AE647" s="42"/>
      <c r="AF647" s="42"/>
    </row>
    <row r="648" spans="1:32" s="19" customFormat="1" x14ac:dyDescent="0.2">
      <c r="A648" s="37"/>
      <c r="B648" s="62" t="s">
        <v>1507</v>
      </c>
      <c r="C648" s="170"/>
      <c r="D648" s="172"/>
      <c r="F648" s="172"/>
      <c r="G648" s="172"/>
      <c r="H648" s="245"/>
      <c r="I648" s="245"/>
      <c r="J648" s="172"/>
      <c r="K648" s="172"/>
      <c r="L648" s="172"/>
      <c r="M648" s="200">
        <v>0</v>
      </c>
      <c r="N648" s="515"/>
      <c r="O648" s="515"/>
      <c r="P648" s="515"/>
      <c r="Q648" s="371"/>
      <c r="R648" s="371"/>
      <c r="S648" s="371"/>
      <c r="T648" s="371"/>
      <c r="U648" s="30"/>
      <c r="V648" s="127"/>
      <c r="W648" s="30"/>
      <c r="X648" s="29"/>
      <c r="Y648" s="127"/>
      <c r="Z648" s="30"/>
      <c r="AA648" s="299"/>
      <c r="AC648" s="200">
        <v>1</v>
      </c>
      <c r="AE648" s="42"/>
      <c r="AF648" s="42"/>
    </row>
    <row r="649" spans="1:32" s="19" customFormat="1" x14ac:dyDescent="0.2">
      <c r="A649" s="37"/>
      <c r="B649" s="62" t="s">
        <v>1508</v>
      </c>
      <c r="C649" s="170"/>
      <c r="D649" s="172"/>
      <c r="F649" s="172"/>
      <c r="G649" s="172"/>
      <c r="H649" s="245"/>
      <c r="I649" s="245"/>
      <c r="J649" s="172"/>
      <c r="K649" s="172"/>
      <c r="L649" s="172"/>
      <c r="M649" s="200">
        <v>0</v>
      </c>
      <c r="N649" s="515"/>
      <c r="O649" s="515"/>
      <c r="P649" s="515"/>
      <c r="Q649" s="371"/>
      <c r="R649" s="371"/>
      <c r="S649" s="371"/>
      <c r="T649" s="371"/>
      <c r="U649" s="30"/>
      <c r="V649" s="127"/>
      <c r="W649" s="30"/>
      <c r="X649" s="29"/>
      <c r="Y649" s="127"/>
      <c r="Z649" s="30"/>
      <c r="AA649" s="299"/>
      <c r="AC649" s="200">
        <v>1</v>
      </c>
      <c r="AE649" s="42"/>
      <c r="AF649" s="42"/>
    </row>
    <row r="650" spans="1:32" s="19" customFormat="1" x14ac:dyDescent="0.2">
      <c r="A650" s="37" t="s">
        <v>27</v>
      </c>
      <c r="B650" s="62" t="s">
        <v>1509</v>
      </c>
      <c r="C650" s="170"/>
      <c r="D650" s="172"/>
      <c r="F650" s="172"/>
      <c r="G650" s="172" t="s">
        <v>27</v>
      </c>
      <c r="H650" s="245">
        <v>1</v>
      </c>
      <c r="I650" s="245"/>
      <c r="J650" s="172">
        <v>1</v>
      </c>
      <c r="K650" s="172">
        <v>2</v>
      </c>
      <c r="L650" s="172"/>
      <c r="M650" s="200">
        <v>0</v>
      </c>
      <c r="N650" s="515"/>
      <c r="O650" s="515"/>
      <c r="P650" s="515"/>
      <c r="Q650" s="371">
        <v>0.5</v>
      </c>
      <c r="R650" s="371"/>
      <c r="S650" s="371"/>
      <c r="T650" s="371"/>
      <c r="U650" s="30"/>
      <c r="V650" s="127"/>
      <c r="W650" s="30"/>
      <c r="X650" s="29"/>
      <c r="Y650" s="127"/>
      <c r="Z650" s="30"/>
      <c r="AA650" s="299"/>
      <c r="AC650" s="200">
        <v>1</v>
      </c>
      <c r="AE650" s="42"/>
      <c r="AF650" s="42"/>
    </row>
    <row r="651" spans="1:32" s="19" customFormat="1" x14ac:dyDescent="0.2">
      <c r="A651" s="37"/>
      <c r="B651" s="62" t="s">
        <v>1510</v>
      </c>
      <c r="C651" s="170"/>
      <c r="D651" s="172"/>
      <c r="F651" s="172"/>
      <c r="G651" s="172"/>
      <c r="H651" s="245"/>
      <c r="I651" s="245"/>
      <c r="J651" s="172"/>
      <c r="K651" s="172"/>
      <c r="L651" s="172"/>
      <c r="M651" s="200">
        <v>1</v>
      </c>
      <c r="N651" s="515"/>
      <c r="O651" s="515"/>
      <c r="P651" s="515"/>
      <c r="Q651" s="371"/>
      <c r="R651" s="371"/>
      <c r="S651" s="371"/>
      <c r="T651" s="371"/>
      <c r="U651" s="30"/>
      <c r="V651" s="127"/>
      <c r="W651" s="30"/>
      <c r="X651" s="29"/>
      <c r="Y651" s="127"/>
      <c r="Z651" s="30"/>
      <c r="AA651" s="299"/>
      <c r="AC651" s="200">
        <v>1</v>
      </c>
      <c r="AE651" s="42"/>
      <c r="AF651" s="42"/>
    </row>
    <row r="652" spans="1:32" s="19" customFormat="1" x14ac:dyDescent="0.2">
      <c r="A652" s="37"/>
      <c r="B652" s="62" t="s">
        <v>1671</v>
      </c>
      <c r="C652" s="170"/>
      <c r="D652" s="172"/>
      <c r="F652" s="172"/>
      <c r="G652" s="172"/>
      <c r="H652" s="245">
        <v>1</v>
      </c>
      <c r="I652" s="245"/>
      <c r="J652" s="172">
        <v>1</v>
      </c>
      <c r="K652" s="172">
        <v>2</v>
      </c>
      <c r="L652" s="172"/>
      <c r="M652" s="200">
        <v>1</v>
      </c>
      <c r="N652" s="515"/>
      <c r="O652" s="515"/>
      <c r="P652" s="515"/>
      <c r="Q652" s="371">
        <v>1</v>
      </c>
      <c r="R652" s="371"/>
      <c r="S652" s="371"/>
      <c r="T652" s="371"/>
      <c r="U652" s="30"/>
      <c r="V652" s="127"/>
      <c r="W652" s="30"/>
      <c r="X652" s="29"/>
      <c r="Y652" s="127"/>
      <c r="Z652" s="30"/>
      <c r="AA652" s="299"/>
      <c r="AC652" s="200">
        <v>1</v>
      </c>
      <c r="AE652" s="42"/>
      <c r="AF652" s="42"/>
    </row>
    <row r="653" spans="1:32" s="19" customFormat="1" x14ac:dyDescent="0.2">
      <c r="A653" s="37"/>
      <c r="B653" s="62" t="s">
        <v>1672</v>
      </c>
      <c r="C653" s="170"/>
      <c r="D653" s="172"/>
      <c r="F653" s="172"/>
      <c r="G653" s="172"/>
      <c r="H653" s="245"/>
      <c r="I653" s="245"/>
      <c r="J653" s="172"/>
      <c r="K653" s="172"/>
      <c r="L653" s="172"/>
      <c r="M653" s="200">
        <v>1</v>
      </c>
      <c r="N653" s="515"/>
      <c r="O653" s="515"/>
      <c r="P653" s="515"/>
      <c r="Q653" s="371"/>
      <c r="R653" s="371"/>
      <c r="S653" s="371"/>
      <c r="T653" s="371"/>
      <c r="U653" s="30"/>
      <c r="V653" s="127"/>
      <c r="W653" s="30"/>
      <c r="X653" s="29"/>
      <c r="Y653" s="127"/>
      <c r="Z653" s="30"/>
      <c r="AA653" s="299"/>
      <c r="AC653" s="200">
        <v>1</v>
      </c>
      <c r="AE653" s="42"/>
      <c r="AF653" s="42"/>
    </row>
    <row r="654" spans="1:32" s="19" customFormat="1" x14ac:dyDescent="0.2">
      <c r="A654" s="37"/>
      <c r="B654" s="37" t="s">
        <v>1673</v>
      </c>
      <c r="C654" s="170"/>
      <c r="D654" s="172"/>
      <c r="F654" s="172"/>
      <c r="G654" s="172"/>
      <c r="H654" s="245">
        <v>1</v>
      </c>
      <c r="I654" s="245"/>
      <c r="J654" s="172">
        <v>1</v>
      </c>
      <c r="K654" s="172">
        <v>3</v>
      </c>
      <c r="L654" s="172"/>
      <c r="M654" s="200">
        <v>1</v>
      </c>
      <c r="N654" s="515"/>
      <c r="O654" s="515"/>
      <c r="P654" s="515"/>
      <c r="Q654" s="371">
        <v>1</v>
      </c>
      <c r="R654" s="371"/>
      <c r="S654" s="371"/>
      <c r="T654" s="371"/>
      <c r="U654" s="30"/>
      <c r="V654" s="127"/>
      <c r="W654" s="30"/>
      <c r="X654" s="29"/>
      <c r="Y654" s="127"/>
      <c r="Z654" s="30"/>
      <c r="AA654" s="299"/>
      <c r="AC654" s="200">
        <v>1</v>
      </c>
      <c r="AE654" s="42"/>
      <c r="AF654" s="42"/>
    </row>
    <row r="655" spans="1:32" s="19" customFormat="1" x14ac:dyDescent="0.2">
      <c r="A655" s="37"/>
      <c r="B655" s="37" t="s">
        <v>1674</v>
      </c>
      <c r="C655" s="170"/>
      <c r="D655" s="172"/>
      <c r="F655" s="172"/>
      <c r="G655" s="172"/>
      <c r="H655" s="245"/>
      <c r="I655" s="245"/>
      <c r="J655" s="172"/>
      <c r="K655" s="172"/>
      <c r="L655" s="172"/>
      <c r="M655" s="200">
        <v>1</v>
      </c>
      <c r="N655" s="515"/>
      <c r="O655" s="515"/>
      <c r="P655" s="515"/>
      <c r="Q655" s="371"/>
      <c r="R655" s="371"/>
      <c r="S655" s="371"/>
      <c r="T655" s="371"/>
      <c r="U655" s="30"/>
      <c r="V655" s="127"/>
      <c r="W655" s="30"/>
      <c r="X655" s="29"/>
      <c r="Y655" s="127"/>
      <c r="Z655" s="30"/>
      <c r="AA655" s="299"/>
      <c r="AC655" s="200">
        <v>1</v>
      </c>
      <c r="AE655" s="42"/>
      <c r="AF655" s="42"/>
    </row>
    <row r="656" spans="1:32" s="19" customFormat="1" x14ac:dyDescent="0.2">
      <c r="A656" s="37"/>
      <c r="B656" s="37" t="s">
        <v>1675</v>
      </c>
      <c r="C656" s="170"/>
      <c r="D656" s="172"/>
      <c r="F656" s="172"/>
      <c r="G656" s="172"/>
      <c r="H656" s="245"/>
      <c r="I656" s="245"/>
      <c r="J656" s="172"/>
      <c r="K656" s="172"/>
      <c r="L656" s="172"/>
      <c r="M656" s="200">
        <v>1</v>
      </c>
      <c r="N656" s="515"/>
      <c r="O656" s="515"/>
      <c r="P656" s="515"/>
      <c r="Q656" s="371"/>
      <c r="R656" s="371"/>
      <c r="S656" s="371"/>
      <c r="T656" s="371"/>
      <c r="U656" s="30"/>
      <c r="V656" s="127"/>
      <c r="W656" s="30"/>
      <c r="X656" s="29"/>
      <c r="Y656" s="127"/>
      <c r="Z656" s="30"/>
      <c r="AA656" s="299"/>
      <c r="AC656" s="200">
        <v>1</v>
      </c>
      <c r="AE656" s="42"/>
      <c r="AF656" s="42"/>
    </row>
    <row r="657" spans="1:32" s="19" customFormat="1" x14ac:dyDescent="0.2">
      <c r="A657" s="37"/>
      <c r="B657" s="37" t="s">
        <v>1511</v>
      </c>
      <c r="C657" s="170"/>
      <c r="D657" s="172"/>
      <c r="F657" s="172"/>
      <c r="G657" s="172"/>
      <c r="H657" s="245">
        <v>1</v>
      </c>
      <c r="I657" s="245"/>
      <c r="J657" s="172">
        <v>1</v>
      </c>
      <c r="K657" s="172">
        <v>2</v>
      </c>
      <c r="L657" s="172"/>
      <c r="M657" s="200">
        <v>1</v>
      </c>
      <c r="N657" s="515"/>
      <c r="O657" s="515"/>
      <c r="P657" s="515"/>
      <c r="Q657" s="371">
        <v>1</v>
      </c>
      <c r="R657" s="371"/>
      <c r="S657" s="371"/>
      <c r="T657" s="371"/>
      <c r="U657" s="30"/>
      <c r="V657" s="127"/>
      <c r="W657" s="30"/>
      <c r="X657" s="29"/>
      <c r="Y657" s="127"/>
      <c r="Z657" s="30"/>
      <c r="AA657" s="299"/>
      <c r="AC657" s="200">
        <v>1</v>
      </c>
      <c r="AE657" s="42"/>
      <c r="AF657" s="42"/>
    </row>
    <row r="658" spans="1:32" s="19" customFormat="1" x14ac:dyDescent="0.2">
      <c r="A658" s="37"/>
      <c r="B658" s="37" t="s">
        <v>1512</v>
      </c>
      <c r="C658" s="170"/>
      <c r="D658" s="172"/>
      <c r="F658" s="172"/>
      <c r="G658" s="172"/>
      <c r="H658" s="245"/>
      <c r="I658" s="245"/>
      <c r="J658" s="172"/>
      <c r="K658" s="172"/>
      <c r="L658" s="172"/>
      <c r="M658" s="200">
        <v>1</v>
      </c>
      <c r="N658" s="515"/>
      <c r="O658" s="515"/>
      <c r="P658" s="515"/>
      <c r="Q658" s="371"/>
      <c r="R658" s="371"/>
      <c r="S658" s="371"/>
      <c r="T658" s="371"/>
      <c r="U658" s="30"/>
      <c r="V658" s="127"/>
      <c r="W658" s="30"/>
      <c r="X658" s="29"/>
      <c r="Y658" s="127"/>
      <c r="Z658" s="30"/>
      <c r="AA658" s="299"/>
      <c r="AC658" s="200">
        <v>1</v>
      </c>
      <c r="AE658" s="42"/>
      <c r="AF658" s="42"/>
    </row>
    <row r="659" spans="1:32" s="19" customFormat="1" x14ac:dyDescent="0.2">
      <c r="A659" s="37">
        <v>2</v>
      </c>
      <c r="B659" s="37" t="s">
        <v>1513</v>
      </c>
      <c r="C659" s="170"/>
      <c r="D659" s="172"/>
      <c r="F659" s="172"/>
      <c r="G659" s="172">
        <v>1</v>
      </c>
      <c r="H659" s="245">
        <v>1</v>
      </c>
      <c r="I659" s="245"/>
      <c r="J659" s="172">
        <v>1</v>
      </c>
      <c r="K659" s="172">
        <v>6</v>
      </c>
      <c r="L659" s="172"/>
      <c r="M659" s="200">
        <v>1</v>
      </c>
      <c r="N659" s="515"/>
      <c r="O659" s="515"/>
      <c r="P659" s="515"/>
      <c r="Q659" s="371">
        <f>SUM(M659:M664)/SUM(K659)</f>
        <v>0.83333333333333337</v>
      </c>
      <c r="R659" s="371"/>
      <c r="S659" s="371"/>
      <c r="T659" s="371"/>
      <c r="U659" s="30" t="s">
        <v>224</v>
      </c>
      <c r="V659" s="127"/>
      <c r="W659" s="30" t="s">
        <v>224</v>
      </c>
      <c r="X659" s="29"/>
      <c r="Y659" s="127"/>
      <c r="Z659" s="30" t="s">
        <v>224</v>
      </c>
      <c r="AA659" s="299"/>
      <c r="AC659" s="200">
        <v>1</v>
      </c>
      <c r="AE659" s="42"/>
      <c r="AF659" s="42"/>
    </row>
    <row r="660" spans="1:32" s="19" customFormat="1" x14ac:dyDescent="0.2">
      <c r="A660" s="37"/>
      <c r="B660" s="37" t="s">
        <v>1514</v>
      </c>
      <c r="C660" s="170"/>
      <c r="D660" s="172"/>
      <c r="F660" s="172"/>
      <c r="G660" s="172"/>
      <c r="H660" s="245"/>
      <c r="I660" s="245"/>
      <c r="J660" s="172"/>
      <c r="K660" s="172"/>
      <c r="L660" s="172"/>
      <c r="M660" s="200">
        <v>1</v>
      </c>
      <c r="N660" s="515"/>
      <c r="O660" s="515"/>
      <c r="P660" s="515"/>
      <c r="Q660" s="371"/>
      <c r="R660" s="371"/>
      <c r="S660" s="371"/>
      <c r="T660" s="371"/>
      <c r="U660" s="30" t="s">
        <v>224</v>
      </c>
      <c r="V660" s="127"/>
      <c r="W660" s="30" t="s">
        <v>224</v>
      </c>
      <c r="X660" s="29"/>
      <c r="Y660" s="127"/>
      <c r="Z660" s="30" t="s">
        <v>224</v>
      </c>
      <c r="AA660" s="299"/>
      <c r="AC660" s="200">
        <v>1</v>
      </c>
      <c r="AE660" s="42"/>
      <c r="AF660" s="42"/>
    </row>
    <row r="661" spans="1:32" s="19" customFormat="1" x14ac:dyDescent="0.2">
      <c r="A661" s="37"/>
      <c r="B661" s="37" t="s">
        <v>1515</v>
      </c>
      <c r="C661" s="170"/>
      <c r="D661" s="172"/>
      <c r="F661" s="172"/>
      <c r="G661" s="172"/>
      <c r="H661" s="245"/>
      <c r="I661" s="245"/>
      <c r="J661" s="172"/>
      <c r="K661" s="172"/>
      <c r="L661" s="172"/>
      <c r="M661" s="200">
        <v>0</v>
      </c>
      <c r="N661" s="515"/>
      <c r="O661" s="515"/>
      <c r="P661" s="515"/>
      <c r="Q661" s="371"/>
      <c r="R661" s="371"/>
      <c r="S661" s="371"/>
      <c r="T661" s="371"/>
      <c r="U661" s="30"/>
      <c r="V661" s="127"/>
      <c r="W661" s="30"/>
      <c r="X661" s="29"/>
      <c r="Y661" s="127"/>
      <c r="Z661" s="30"/>
      <c r="AA661" s="299"/>
      <c r="AC661" s="200">
        <v>1</v>
      </c>
      <c r="AE661" s="42"/>
      <c r="AF661" s="42"/>
    </row>
    <row r="662" spans="1:32" s="19" customFormat="1" x14ac:dyDescent="0.2">
      <c r="A662" s="37"/>
      <c r="B662" s="37" t="s">
        <v>1516</v>
      </c>
      <c r="C662" s="170"/>
      <c r="D662" s="172"/>
      <c r="F662" s="172"/>
      <c r="G662" s="172"/>
      <c r="H662" s="245" t="s">
        <v>27</v>
      </c>
      <c r="I662" s="245"/>
      <c r="J662" s="172"/>
      <c r="K662" s="172"/>
      <c r="L662" s="172"/>
      <c r="M662" s="200">
        <v>1</v>
      </c>
      <c r="N662" s="515"/>
      <c r="O662" s="515"/>
      <c r="P662" s="515"/>
      <c r="Q662" s="371"/>
      <c r="R662" s="371"/>
      <c r="S662" s="371"/>
      <c r="T662" s="371"/>
      <c r="U662" s="30" t="s">
        <v>224</v>
      </c>
      <c r="V662" s="127"/>
      <c r="W662" s="30" t="s">
        <v>224</v>
      </c>
      <c r="X662" s="29"/>
      <c r="Y662" s="127"/>
      <c r="Z662" s="30" t="s">
        <v>224</v>
      </c>
      <c r="AA662" s="299"/>
      <c r="AC662" s="202">
        <v>1</v>
      </c>
      <c r="AE662" s="42"/>
      <c r="AF662" s="42"/>
    </row>
    <row r="663" spans="1:32" s="19" customFormat="1" x14ac:dyDescent="0.2">
      <c r="A663" s="37"/>
      <c r="B663" s="37" t="s">
        <v>1517</v>
      </c>
      <c r="C663" s="170"/>
      <c r="D663" s="172"/>
      <c r="F663" s="172"/>
      <c r="G663" s="172"/>
      <c r="H663" s="245"/>
      <c r="I663" s="245"/>
      <c r="J663" s="172"/>
      <c r="K663" s="172"/>
      <c r="L663" s="172"/>
      <c r="M663" s="200">
        <v>1</v>
      </c>
      <c r="N663" s="515"/>
      <c r="O663" s="515"/>
      <c r="P663" s="515"/>
      <c r="Q663" s="371"/>
      <c r="R663" s="371"/>
      <c r="S663" s="371"/>
      <c r="T663" s="371"/>
      <c r="U663" s="30" t="s">
        <v>224</v>
      </c>
      <c r="V663" s="127"/>
      <c r="W663" s="30" t="s">
        <v>224</v>
      </c>
      <c r="X663" s="29"/>
      <c r="Y663" s="127"/>
      <c r="Z663" s="30" t="s">
        <v>224</v>
      </c>
      <c r="AA663" s="299"/>
      <c r="AC663" s="202">
        <v>1</v>
      </c>
      <c r="AE663" s="42"/>
      <c r="AF663" s="42"/>
    </row>
    <row r="664" spans="1:32" s="19" customFormat="1" x14ac:dyDescent="0.2">
      <c r="A664" s="37"/>
      <c r="B664" s="37" t="s">
        <v>1518</v>
      </c>
      <c r="C664" s="170"/>
      <c r="D664" s="172"/>
      <c r="F664" s="172"/>
      <c r="G664" s="172"/>
      <c r="H664" s="245"/>
      <c r="I664" s="245"/>
      <c r="J664" s="172"/>
      <c r="K664" s="172"/>
      <c r="L664" s="172"/>
      <c r="M664" s="200">
        <v>1</v>
      </c>
      <c r="N664" s="515"/>
      <c r="O664" s="515"/>
      <c r="P664" s="515"/>
      <c r="Q664" s="371"/>
      <c r="R664" s="371"/>
      <c r="S664" s="371"/>
      <c r="T664" s="371"/>
      <c r="U664" s="30" t="s">
        <v>224</v>
      </c>
      <c r="V664" s="127"/>
      <c r="W664" s="30" t="s">
        <v>224</v>
      </c>
      <c r="X664" s="29"/>
      <c r="Y664" s="127"/>
      <c r="Z664" s="30" t="s">
        <v>224</v>
      </c>
      <c r="AA664" s="299"/>
      <c r="AC664" s="202">
        <v>1</v>
      </c>
      <c r="AE664" s="42"/>
      <c r="AF664" s="42"/>
    </row>
    <row r="665" spans="1:32" s="19" customFormat="1" x14ac:dyDescent="0.2">
      <c r="A665" s="37"/>
      <c r="B665" s="37" t="s">
        <v>1676</v>
      </c>
      <c r="C665" s="170"/>
      <c r="D665" s="172"/>
      <c r="F665" s="172"/>
      <c r="G665" s="172"/>
      <c r="H665" s="245">
        <v>1</v>
      </c>
      <c r="I665" s="245"/>
      <c r="J665" s="172">
        <v>1</v>
      </c>
      <c r="K665" s="172">
        <v>3</v>
      </c>
      <c r="L665" s="172"/>
      <c r="M665" s="200">
        <v>1</v>
      </c>
      <c r="N665" s="515"/>
      <c r="O665" s="515"/>
      <c r="P665" s="515"/>
      <c r="Q665" s="371">
        <v>1</v>
      </c>
      <c r="R665" s="371"/>
      <c r="S665" s="371"/>
      <c r="T665" s="371"/>
      <c r="U665" s="30"/>
      <c r="V665" s="127"/>
      <c r="W665" s="30"/>
      <c r="X665" s="29"/>
      <c r="Y665" s="127"/>
      <c r="Z665" s="30"/>
      <c r="AA665" s="299"/>
      <c r="AC665" s="202">
        <v>0</v>
      </c>
      <c r="AE665" s="42"/>
      <c r="AF665" s="42"/>
    </row>
    <row r="666" spans="1:32" s="19" customFormat="1" x14ac:dyDescent="0.2">
      <c r="A666" s="37"/>
      <c r="B666" s="37" t="s">
        <v>1677</v>
      </c>
      <c r="C666" s="170"/>
      <c r="D666" s="172"/>
      <c r="F666" s="172"/>
      <c r="G666" s="172"/>
      <c r="H666" s="245"/>
      <c r="I666" s="245"/>
      <c r="J666" s="172"/>
      <c r="K666" s="172"/>
      <c r="L666" s="172"/>
      <c r="M666" s="200">
        <v>1</v>
      </c>
      <c r="N666" s="515"/>
      <c r="O666" s="515"/>
      <c r="P666" s="515"/>
      <c r="Q666" s="371"/>
      <c r="R666" s="371"/>
      <c r="S666" s="371"/>
      <c r="T666" s="371"/>
      <c r="U666" s="30"/>
      <c r="V666" s="127"/>
      <c r="W666" s="30"/>
      <c r="X666" s="29"/>
      <c r="Y666" s="127"/>
      <c r="Z666" s="30"/>
      <c r="AA666" s="299"/>
      <c r="AC666" s="202">
        <v>0</v>
      </c>
      <c r="AE666" s="42"/>
      <c r="AF666" s="42"/>
    </row>
    <row r="667" spans="1:32" s="19" customFormat="1" x14ac:dyDescent="0.2">
      <c r="A667" s="37"/>
      <c r="B667" s="37" t="s">
        <v>1678</v>
      </c>
      <c r="C667" s="170"/>
      <c r="D667" s="172"/>
      <c r="F667" s="172"/>
      <c r="G667" s="172"/>
      <c r="H667" s="245"/>
      <c r="I667" s="245"/>
      <c r="J667" s="172"/>
      <c r="K667" s="172"/>
      <c r="L667" s="172"/>
      <c r="M667" s="200">
        <v>1</v>
      </c>
      <c r="N667" s="515"/>
      <c r="O667" s="515"/>
      <c r="P667" s="515"/>
      <c r="Q667" s="371"/>
      <c r="R667" s="371"/>
      <c r="S667" s="371"/>
      <c r="T667" s="371"/>
      <c r="U667" s="30"/>
      <c r="V667" s="127"/>
      <c r="W667" s="30"/>
      <c r="X667" s="29"/>
      <c r="Y667" s="127"/>
      <c r="Z667" s="30"/>
      <c r="AA667" s="299"/>
      <c r="AC667" s="202">
        <v>1</v>
      </c>
      <c r="AE667" s="42"/>
      <c r="AF667" s="42"/>
    </row>
    <row r="668" spans="1:32" s="19" customFormat="1" x14ac:dyDescent="0.2">
      <c r="A668" s="37"/>
      <c r="B668" s="37" t="s">
        <v>1679</v>
      </c>
      <c r="C668" s="170"/>
      <c r="D668" s="172"/>
      <c r="F668" s="172"/>
      <c r="G668" s="172"/>
      <c r="H668" s="245">
        <v>1</v>
      </c>
      <c r="I668" s="245"/>
      <c r="J668" s="172">
        <v>1</v>
      </c>
      <c r="K668" s="172">
        <v>3</v>
      </c>
      <c r="L668" s="172"/>
      <c r="M668" s="200">
        <v>1</v>
      </c>
      <c r="N668" s="515"/>
      <c r="O668" s="515"/>
      <c r="P668" s="515"/>
      <c r="Q668" s="371">
        <v>1</v>
      </c>
      <c r="R668" s="371"/>
      <c r="S668" s="371"/>
      <c r="T668" s="371"/>
      <c r="U668" s="30"/>
      <c r="V668" s="127"/>
      <c r="W668" s="30"/>
      <c r="X668" s="29"/>
      <c r="Y668" s="127"/>
      <c r="Z668" s="30"/>
      <c r="AA668" s="299"/>
      <c r="AC668" s="202">
        <v>1</v>
      </c>
      <c r="AE668" s="42"/>
      <c r="AF668" s="42"/>
    </row>
    <row r="669" spans="1:32" s="19" customFormat="1" x14ac:dyDescent="0.2">
      <c r="A669" s="37"/>
      <c r="B669" s="37" t="s">
        <v>1680</v>
      </c>
      <c r="C669" s="170"/>
      <c r="D669" s="172"/>
      <c r="F669" s="172"/>
      <c r="G669" s="172"/>
      <c r="H669" s="245"/>
      <c r="I669" s="245"/>
      <c r="J669" s="172"/>
      <c r="K669" s="172"/>
      <c r="L669" s="172"/>
      <c r="M669" s="200">
        <v>1</v>
      </c>
      <c r="N669" s="515"/>
      <c r="O669" s="515"/>
      <c r="P669" s="515"/>
      <c r="Q669" s="371"/>
      <c r="R669" s="371"/>
      <c r="S669" s="371"/>
      <c r="T669" s="371"/>
      <c r="U669" s="30"/>
      <c r="V669" s="127"/>
      <c r="W669" s="30"/>
      <c r="X669" s="29"/>
      <c r="Y669" s="127"/>
      <c r="Z669" s="30"/>
      <c r="AA669" s="299"/>
      <c r="AC669" s="202">
        <v>1</v>
      </c>
      <c r="AE669" s="42"/>
      <c r="AF669" s="42"/>
    </row>
    <row r="670" spans="1:32" s="19" customFormat="1" x14ac:dyDescent="0.2">
      <c r="A670" s="37"/>
      <c r="B670" s="37" t="s">
        <v>1679</v>
      </c>
      <c r="C670" s="170"/>
      <c r="D670" s="172"/>
      <c r="F670" s="172"/>
      <c r="G670" s="172"/>
      <c r="H670" s="245"/>
      <c r="I670" s="245"/>
      <c r="J670" s="172"/>
      <c r="K670" s="172"/>
      <c r="L670" s="172"/>
      <c r="M670" s="200">
        <v>1</v>
      </c>
      <c r="N670" s="515"/>
      <c r="O670" s="515"/>
      <c r="P670" s="515"/>
      <c r="Q670" s="371"/>
      <c r="R670" s="371"/>
      <c r="S670" s="371"/>
      <c r="T670" s="371"/>
      <c r="U670" s="30"/>
      <c r="V670" s="127"/>
      <c r="W670" s="30"/>
      <c r="X670" s="29"/>
      <c r="Y670" s="127"/>
      <c r="Z670" s="30"/>
      <c r="AA670" s="299"/>
      <c r="AC670" s="202">
        <v>1</v>
      </c>
      <c r="AE670" s="42"/>
      <c r="AF670" s="42"/>
    </row>
    <row r="671" spans="1:32" s="19" customFormat="1" x14ac:dyDescent="0.2">
      <c r="A671" s="37"/>
      <c r="B671" s="37" t="s">
        <v>1519</v>
      </c>
      <c r="C671" s="170"/>
      <c r="D671" s="172"/>
      <c r="F671" s="172"/>
      <c r="G671" s="172"/>
      <c r="H671" s="245">
        <v>1</v>
      </c>
      <c r="I671" s="245"/>
      <c r="J671" s="172">
        <v>1</v>
      </c>
      <c r="K671" s="172">
        <v>7</v>
      </c>
      <c r="L671" s="172"/>
      <c r="M671" s="200">
        <v>1</v>
      </c>
      <c r="N671" s="515"/>
      <c r="O671" s="515"/>
      <c r="P671" s="515"/>
      <c r="Q671" s="371">
        <f>SUM(M671:M677)/SUM(K671)</f>
        <v>1</v>
      </c>
      <c r="R671" s="371"/>
      <c r="S671" s="371"/>
      <c r="T671" s="371"/>
      <c r="U671" s="30"/>
      <c r="V671" s="127"/>
      <c r="W671" s="30"/>
      <c r="X671" s="29"/>
      <c r="Y671" s="127"/>
      <c r="Z671" s="30"/>
      <c r="AA671" s="299"/>
      <c r="AC671" s="202">
        <v>1</v>
      </c>
      <c r="AE671" s="42"/>
      <c r="AF671" s="42"/>
    </row>
    <row r="672" spans="1:32" s="19" customFormat="1" x14ac:dyDescent="0.2">
      <c r="A672" s="37"/>
      <c r="B672" s="37" t="s">
        <v>1520</v>
      </c>
      <c r="C672" s="170"/>
      <c r="D672" s="172"/>
      <c r="F672" s="172"/>
      <c r="G672" s="172"/>
      <c r="H672" s="245"/>
      <c r="I672" s="245"/>
      <c r="J672" s="172"/>
      <c r="K672" s="172"/>
      <c r="L672" s="172"/>
      <c r="M672" s="200">
        <v>1</v>
      </c>
      <c r="N672" s="515"/>
      <c r="O672" s="515"/>
      <c r="P672" s="515"/>
      <c r="Q672" s="371"/>
      <c r="R672" s="371"/>
      <c r="S672" s="371"/>
      <c r="T672" s="371"/>
      <c r="U672" s="30"/>
      <c r="V672" s="127"/>
      <c r="W672" s="30"/>
      <c r="X672" s="29"/>
      <c r="Y672" s="127"/>
      <c r="Z672" s="30"/>
      <c r="AA672" s="299"/>
      <c r="AC672" s="202">
        <v>1</v>
      </c>
      <c r="AE672" s="42"/>
      <c r="AF672" s="42"/>
    </row>
    <row r="673" spans="1:32" s="19" customFormat="1" x14ac:dyDescent="0.2">
      <c r="A673" s="37"/>
      <c r="B673" s="37" t="s">
        <v>1521</v>
      </c>
      <c r="C673" s="170"/>
      <c r="D673" s="172"/>
      <c r="F673" s="172"/>
      <c r="G673" s="172"/>
      <c r="H673" s="245"/>
      <c r="I673" s="245"/>
      <c r="J673" s="172"/>
      <c r="K673" s="172"/>
      <c r="L673" s="172"/>
      <c r="M673" s="200">
        <v>1</v>
      </c>
      <c r="N673" s="515"/>
      <c r="O673" s="515"/>
      <c r="P673" s="515"/>
      <c r="Q673" s="371"/>
      <c r="R673" s="371"/>
      <c r="S673" s="371"/>
      <c r="T673" s="371"/>
      <c r="U673" s="30"/>
      <c r="V673" s="127"/>
      <c r="W673" s="30"/>
      <c r="X673" s="29"/>
      <c r="Y673" s="127"/>
      <c r="Z673" s="30"/>
      <c r="AA673" s="299"/>
      <c r="AC673" s="202">
        <v>1</v>
      </c>
      <c r="AE673" s="42"/>
      <c r="AF673" s="42"/>
    </row>
    <row r="674" spans="1:32" s="19" customFormat="1" x14ac:dyDescent="0.2">
      <c r="A674" s="37"/>
      <c r="B674" s="37" t="s">
        <v>1522</v>
      </c>
      <c r="C674" s="170"/>
      <c r="D674" s="172"/>
      <c r="F674" s="172"/>
      <c r="G674" s="172"/>
      <c r="H674" s="245"/>
      <c r="I674" s="245"/>
      <c r="J674" s="172"/>
      <c r="K674" s="172"/>
      <c r="L674" s="172"/>
      <c r="M674" s="200">
        <v>1</v>
      </c>
      <c r="N674" s="515"/>
      <c r="O674" s="515"/>
      <c r="P674" s="515"/>
      <c r="Q674" s="371"/>
      <c r="R674" s="371"/>
      <c r="S674" s="371"/>
      <c r="T674" s="371"/>
      <c r="U674" s="30"/>
      <c r="V674" s="127"/>
      <c r="W674" s="30"/>
      <c r="X674" s="29"/>
      <c r="Y674" s="127"/>
      <c r="Z674" s="30"/>
      <c r="AA674" s="299"/>
      <c r="AC674" s="202">
        <v>1</v>
      </c>
      <c r="AE674" s="42"/>
      <c r="AF674" s="42"/>
    </row>
    <row r="675" spans="1:32" s="19" customFormat="1" x14ac:dyDescent="0.2">
      <c r="A675" s="37"/>
      <c r="B675" s="37" t="s">
        <v>1523</v>
      </c>
      <c r="C675" s="170"/>
      <c r="D675" s="172"/>
      <c r="F675" s="172"/>
      <c r="G675" s="172"/>
      <c r="H675" s="245"/>
      <c r="I675" s="245"/>
      <c r="J675" s="172"/>
      <c r="K675" s="172"/>
      <c r="L675" s="172"/>
      <c r="M675" s="200">
        <v>1</v>
      </c>
      <c r="N675" s="515"/>
      <c r="O675" s="515"/>
      <c r="P675" s="515"/>
      <c r="Q675" s="371"/>
      <c r="R675" s="371"/>
      <c r="S675" s="371"/>
      <c r="T675" s="371"/>
      <c r="U675" s="30"/>
      <c r="V675" s="127"/>
      <c r="W675" s="30"/>
      <c r="X675" s="29"/>
      <c r="Y675" s="127"/>
      <c r="Z675" s="30"/>
      <c r="AA675" s="299"/>
      <c r="AC675" s="202">
        <v>1</v>
      </c>
      <c r="AE675" s="42"/>
      <c r="AF675" s="42"/>
    </row>
    <row r="676" spans="1:32" s="19" customFormat="1" x14ac:dyDescent="0.2">
      <c r="A676" s="37"/>
      <c r="B676" s="37" t="s">
        <v>1524</v>
      </c>
      <c r="C676" s="170"/>
      <c r="D676" s="172"/>
      <c r="F676" s="172"/>
      <c r="G676" s="172"/>
      <c r="H676" s="245"/>
      <c r="I676" s="245"/>
      <c r="J676" s="172"/>
      <c r="K676" s="172"/>
      <c r="L676" s="172"/>
      <c r="M676" s="200">
        <v>1</v>
      </c>
      <c r="N676" s="515"/>
      <c r="O676" s="515"/>
      <c r="P676" s="515"/>
      <c r="Q676" s="371"/>
      <c r="R676" s="371"/>
      <c r="S676" s="371"/>
      <c r="T676" s="371"/>
      <c r="U676" s="30"/>
      <c r="V676" s="127"/>
      <c r="W676" s="30"/>
      <c r="X676" s="29"/>
      <c r="Y676" s="127"/>
      <c r="Z676" s="30"/>
      <c r="AA676" s="299"/>
      <c r="AC676" s="202">
        <v>1</v>
      </c>
      <c r="AE676" s="42"/>
      <c r="AF676" s="42"/>
    </row>
    <row r="677" spans="1:32" s="19" customFormat="1" x14ac:dyDescent="0.2">
      <c r="A677" s="37"/>
      <c r="B677" s="37" t="s">
        <v>1525</v>
      </c>
      <c r="C677" s="170"/>
      <c r="D677" s="172"/>
      <c r="F677" s="172"/>
      <c r="G677" s="172"/>
      <c r="H677" s="245"/>
      <c r="I677" s="245"/>
      <c r="J677" s="172"/>
      <c r="K677" s="172"/>
      <c r="L677" s="172"/>
      <c r="M677" s="200">
        <v>1</v>
      </c>
      <c r="N677" s="515"/>
      <c r="O677" s="515"/>
      <c r="P677" s="515"/>
      <c r="Q677" s="371"/>
      <c r="R677" s="371"/>
      <c r="S677" s="371"/>
      <c r="T677" s="371"/>
      <c r="U677" s="30"/>
      <c r="V677" s="127"/>
      <c r="W677" s="30"/>
      <c r="X677" s="29"/>
      <c r="Y677" s="127"/>
      <c r="Z677" s="30"/>
      <c r="AA677" s="299">
        <v>1</v>
      </c>
      <c r="AC677" s="202">
        <v>1</v>
      </c>
      <c r="AE677" s="42"/>
      <c r="AF677" s="42"/>
    </row>
    <row r="678" spans="1:32" s="19" customFormat="1" x14ac:dyDescent="0.2">
      <c r="A678" s="37">
        <v>3</v>
      </c>
      <c r="B678" s="37" t="s">
        <v>1526</v>
      </c>
      <c r="C678" s="170"/>
      <c r="D678" s="172"/>
      <c r="F678" s="172"/>
      <c r="G678" s="172">
        <v>1</v>
      </c>
      <c r="H678" s="245">
        <v>1</v>
      </c>
      <c r="I678" s="245"/>
      <c r="J678" s="172">
        <v>1</v>
      </c>
      <c r="K678" s="172">
        <v>2</v>
      </c>
      <c r="L678" s="172"/>
      <c r="M678" s="200">
        <v>1</v>
      </c>
      <c r="N678" s="515"/>
      <c r="O678" s="515"/>
      <c r="P678" s="515"/>
      <c r="Q678" s="371">
        <v>1</v>
      </c>
      <c r="R678" s="371"/>
      <c r="S678" s="371"/>
      <c r="T678" s="371"/>
      <c r="U678" s="30"/>
      <c r="V678" s="127"/>
      <c r="W678" s="30"/>
      <c r="X678" s="29"/>
      <c r="Y678" s="127"/>
      <c r="Z678" s="30"/>
      <c r="AA678" s="299"/>
      <c r="AC678" s="202">
        <v>0</v>
      </c>
      <c r="AE678" s="42"/>
      <c r="AF678" s="42"/>
    </row>
    <row r="679" spans="1:32" s="19" customFormat="1" x14ac:dyDescent="0.2">
      <c r="A679" s="37"/>
      <c r="B679" s="37" t="s">
        <v>1527</v>
      </c>
      <c r="C679" s="170"/>
      <c r="D679" s="172"/>
      <c r="F679" s="172"/>
      <c r="G679" s="172"/>
      <c r="H679" s="245"/>
      <c r="I679" s="245"/>
      <c r="J679" s="172"/>
      <c r="K679" s="172"/>
      <c r="L679" s="172"/>
      <c r="M679" s="200">
        <v>1</v>
      </c>
      <c r="N679" s="515"/>
      <c r="O679" s="515"/>
      <c r="P679" s="515"/>
      <c r="Q679" s="371"/>
      <c r="R679" s="371"/>
      <c r="S679" s="371"/>
      <c r="T679" s="371"/>
      <c r="U679" s="30"/>
      <c r="V679" s="127"/>
      <c r="W679" s="30"/>
      <c r="X679" s="29"/>
      <c r="Y679" s="127"/>
      <c r="Z679" s="30"/>
      <c r="AA679" s="299"/>
      <c r="AC679" s="200">
        <v>1</v>
      </c>
      <c r="AE679" s="42"/>
      <c r="AF679" s="42"/>
    </row>
    <row r="680" spans="1:32" s="19" customFormat="1" x14ac:dyDescent="0.2">
      <c r="A680" s="37" t="s">
        <v>27</v>
      </c>
      <c r="B680" s="37" t="s">
        <v>1528</v>
      </c>
      <c r="C680" s="170"/>
      <c r="D680" s="172"/>
      <c r="F680" s="172"/>
      <c r="G680" s="172"/>
      <c r="H680" s="245">
        <v>1</v>
      </c>
      <c r="I680" s="245"/>
      <c r="J680" s="172">
        <v>1</v>
      </c>
      <c r="K680" s="172">
        <v>3</v>
      </c>
      <c r="L680" s="172"/>
      <c r="M680" s="200">
        <v>1</v>
      </c>
      <c r="N680" s="515"/>
      <c r="O680" s="515"/>
      <c r="P680" s="515"/>
      <c r="Q680" s="371">
        <v>1</v>
      </c>
      <c r="R680" s="371"/>
      <c r="S680" s="371"/>
      <c r="T680" s="371"/>
      <c r="U680" s="30"/>
      <c r="V680" s="30"/>
      <c r="W680" s="30"/>
      <c r="X680" s="29"/>
      <c r="Y680" s="127"/>
      <c r="Z680" s="30"/>
      <c r="AA680" s="299"/>
      <c r="AC680" s="200">
        <v>0</v>
      </c>
      <c r="AE680" s="42"/>
      <c r="AF680" s="42"/>
    </row>
    <row r="681" spans="1:32" s="19" customFormat="1" x14ac:dyDescent="0.2">
      <c r="A681" s="37"/>
      <c r="B681" s="37" t="s">
        <v>1529</v>
      </c>
      <c r="C681" s="170"/>
      <c r="D681" s="172"/>
      <c r="F681" s="172"/>
      <c r="G681" s="172"/>
      <c r="H681" s="245"/>
      <c r="I681" s="245"/>
      <c r="J681" s="172"/>
      <c r="K681" s="172"/>
      <c r="L681" s="172"/>
      <c r="M681" s="200">
        <v>1</v>
      </c>
      <c r="N681" s="515"/>
      <c r="O681" s="515"/>
      <c r="P681" s="515"/>
      <c r="Q681" s="371"/>
      <c r="R681" s="371"/>
      <c r="S681" s="371"/>
      <c r="T681" s="371"/>
      <c r="U681" s="30"/>
      <c r="V681" s="30"/>
      <c r="W681" s="30"/>
      <c r="X681" s="29"/>
      <c r="Y681" s="127"/>
      <c r="Z681" s="30"/>
      <c r="AA681" s="299"/>
      <c r="AC681" s="200">
        <v>0</v>
      </c>
      <c r="AE681" s="42"/>
      <c r="AF681" s="42"/>
    </row>
    <row r="682" spans="1:32" s="19" customFormat="1" x14ac:dyDescent="0.2">
      <c r="A682" s="37"/>
      <c r="B682" s="37" t="s">
        <v>1530</v>
      </c>
      <c r="C682" s="170"/>
      <c r="D682" s="172"/>
      <c r="F682" s="172"/>
      <c r="G682" s="172"/>
      <c r="H682" s="245"/>
      <c r="I682" s="245"/>
      <c r="J682" s="172"/>
      <c r="K682" s="172"/>
      <c r="L682" s="172"/>
      <c r="M682" s="200">
        <v>1</v>
      </c>
      <c r="N682" s="515"/>
      <c r="O682" s="515"/>
      <c r="P682" s="515"/>
      <c r="Q682" s="371"/>
      <c r="R682" s="371"/>
      <c r="S682" s="371"/>
      <c r="T682" s="371"/>
      <c r="U682" s="30"/>
      <c r="V682" s="30"/>
      <c r="W682" s="30"/>
      <c r="X682" s="29"/>
      <c r="Y682" s="127"/>
      <c r="Z682" s="30"/>
      <c r="AA682" s="299"/>
      <c r="AC682" s="200">
        <v>1</v>
      </c>
      <c r="AE682" s="42"/>
      <c r="AF682" s="42"/>
    </row>
    <row r="683" spans="1:32" s="280" customFormat="1" x14ac:dyDescent="0.2">
      <c r="A683" s="280" t="s">
        <v>43</v>
      </c>
      <c r="B683" s="281" t="s">
        <v>44</v>
      </c>
      <c r="C683" s="279"/>
      <c r="D683" s="279"/>
      <c r="E683" s="279"/>
      <c r="F683" s="287">
        <f>SUM(F684:F758)</f>
        <v>3</v>
      </c>
      <c r="G683" s="276">
        <f>SUM(G693:G758)/F683</f>
        <v>1</v>
      </c>
      <c r="H683" s="287">
        <f>SUM(H684:H758)</f>
        <v>12</v>
      </c>
      <c r="I683" s="294">
        <f>SUM(J696:J758)/H683</f>
        <v>0.66666666666666663</v>
      </c>
      <c r="J683" s="287">
        <f>SUM(J684:J758)</f>
        <v>10</v>
      </c>
      <c r="K683" s="287">
        <f>SUM(K684:K754)</f>
        <v>70</v>
      </c>
      <c r="L683" s="291">
        <f>+M683/K683</f>
        <v>0.7857142857142857</v>
      </c>
      <c r="M683" s="287">
        <f>SUM(M684:M754)</f>
        <v>55</v>
      </c>
      <c r="N683" s="558">
        <f>AVERAGE(M684:M754)</f>
        <v>0.7857142857142857</v>
      </c>
      <c r="O683" s="558">
        <f>_xlfn.STDEV.P(M684:M754)</f>
        <v>0.41032590332414487</v>
      </c>
      <c r="P683" s="559">
        <f>STDEV(M684:M754)/(SQRT(COUNT(M684:M754)))</f>
        <v>4.9397433914866042E-2</v>
      </c>
      <c r="Q683" s="381">
        <f>((Q684*K684)+(Q693*K693)+(Q699*K699)+(Q702*K702)+(Q705*K705)+(Q710*K710)+(Q717*K717)+(Q720*K720)+(Q723*K723)+(Q730*K730)+(Q743*K743)+(Q752*K752))/K683</f>
        <v>0.8</v>
      </c>
      <c r="R683" s="381"/>
      <c r="S683" s="381">
        <f>_xlfn.STDEV.P(R684:R695)</f>
        <v>0.36845927222733582</v>
      </c>
      <c r="T683" s="381">
        <f>+T696</f>
        <v>0.11109465059140829</v>
      </c>
      <c r="U683" s="277">
        <f>COUNTA(U684:U757)</f>
        <v>1</v>
      </c>
      <c r="V683" s="277">
        <f t="shared" ref="V683:Z683" si="10">COUNTA(V684:V757)</f>
        <v>0</v>
      </c>
      <c r="W683" s="277">
        <f t="shared" si="10"/>
        <v>6</v>
      </c>
      <c r="X683" s="277">
        <f t="shared" si="10"/>
        <v>0</v>
      </c>
      <c r="Y683" s="277">
        <f t="shared" si="10"/>
        <v>0</v>
      </c>
      <c r="Z683" s="277">
        <f t="shared" si="10"/>
        <v>0</v>
      </c>
      <c r="AA683" s="316">
        <f>SUM(AA696:AA751)/K683</f>
        <v>4.2857142857142858E-2</v>
      </c>
      <c r="AC683" s="616">
        <v>1</v>
      </c>
      <c r="AD683" s="284">
        <f>+U683/M683</f>
        <v>1.8181818181818181E-2</v>
      </c>
      <c r="AE683" s="328"/>
      <c r="AF683" s="328"/>
    </row>
    <row r="684" spans="1:32" s="37" customFormat="1" x14ac:dyDescent="0.2">
      <c r="B684" s="37" t="s">
        <v>1531</v>
      </c>
      <c r="C684" s="170"/>
      <c r="D684" s="170"/>
      <c r="F684" s="170">
        <v>1</v>
      </c>
      <c r="G684" s="309">
        <v>1</v>
      </c>
      <c r="H684" s="309">
        <v>1</v>
      </c>
      <c r="I684" s="310"/>
      <c r="J684" s="311">
        <v>1</v>
      </c>
      <c r="K684" s="242">
        <v>9</v>
      </c>
      <c r="L684" s="312"/>
      <c r="M684" s="202">
        <v>1</v>
      </c>
      <c r="N684" s="516"/>
      <c r="O684" s="516"/>
      <c r="P684" s="516"/>
      <c r="Q684" s="371">
        <f>SUM(M684:M692)/SUM(K684:K692)</f>
        <v>0.77777777777777779</v>
      </c>
      <c r="R684" s="371">
        <f>+Q684</f>
        <v>0.77777777777777779</v>
      </c>
      <c r="S684" s="371"/>
      <c r="T684" s="371"/>
      <c r="AA684" s="299"/>
      <c r="AC684" s="200">
        <v>1</v>
      </c>
      <c r="AE684" s="114"/>
      <c r="AF684" s="114"/>
    </row>
    <row r="685" spans="1:32" s="37" customFormat="1" x14ac:dyDescent="0.2">
      <c r="B685" s="37" t="s">
        <v>1532</v>
      </c>
      <c r="C685" s="170"/>
      <c r="D685" s="170"/>
      <c r="F685" s="170"/>
      <c r="G685" s="240"/>
      <c r="H685" s="309"/>
      <c r="I685" s="310"/>
      <c r="J685" s="311"/>
      <c r="K685" s="242"/>
      <c r="L685" s="312"/>
      <c r="M685" s="202">
        <v>1</v>
      </c>
      <c r="N685" s="516"/>
      <c r="O685" s="516"/>
      <c r="P685" s="516"/>
      <c r="Q685" s="371"/>
      <c r="R685" s="371">
        <f>+Q693</f>
        <v>1</v>
      </c>
      <c r="S685" s="371"/>
      <c r="T685" s="371"/>
      <c r="W685" s="37" t="s">
        <v>224</v>
      </c>
      <c r="AA685" s="299"/>
      <c r="AC685" s="200">
        <v>1</v>
      </c>
      <c r="AE685" s="114"/>
      <c r="AF685" s="114"/>
    </row>
    <row r="686" spans="1:32" s="37" customFormat="1" x14ac:dyDescent="0.2">
      <c r="B686" s="37" t="s">
        <v>1533</v>
      </c>
      <c r="C686" s="170"/>
      <c r="D686" s="170"/>
      <c r="F686" s="170"/>
      <c r="G686" s="240"/>
      <c r="H686" s="309"/>
      <c r="I686" s="310"/>
      <c r="J686" s="311"/>
      <c r="K686" s="242"/>
      <c r="L686" s="312"/>
      <c r="M686" s="202">
        <v>1</v>
      </c>
      <c r="N686" s="516"/>
      <c r="O686" s="516"/>
      <c r="P686" s="516"/>
      <c r="Q686" s="371"/>
      <c r="R686" s="371">
        <f>+Q699</f>
        <v>0.67</v>
      </c>
      <c r="S686" s="371"/>
      <c r="T686" s="371"/>
      <c r="AA686" s="299">
        <v>1</v>
      </c>
      <c r="AC686" s="200">
        <v>1</v>
      </c>
      <c r="AE686" s="114"/>
      <c r="AF686" s="114"/>
    </row>
    <row r="687" spans="1:32" s="37" customFormat="1" x14ac:dyDescent="0.2">
      <c r="B687" s="37" t="s">
        <v>1534</v>
      </c>
      <c r="C687" s="170"/>
      <c r="D687" s="170"/>
      <c r="F687" s="170"/>
      <c r="G687" s="240"/>
      <c r="H687" s="309" t="s">
        <v>27</v>
      </c>
      <c r="I687" s="310"/>
      <c r="J687" s="311" t="s">
        <v>27</v>
      </c>
      <c r="K687" s="242" t="s">
        <v>27</v>
      </c>
      <c r="L687" s="312"/>
      <c r="M687" s="202">
        <v>0</v>
      </c>
      <c r="N687" s="516"/>
      <c r="O687" s="516"/>
      <c r="P687" s="516"/>
      <c r="Q687" s="371" t="s">
        <v>27</v>
      </c>
      <c r="R687" s="371">
        <f>+Q702</f>
        <v>0.33</v>
      </c>
      <c r="S687" s="371"/>
      <c r="T687" s="371"/>
      <c r="AA687" s="299"/>
      <c r="AC687" s="200">
        <v>1</v>
      </c>
      <c r="AE687" s="114"/>
      <c r="AF687" s="114"/>
    </row>
    <row r="688" spans="1:32" s="37" customFormat="1" x14ac:dyDescent="0.2">
      <c r="B688" s="37" t="s">
        <v>1535</v>
      </c>
      <c r="C688" s="170"/>
      <c r="D688" s="170"/>
      <c r="F688" s="170"/>
      <c r="G688" s="240"/>
      <c r="H688" s="309"/>
      <c r="I688" s="310"/>
      <c r="J688" s="311"/>
      <c r="K688" s="242"/>
      <c r="L688" s="312"/>
      <c r="M688" s="202">
        <v>0</v>
      </c>
      <c r="N688" s="516"/>
      <c r="O688" s="516"/>
      <c r="P688" s="516"/>
      <c r="Q688" s="371"/>
      <c r="R688" s="371">
        <f>+Q705</f>
        <v>1</v>
      </c>
      <c r="S688" s="371"/>
      <c r="T688" s="371"/>
      <c r="AA688" s="299"/>
      <c r="AC688" s="200">
        <v>1</v>
      </c>
      <c r="AE688" s="114"/>
      <c r="AF688" s="114"/>
    </row>
    <row r="689" spans="1:32" s="37" customFormat="1" x14ac:dyDescent="0.2">
      <c r="B689" s="37" t="s">
        <v>1536</v>
      </c>
      <c r="C689" s="170"/>
      <c r="D689" s="170"/>
      <c r="F689" s="170"/>
      <c r="G689" s="240"/>
      <c r="L689" s="312"/>
      <c r="M689" s="202">
        <v>1</v>
      </c>
      <c r="N689" s="516"/>
      <c r="O689" s="516"/>
      <c r="P689" s="516"/>
      <c r="Q689" s="371"/>
      <c r="R689" s="371">
        <f>+Q710</f>
        <v>1</v>
      </c>
      <c r="S689" s="371"/>
      <c r="T689" s="371"/>
      <c r="AA689" s="299"/>
      <c r="AC689" s="200">
        <v>1</v>
      </c>
      <c r="AE689" s="114"/>
      <c r="AF689" s="114"/>
    </row>
    <row r="690" spans="1:32" s="37" customFormat="1" x14ac:dyDescent="0.2">
      <c r="B690" s="37" t="s">
        <v>1537</v>
      </c>
      <c r="C690" s="170"/>
      <c r="D690" s="170"/>
      <c r="F690" s="170"/>
      <c r="G690" s="240"/>
      <c r="H690" s="309" t="s">
        <v>27</v>
      </c>
      <c r="I690" s="310"/>
      <c r="J690" s="311" t="s">
        <v>27</v>
      </c>
      <c r="K690" s="242" t="s">
        <v>27</v>
      </c>
      <c r="L690" s="312"/>
      <c r="M690" s="202">
        <v>1</v>
      </c>
      <c r="N690" s="516"/>
      <c r="O690" s="516"/>
      <c r="P690" s="516"/>
      <c r="Q690" s="371" t="s">
        <v>27</v>
      </c>
      <c r="R690" s="371">
        <f>+Q717</f>
        <v>0</v>
      </c>
      <c r="S690" s="371"/>
      <c r="T690" s="371"/>
      <c r="AA690" s="299"/>
      <c r="AC690" s="200">
        <v>1</v>
      </c>
      <c r="AE690" s="114"/>
      <c r="AF690" s="114"/>
    </row>
    <row r="691" spans="1:32" s="37" customFormat="1" x14ac:dyDescent="0.2">
      <c r="B691" s="37" t="s">
        <v>1538</v>
      </c>
      <c r="C691" s="170"/>
      <c r="D691" s="170"/>
      <c r="F691" s="170"/>
      <c r="G691" s="240"/>
      <c r="H691" s="309"/>
      <c r="I691" s="310"/>
      <c r="J691" s="311"/>
      <c r="K691" s="242"/>
      <c r="L691" s="312"/>
      <c r="M691" s="202">
        <v>1</v>
      </c>
      <c r="N691" s="516"/>
      <c r="O691" s="516"/>
      <c r="P691" s="516"/>
      <c r="Q691" s="371"/>
      <c r="R691" s="371">
        <f>+Q720</f>
        <v>0</v>
      </c>
      <c r="S691" s="371"/>
      <c r="T691" s="371"/>
      <c r="AA691" s="299"/>
      <c r="AC691" s="200">
        <v>1</v>
      </c>
      <c r="AE691" s="114"/>
      <c r="AF691" s="114"/>
    </row>
    <row r="692" spans="1:32" s="37" customFormat="1" x14ac:dyDescent="0.2">
      <c r="B692" s="37" t="s">
        <v>1539</v>
      </c>
      <c r="C692" s="170"/>
      <c r="D692" s="170"/>
      <c r="F692" s="170"/>
      <c r="G692" s="240"/>
      <c r="H692" s="309"/>
      <c r="I692" s="310"/>
      <c r="J692" s="311"/>
      <c r="K692" s="242"/>
      <c r="L692" s="312"/>
      <c r="M692" s="202">
        <v>1</v>
      </c>
      <c r="N692" s="516"/>
      <c r="O692" s="516"/>
      <c r="P692" s="516"/>
      <c r="Q692" s="371"/>
      <c r="R692" s="371">
        <f>+Q723</f>
        <v>1</v>
      </c>
      <c r="S692" s="371"/>
      <c r="T692" s="371"/>
      <c r="AA692" s="299"/>
      <c r="AC692" s="200">
        <v>0</v>
      </c>
      <c r="AE692" s="114"/>
      <c r="AF692" s="114"/>
    </row>
    <row r="693" spans="1:32" s="37" customFormat="1" x14ac:dyDescent="0.2">
      <c r="B693" s="37" t="s">
        <v>1540</v>
      </c>
      <c r="C693" s="170"/>
      <c r="D693" s="170"/>
      <c r="F693" s="170" t="s">
        <v>27</v>
      </c>
      <c r="G693" s="165" t="s">
        <v>27</v>
      </c>
      <c r="H693" s="309">
        <v>1</v>
      </c>
      <c r="I693" s="310"/>
      <c r="J693" s="311">
        <v>1</v>
      </c>
      <c r="K693" s="242">
        <v>5</v>
      </c>
      <c r="L693" s="312"/>
      <c r="M693" s="202">
        <v>1</v>
      </c>
      <c r="N693" s="516"/>
      <c r="O693" s="516"/>
      <c r="P693" s="516"/>
      <c r="Q693" s="371">
        <v>1</v>
      </c>
      <c r="R693" s="371">
        <f>+Q730</f>
        <v>0.92307692307692313</v>
      </c>
      <c r="S693" s="371"/>
      <c r="T693" s="371"/>
      <c r="AA693" s="299"/>
      <c r="AC693" s="200">
        <v>1</v>
      </c>
      <c r="AE693" s="114"/>
      <c r="AF693" s="114"/>
    </row>
    <row r="694" spans="1:32" s="37" customFormat="1" x14ac:dyDescent="0.2">
      <c r="B694" s="37" t="s">
        <v>1541</v>
      </c>
      <c r="C694" s="170"/>
      <c r="D694" s="170"/>
      <c r="F694" s="170"/>
      <c r="G694" s="240"/>
      <c r="H694" s="309"/>
      <c r="I694" s="310"/>
      <c r="J694" s="311"/>
      <c r="K694" s="242"/>
      <c r="L694" s="312"/>
      <c r="M694" s="202">
        <v>1</v>
      </c>
      <c r="N694" s="516"/>
      <c r="O694" s="516"/>
      <c r="P694" s="516"/>
      <c r="Q694" s="371"/>
      <c r="R694" s="371">
        <f>+Q743</f>
        <v>0.77777777777777779</v>
      </c>
      <c r="S694" s="371"/>
      <c r="T694" s="371"/>
      <c r="AA694" s="299"/>
      <c r="AC694" s="200">
        <v>0</v>
      </c>
      <c r="AE694" s="114"/>
      <c r="AF694" s="114"/>
    </row>
    <row r="695" spans="1:32" s="37" customFormat="1" x14ac:dyDescent="0.2">
      <c r="B695" s="37" t="s">
        <v>1542</v>
      </c>
      <c r="C695" s="170"/>
      <c r="D695" s="170"/>
      <c r="F695" s="170"/>
      <c r="G695" s="240"/>
      <c r="H695" s="309"/>
      <c r="I695" s="310"/>
      <c r="J695" s="311"/>
      <c r="K695" s="242"/>
      <c r="L695" s="312"/>
      <c r="M695" s="202">
        <v>1</v>
      </c>
      <c r="N695" s="516"/>
      <c r="O695" s="516"/>
      <c r="P695" s="516"/>
      <c r="Q695" s="371"/>
      <c r="R695" s="371">
        <f>+Q752</f>
        <v>1</v>
      </c>
      <c r="S695" s="371"/>
      <c r="T695" s="371"/>
      <c r="AA695" s="299"/>
      <c r="AC695" s="200">
        <v>0</v>
      </c>
      <c r="AE695" s="114"/>
      <c r="AF695" s="114"/>
    </row>
    <row r="696" spans="1:32" s="19" customFormat="1" x14ac:dyDescent="0.2">
      <c r="A696" s="37"/>
      <c r="B696" s="37" t="s">
        <v>1543</v>
      </c>
      <c r="C696" s="175"/>
      <c r="D696" s="165"/>
      <c r="F696" s="165" t="s">
        <v>27</v>
      </c>
      <c r="H696" s="265" t="s">
        <v>27</v>
      </c>
      <c r="I696" s="265"/>
      <c r="J696" s="165" t="s">
        <v>27</v>
      </c>
      <c r="K696" s="172" t="s">
        <v>27</v>
      </c>
      <c r="L696" s="172"/>
      <c r="M696" s="202">
        <v>1</v>
      </c>
      <c r="N696" s="516"/>
      <c r="O696" s="516"/>
      <c r="P696" s="516"/>
      <c r="Q696" s="371"/>
      <c r="R696" s="382">
        <f>AVERAGE(R684:R695)</f>
        <v>0.70655270655270652</v>
      </c>
      <c r="S696" s="382"/>
      <c r="T696" s="380">
        <f>STDEV(R684:R695)/(SQRT(COUNT(R684:R695)))</f>
        <v>0.11109465059140829</v>
      </c>
      <c r="AA696" s="299"/>
      <c r="AC696" s="200">
        <v>0</v>
      </c>
      <c r="AE696" s="42"/>
      <c r="AF696" s="42"/>
    </row>
    <row r="697" spans="1:32" s="19" customFormat="1" x14ac:dyDescent="0.2">
      <c r="A697" s="37"/>
      <c r="B697" s="37" t="s">
        <v>1544</v>
      </c>
      <c r="C697" s="175"/>
      <c r="D697" s="165"/>
      <c r="F697" s="165"/>
      <c r="G697" s="165"/>
      <c r="H697" s="265"/>
      <c r="I697" s="265"/>
      <c r="J697" s="165"/>
      <c r="K697" s="172"/>
      <c r="L697" s="172"/>
      <c r="M697" s="202">
        <v>1</v>
      </c>
      <c r="N697" s="516"/>
      <c r="O697" s="516"/>
      <c r="P697" s="516"/>
      <c r="Q697" s="318"/>
      <c r="R697" s="318"/>
      <c r="S697" s="318"/>
      <c r="T697" s="318"/>
      <c r="AA697" s="299"/>
      <c r="AC697" s="200">
        <v>0</v>
      </c>
      <c r="AE697" s="42"/>
      <c r="AF697" s="42"/>
    </row>
    <row r="698" spans="1:32" s="19" customFormat="1" x14ac:dyDescent="0.2">
      <c r="A698" s="37"/>
      <c r="B698" s="37" t="s">
        <v>1545</v>
      </c>
      <c r="C698" s="175"/>
      <c r="D698" s="165"/>
      <c r="F698" s="165"/>
      <c r="G698" s="165"/>
      <c r="H698" s="265"/>
      <c r="I698" s="265"/>
      <c r="J698" s="165"/>
      <c r="K698" s="172"/>
      <c r="L698" s="172"/>
      <c r="M698" s="202" t="s">
        <v>48</v>
      </c>
      <c r="N698" s="516"/>
      <c r="O698" s="516"/>
      <c r="P698" s="516"/>
      <c r="Q698" s="318"/>
      <c r="R698" s="318"/>
      <c r="S698" s="318"/>
      <c r="T698" s="318"/>
      <c r="AA698" s="299"/>
      <c r="AC698" s="200">
        <v>0</v>
      </c>
      <c r="AE698" s="42"/>
      <c r="AF698" s="42"/>
    </row>
    <row r="699" spans="1:32" s="19" customFormat="1" x14ac:dyDescent="0.2">
      <c r="A699" s="37"/>
      <c r="B699" s="37" t="s">
        <v>1546</v>
      </c>
      <c r="C699" s="175"/>
      <c r="D699" s="165"/>
      <c r="F699" s="165"/>
      <c r="G699" s="165"/>
      <c r="H699" s="265">
        <v>1</v>
      </c>
      <c r="I699" s="265"/>
      <c r="J699" s="165">
        <v>1</v>
      </c>
      <c r="K699" s="172">
        <v>3</v>
      </c>
      <c r="L699" s="172"/>
      <c r="M699" s="202">
        <v>1</v>
      </c>
      <c r="N699" s="516"/>
      <c r="O699" s="516"/>
      <c r="P699" s="516"/>
      <c r="Q699" s="318">
        <v>0.67</v>
      </c>
      <c r="R699" s="318"/>
      <c r="S699" s="318"/>
      <c r="T699" s="318"/>
      <c r="AA699" s="299"/>
      <c r="AC699" s="200">
        <v>0</v>
      </c>
      <c r="AE699" s="42"/>
      <c r="AF699" s="42"/>
    </row>
    <row r="700" spans="1:32" s="19" customFormat="1" x14ac:dyDescent="0.2">
      <c r="A700" s="37"/>
      <c r="B700" s="37" t="s">
        <v>1547</v>
      </c>
      <c r="C700" s="175"/>
      <c r="D700" s="165"/>
      <c r="F700" s="165"/>
      <c r="G700" s="165"/>
      <c r="H700" s="265"/>
      <c r="I700" s="265"/>
      <c r="J700" s="165"/>
      <c r="K700" s="172"/>
      <c r="L700" s="172"/>
      <c r="M700" s="202">
        <v>1</v>
      </c>
      <c r="N700" s="516"/>
      <c r="O700" s="516"/>
      <c r="P700" s="516"/>
      <c r="Q700" s="318"/>
      <c r="R700" s="318"/>
      <c r="S700" s="318"/>
      <c r="T700" s="318"/>
      <c r="AA700" s="299">
        <v>1</v>
      </c>
      <c r="AC700" s="200">
        <v>1</v>
      </c>
      <c r="AE700" s="42"/>
      <c r="AF700" s="42"/>
    </row>
    <row r="701" spans="1:32" s="19" customFormat="1" x14ac:dyDescent="0.2">
      <c r="A701" s="37"/>
      <c r="B701" s="37" t="s">
        <v>1548</v>
      </c>
      <c r="C701" s="175"/>
      <c r="D701" s="165"/>
      <c r="F701" s="165"/>
      <c r="G701" s="165"/>
      <c r="H701" s="265"/>
      <c r="I701" s="265"/>
      <c r="J701" s="165" t="s">
        <v>27</v>
      </c>
      <c r="K701" s="172"/>
      <c r="L701" s="172"/>
      <c r="M701" s="202">
        <v>0</v>
      </c>
      <c r="N701" s="516"/>
      <c r="O701" s="516"/>
      <c r="P701" s="516"/>
      <c r="Q701" s="318"/>
      <c r="R701" s="318"/>
      <c r="S701" s="318"/>
      <c r="T701" s="318"/>
      <c r="AA701" s="299"/>
      <c r="AC701" s="200">
        <v>1</v>
      </c>
      <c r="AE701" s="42"/>
      <c r="AF701" s="42"/>
    </row>
    <row r="702" spans="1:32" s="19" customFormat="1" x14ac:dyDescent="0.2">
      <c r="A702" s="37"/>
      <c r="B702" s="37" t="s">
        <v>1549</v>
      </c>
      <c r="C702" s="170"/>
      <c r="D702" s="172"/>
      <c r="F702" s="172"/>
      <c r="G702" s="172"/>
      <c r="H702" s="245">
        <v>1</v>
      </c>
      <c r="I702" s="245"/>
      <c r="J702" s="172">
        <v>1</v>
      </c>
      <c r="K702" s="172">
        <v>3</v>
      </c>
      <c r="L702" s="172"/>
      <c r="M702" s="200">
        <v>1</v>
      </c>
      <c r="N702" s="515"/>
      <c r="O702" s="515"/>
      <c r="P702" s="515"/>
      <c r="Q702" s="371">
        <v>0.33</v>
      </c>
      <c r="R702" s="371"/>
      <c r="S702" s="371"/>
      <c r="T702" s="371"/>
      <c r="AA702" s="299"/>
      <c r="AC702" s="200">
        <v>1</v>
      </c>
      <c r="AE702" s="42"/>
      <c r="AF702" s="42"/>
    </row>
    <row r="703" spans="1:32" s="19" customFormat="1" x14ac:dyDescent="0.2">
      <c r="A703" s="37"/>
      <c r="B703" s="37" t="s">
        <v>1550</v>
      </c>
      <c r="C703" s="170"/>
      <c r="D703" s="172"/>
      <c r="F703" s="172"/>
      <c r="G703" s="172"/>
      <c r="H703" s="245"/>
      <c r="I703" s="245"/>
      <c r="J703" s="172"/>
      <c r="K703" s="172"/>
      <c r="L703" s="172"/>
      <c r="M703" s="200">
        <v>0</v>
      </c>
      <c r="N703" s="515"/>
      <c r="O703" s="515"/>
      <c r="P703" s="515"/>
      <c r="Q703" s="371"/>
      <c r="R703" s="371"/>
      <c r="S703" s="371"/>
      <c r="T703" s="371"/>
      <c r="AA703" s="299"/>
      <c r="AC703" s="200">
        <v>1</v>
      </c>
      <c r="AE703" s="42"/>
      <c r="AF703" s="42"/>
    </row>
    <row r="704" spans="1:32" s="19" customFormat="1" x14ac:dyDescent="0.2">
      <c r="A704" s="37"/>
      <c r="B704" s="37" t="s">
        <v>1551</v>
      </c>
      <c r="C704" s="170"/>
      <c r="D704" s="172"/>
      <c r="F704" s="172"/>
      <c r="G704" s="172"/>
      <c r="H704" s="245"/>
      <c r="I704" s="245"/>
      <c r="J704" s="172"/>
      <c r="K704" s="172"/>
      <c r="L704" s="172"/>
      <c r="M704" s="200">
        <v>0</v>
      </c>
      <c r="N704" s="515"/>
      <c r="O704" s="515"/>
      <c r="P704" s="515"/>
      <c r="Q704" s="371"/>
      <c r="R704" s="371"/>
      <c r="S704" s="371"/>
      <c r="T704" s="371"/>
      <c r="AA704" s="299"/>
      <c r="AC704" s="200">
        <v>1</v>
      </c>
      <c r="AE704" s="42"/>
      <c r="AF704" s="42"/>
    </row>
    <row r="705" spans="1:32" s="19" customFormat="1" x14ac:dyDescent="0.2">
      <c r="A705" s="37"/>
      <c r="B705" s="37" t="s">
        <v>1552</v>
      </c>
      <c r="C705" s="170"/>
      <c r="D705" s="172"/>
      <c r="F705" s="172">
        <v>1</v>
      </c>
      <c r="G705" s="172">
        <v>1</v>
      </c>
      <c r="H705" s="245">
        <v>1</v>
      </c>
      <c r="I705" s="245"/>
      <c r="J705" s="172">
        <v>1</v>
      </c>
      <c r="K705" s="172">
        <v>5</v>
      </c>
      <c r="L705" s="172"/>
      <c r="M705" s="200">
        <v>1</v>
      </c>
      <c r="N705" s="515"/>
      <c r="O705" s="515"/>
      <c r="P705" s="515"/>
      <c r="Q705" s="371">
        <v>1</v>
      </c>
      <c r="R705" s="371"/>
      <c r="S705" s="371"/>
      <c r="T705" s="371"/>
      <c r="AA705" s="299"/>
      <c r="AC705" s="200">
        <v>1</v>
      </c>
      <c r="AE705" s="42"/>
      <c r="AF705" s="42"/>
    </row>
    <row r="706" spans="1:32" s="19" customFormat="1" x14ac:dyDescent="0.2">
      <c r="A706" s="37"/>
      <c r="B706" s="37" t="s">
        <v>1553</v>
      </c>
      <c r="C706" s="170"/>
      <c r="D706" s="172"/>
      <c r="F706" s="172"/>
      <c r="G706" s="172"/>
      <c r="H706" s="245"/>
      <c r="I706" s="245"/>
      <c r="J706" s="172"/>
      <c r="K706" s="172"/>
      <c r="L706" s="172"/>
      <c r="M706" s="200">
        <v>1</v>
      </c>
      <c r="N706" s="515"/>
      <c r="O706" s="515"/>
      <c r="P706" s="515"/>
      <c r="Q706" s="371"/>
      <c r="R706" s="371"/>
      <c r="S706" s="371"/>
      <c r="T706" s="371"/>
      <c r="AA706" s="299"/>
      <c r="AC706" s="200">
        <v>1</v>
      </c>
      <c r="AE706" s="42"/>
      <c r="AF706" s="42"/>
    </row>
    <row r="707" spans="1:32" s="19" customFormat="1" x14ac:dyDescent="0.2">
      <c r="A707" s="37"/>
      <c r="B707" s="37" t="s">
        <v>1554</v>
      </c>
      <c r="C707" s="170"/>
      <c r="D707" s="172"/>
      <c r="F707" s="172"/>
      <c r="G707" s="172"/>
      <c r="H707" s="245"/>
      <c r="I707" s="245"/>
      <c r="J707" s="172"/>
      <c r="K707" s="172"/>
      <c r="L707" s="172"/>
      <c r="M707" s="200">
        <v>1</v>
      </c>
      <c r="N707" s="515"/>
      <c r="O707" s="515"/>
      <c r="P707" s="515"/>
      <c r="Q707" s="371"/>
      <c r="R707" s="371"/>
      <c r="S707" s="371"/>
      <c r="T707" s="371"/>
      <c r="AA707" s="299"/>
      <c r="AC707" s="200">
        <v>1</v>
      </c>
      <c r="AE707" s="42"/>
      <c r="AF707" s="42"/>
    </row>
    <row r="708" spans="1:32" s="19" customFormat="1" x14ac:dyDescent="0.2">
      <c r="A708" s="37"/>
      <c r="B708" s="37" t="s">
        <v>1555</v>
      </c>
      <c r="C708" s="170"/>
      <c r="D708" s="172"/>
      <c r="F708" s="172"/>
      <c r="G708" s="172"/>
      <c r="H708" s="245"/>
      <c r="I708" s="245"/>
      <c r="J708" s="172"/>
      <c r="K708" s="172" t="s">
        <v>27</v>
      </c>
      <c r="L708" s="172"/>
      <c r="M708" s="200">
        <v>1</v>
      </c>
      <c r="N708" s="515"/>
      <c r="O708" s="515"/>
      <c r="P708" s="515"/>
      <c r="Q708" s="371" t="s">
        <v>27</v>
      </c>
      <c r="R708" s="371"/>
      <c r="S708" s="371"/>
      <c r="T708" s="371"/>
      <c r="AA708" s="299"/>
      <c r="AC708" s="200">
        <v>1</v>
      </c>
      <c r="AE708" s="42"/>
      <c r="AF708" s="42"/>
    </row>
    <row r="709" spans="1:32" s="19" customFormat="1" x14ac:dyDescent="0.2">
      <c r="A709" s="37"/>
      <c r="B709" s="37" t="s">
        <v>1556</v>
      </c>
      <c r="C709" s="170"/>
      <c r="D709" s="172"/>
      <c r="F709" s="172"/>
      <c r="G709" s="172"/>
      <c r="H709" s="245"/>
      <c r="I709" s="245"/>
      <c r="J709" s="172"/>
      <c r="K709" s="172"/>
      <c r="L709" s="172"/>
      <c r="M709" s="200">
        <v>1</v>
      </c>
      <c r="N709" s="515"/>
      <c r="O709" s="515"/>
      <c r="P709" s="515"/>
      <c r="Q709" s="371"/>
      <c r="R709" s="371"/>
      <c r="S709" s="371"/>
      <c r="T709" s="371"/>
      <c r="AA709" s="299"/>
      <c r="AC709" s="200">
        <v>1</v>
      </c>
      <c r="AE709" s="42"/>
      <c r="AF709" s="42"/>
    </row>
    <row r="710" spans="1:32" s="19" customFormat="1" x14ac:dyDescent="0.2">
      <c r="A710" s="37"/>
      <c r="B710" s="37" t="s">
        <v>1557</v>
      </c>
      <c r="C710" s="170"/>
      <c r="D710" s="172"/>
      <c r="F710" s="172"/>
      <c r="G710" s="172"/>
      <c r="H710" s="245">
        <v>1</v>
      </c>
      <c r="I710" s="245" t="s">
        <v>27</v>
      </c>
      <c r="J710" s="172">
        <v>1</v>
      </c>
      <c r="K710" s="172">
        <v>7</v>
      </c>
      <c r="L710" s="172"/>
      <c r="M710" s="200">
        <v>1</v>
      </c>
      <c r="N710" s="515"/>
      <c r="O710" s="515"/>
      <c r="P710" s="515"/>
      <c r="Q710" s="371">
        <v>1</v>
      </c>
      <c r="R710" s="371"/>
      <c r="S710" s="371"/>
      <c r="T710" s="371"/>
      <c r="AA710" s="299"/>
      <c r="AC710" s="200">
        <v>1</v>
      </c>
      <c r="AE710" s="42"/>
      <c r="AF710" s="42"/>
    </row>
    <row r="711" spans="1:32" s="19" customFormat="1" x14ac:dyDescent="0.2">
      <c r="A711" s="37"/>
      <c r="B711" s="37" t="s">
        <v>1558</v>
      </c>
      <c r="C711" s="170"/>
      <c r="D711" s="172"/>
      <c r="F711" s="172"/>
      <c r="G711" s="172"/>
      <c r="H711" s="245"/>
      <c r="I711" s="245"/>
      <c r="J711" s="172"/>
      <c r="K711" s="172"/>
      <c r="L711" s="172"/>
      <c r="M711" s="200">
        <v>1</v>
      </c>
      <c r="N711" s="515"/>
      <c r="O711" s="515"/>
      <c r="P711" s="515"/>
      <c r="Q711" s="371"/>
      <c r="R711" s="371"/>
      <c r="S711" s="371"/>
      <c r="T711" s="371"/>
      <c r="AA711" s="299"/>
      <c r="AC711" s="200">
        <v>1</v>
      </c>
      <c r="AE711" s="42"/>
      <c r="AF711" s="42"/>
    </row>
    <row r="712" spans="1:32" s="19" customFormat="1" x14ac:dyDescent="0.2">
      <c r="A712" s="37"/>
      <c r="B712" s="37" t="s">
        <v>1559</v>
      </c>
      <c r="C712" s="170"/>
      <c r="D712" s="172"/>
      <c r="F712" s="172"/>
      <c r="G712" s="172"/>
      <c r="H712" s="245"/>
      <c r="I712" s="245"/>
      <c r="J712" s="172"/>
      <c r="K712" s="172"/>
      <c r="L712" s="172"/>
      <c r="M712" s="200">
        <v>1</v>
      </c>
      <c r="N712" s="515"/>
      <c r="O712" s="515"/>
      <c r="P712" s="515"/>
      <c r="Q712" s="371"/>
      <c r="R712" s="371"/>
      <c r="S712" s="371"/>
      <c r="T712" s="371"/>
      <c r="AA712" s="299"/>
      <c r="AC712" s="200">
        <v>1</v>
      </c>
      <c r="AE712" s="42"/>
      <c r="AF712" s="42"/>
    </row>
    <row r="713" spans="1:32" s="19" customFormat="1" x14ac:dyDescent="0.2">
      <c r="A713" s="37"/>
      <c r="B713" s="37" t="s">
        <v>1560</v>
      </c>
      <c r="C713" s="170"/>
      <c r="D713" s="172"/>
      <c r="F713" s="172"/>
      <c r="G713" s="172"/>
      <c r="H713" s="245"/>
      <c r="I713" s="245"/>
      <c r="J713" s="172" t="s">
        <v>27</v>
      </c>
      <c r="K713" s="172" t="s">
        <v>27</v>
      </c>
      <c r="L713" s="172"/>
      <c r="M713" s="200">
        <v>1</v>
      </c>
      <c r="N713" s="515"/>
      <c r="O713" s="515"/>
      <c r="P713" s="515"/>
      <c r="Q713" s="371" t="s">
        <v>27</v>
      </c>
      <c r="R713" s="371"/>
      <c r="S713" s="371"/>
      <c r="T713" s="371"/>
      <c r="AA713" s="299"/>
      <c r="AC713" s="200">
        <v>1</v>
      </c>
      <c r="AE713" s="42"/>
      <c r="AF713" s="42"/>
    </row>
    <row r="714" spans="1:32" s="19" customFormat="1" x14ac:dyDescent="0.2">
      <c r="A714" s="37"/>
      <c r="B714" s="37" t="s">
        <v>1561</v>
      </c>
      <c r="C714" s="170"/>
      <c r="D714" s="172"/>
      <c r="F714" s="172"/>
      <c r="G714" s="172"/>
      <c r="H714" s="245"/>
      <c r="I714" s="245"/>
      <c r="J714" s="172"/>
      <c r="K714" s="172"/>
      <c r="L714" s="172"/>
      <c r="M714" s="200">
        <v>1</v>
      </c>
      <c r="N714" s="515"/>
      <c r="O714" s="515"/>
      <c r="P714" s="515"/>
      <c r="Q714" s="371"/>
      <c r="R714" s="371"/>
      <c r="S714" s="371"/>
      <c r="T714" s="371"/>
      <c r="AA714" s="299"/>
      <c r="AC714" s="200">
        <v>1</v>
      </c>
      <c r="AE714" s="42"/>
      <c r="AF714" s="42"/>
    </row>
    <row r="715" spans="1:32" s="19" customFormat="1" x14ac:dyDescent="0.2">
      <c r="A715" s="37"/>
      <c r="B715" s="37" t="s">
        <v>1562</v>
      </c>
      <c r="C715" s="170"/>
      <c r="D715" s="172"/>
      <c r="F715" s="172"/>
      <c r="G715" s="172"/>
      <c r="H715" s="245"/>
      <c r="I715" s="245"/>
      <c r="J715" s="172"/>
      <c r="K715" s="172"/>
      <c r="L715" s="172"/>
      <c r="M715" s="200">
        <v>0</v>
      </c>
      <c r="N715" s="515"/>
      <c r="O715" s="515"/>
      <c r="P715" s="515"/>
      <c r="Q715" s="371"/>
      <c r="R715" s="371"/>
      <c r="S715" s="371"/>
      <c r="T715" s="371"/>
      <c r="AA715" s="299"/>
      <c r="AC715" s="200">
        <v>1</v>
      </c>
      <c r="AE715" s="42"/>
      <c r="AF715" s="42"/>
    </row>
    <row r="716" spans="1:32" s="19" customFormat="1" x14ac:dyDescent="0.2">
      <c r="A716" s="37"/>
      <c r="B716" s="37" t="s">
        <v>1563</v>
      </c>
      <c r="C716" s="170"/>
      <c r="D716" s="172"/>
      <c r="F716" s="172"/>
      <c r="G716" s="172"/>
      <c r="H716" s="245"/>
      <c r="I716" s="245"/>
      <c r="J716" s="172"/>
      <c r="K716" s="172"/>
      <c r="L716" s="172"/>
      <c r="M716" s="200">
        <v>1</v>
      </c>
      <c r="N716" s="515"/>
      <c r="O716" s="515"/>
      <c r="P716" s="515"/>
      <c r="Q716" s="371"/>
      <c r="R716" s="371"/>
      <c r="S716" s="371"/>
      <c r="T716" s="371"/>
      <c r="W716" s="19" t="s">
        <v>224</v>
      </c>
      <c r="AA716" s="299"/>
      <c r="AC716" s="200">
        <v>1</v>
      </c>
      <c r="AE716" s="42"/>
      <c r="AF716" s="42"/>
    </row>
    <row r="717" spans="1:32" s="19" customFormat="1" x14ac:dyDescent="0.2">
      <c r="A717" s="37"/>
      <c r="B717" s="37" t="s">
        <v>1564</v>
      </c>
      <c r="C717" s="170"/>
      <c r="D717" s="172"/>
      <c r="F717" s="172" t="s">
        <v>27</v>
      </c>
      <c r="G717" s="172">
        <v>1</v>
      </c>
      <c r="H717" s="245">
        <v>1</v>
      </c>
      <c r="I717" s="245" t="s">
        <v>27</v>
      </c>
      <c r="J717" s="172">
        <v>0</v>
      </c>
      <c r="K717" s="172">
        <v>3</v>
      </c>
      <c r="L717" s="172"/>
      <c r="M717" s="200">
        <v>0</v>
      </c>
      <c r="N717" s="515"/>
      <c r="O717" s="515"/>
      <c r="P717" s="515"/>
      <c r="Q717" s="371">
        <v>0</v>
      </c>
      <c r="R717" s="371"/>
      <c r="S717" s="371"/>
      <c r="T717" s="371"/>
      <c r="AA717" s="299"/>
      <c r="AC717" s="200">
        <v>1</v>
      </c>
      <c r="AE717" s="42"/>
      <c r="AF717" s="42"/>
    </row>
    <row r="718" spans="1:32" s="19" customFormat="1" x14ac:dyDescent="0.2">
      <c r="A718" s="37"/>
      <c r="B718" s="37" t="s">
        <v>1565</v>
      </c>
      <c r="C718" s="170"/>
      <c r="D718" s="172"/>
      <c r="F718" s="172"/>
      <c r="G718" s="172"/>
      <c r="H718" s="245"/>
      <c r="I718" s="245"/>
      <c r="J718" s="172"/>
      <c r="K718" s="172"/>
      <c r="L718" s="172"/>
      <c r="M718" s="200">
        <v>0</v>
      </c>
      <c r="N718" s="515"/>
      <c r="O718" s="515"/>
      <c r="P718" s="515"/>
      <c r="Q718" s="371"/>
      <c r="R718" s="371"/>
      <c r="S718" s="371"/>
      <c r="T718" s="371"/>
      <c r="AA718" s="299"/>
      <c r="AC718" s="200">
        <v>1</v>
      </c>
      <c r="AE718" s="42"/>
      <c r="AF718" s="42"/>
    </row>
    <row r="719" spans="1:32" s="19" customFormat="1" x14ac:dyDescent="0.2">
      <c r="A719" s="37"/>
      <c r="B719" s="37" t="s">
        <v>1566</v>
      </c>
      <c r="C719" s="170"/>
      <c r="D719" s="172"/>
      <c r="F719" s="172"/>
      <c r="G719" s="172"/>
      <c r="H719" s="245"/>
      <c r="I719" s="245"/>
      <c r="J719" s="172"/>
      <c r="K719" s="172"/>
      <c r="L719" s="172"/>
      <c r="M719" s="200">
        <v>0</v>
      </c>
      <c r="N719" s="515"/>
      <c r="O719" s="515"/>
      <c r="P719" s="515"/>
      <c r="Q719" s="371"/>
      <c r="R719" s="371"/>
      <c r="S719" s="371"/>
      <c r="T719" s="371"/>
      <c r="AA719" s="299"/>
      <c r="AC719" s="200">
        <v>0</v>
      </c>
      <c r="AE719" s="42"/>
      <c r="AF719" s="42"/>
    </row>
    <row r="720" spans="1:32" s="19" customFormat="1" x14ac:dyDescent="0.2">
      <c r="A720" s="37"/>
      <c r="B720" s="37" t="s">
        <v>1567</v>
      </c>
      <c r="C720" s="170"/>
      <c r="D720" s="172"/>
      <c r="F720" s="172"/>
      <c r="G720" s="172"/>
      <c r="H720" s="245">
        <v>1</v>
      </c>
      <c r="I720" s="245" t="s">
        <v>27</v>
      </c>
      <c r="J720" s="172">
        <v>0</v>
      </c>
      <c r="K720" s="172">
        <v>3</v>
      </c>
      <c r="L720" s="172"/>
      <c r="M720" s="200">
        <v>0</v>
      </c>
      <c r="N720" s="515"/>
      <c r="O720" s="515"/>
      <c r="P720" s="515"/>
      <c r="Q720" s="371">
        <v>0</v>
      </c>
      <c r="R720" s="371"/>
      <c r="S720" s="371"/>
      <c r="T720" s="371"/>
      <c r="AA720" s="299"/>
      <c r="AC720" s="200">
        <v>1</v>
      </c>
      <c r="AE720" s="42"/>
      <c r="AF720" s="42"/>
    </row>
    <row r="721" spans="1:32" s="19" customFormat="1" x14ac:dyDescent="0.2">
      <c r="A721" s="37"/>
      <c r="B721" s="37" t="s">
        <v>1568</v>
      </c>
      <c r="C721" s="170"/>
      <c r="D721" s="172"/>
      <c r="F721" s="172"/>
      <c r="G721" s="172"/>
      <c r="H721" s="245"/>
      <c r="I721" s="245"/>
      <c r="J721" s="172"/>
      <c r="K721" s="172"/>
      <c r="L721" s="172"/>
      <c r="M721" s="200">
        <v>0</v>
      </c>
      <c r="N721" s="515"/>
      <c r="O721" s="515"/>
      <c r="P721" s="515"/>
      <c r="Q721" s="371"/>
      <c r="R721" s="371"/>
      <c r="S721" s="371"/>
      <c r="T721" s="371"/>
      <c r="AA721" s="299"/>
      <c r="AC721" s="200">
        <v>1</v>
      </c>
      <c r="AE721" s="42"/>
      <c r="AF721" s="42"/>
    </row>
    <row r="722" spans="1:32" s="19" customFormat="1" x14ac:dyDescent="0.2">
      <c r="A722" s="37"/>
      <c r="B722" s="37" t="s">
        <v>1569</v>
      </c>
      <c r="C722" s="170"/>
      <c r="D722" s="172"/>
      <c r="F722" s="172"/>
      <c r="G722" s="172"/>
      <c r="H722" s="245"/>
      <c r="I722" s="245"/>
      <c r="J722" s="172"/>
      <c r="K722" s="172"/>
      <c r="L722" s="172"/>
      <c r="M722" s="200">
        <v>0</v>
      </c>
      <c r="N722" s="515"/>
      <c r="O722" s="515"/>
      <c r="P722" s="515"/>
      <c r="Q722" s="371"/>
      <c r="R722" s="371"/>
      <c r="S722" s="371"/>
      <c r="T722" s="371"/>
      <c r="AA722" s="299"/>
      <c r="AC722" s="200">
        <v>0</v>
      </c>
      <c r="AE722" s="42"/>
      <c r="AF722" s="42"/>
    </row>
    <row r="723" spans="1:32" s="19" customFormat="1" x14ac:dyDescent="0.2">
      <c r="A723" s="37"/>
      <c r="B723" s="37" t="s">
        <v>1570</v>
      </c>
      <c r="C723" s="170"/>
      <c r="D723" s="172"/>
      <c r="F723" s="172">
        <v>1</v>
      </c>
      <c r="G723" s="172">
        <v>1</v>
      </c>
      <c r="H723" s="245">
        <v>1</v>
      </c>
      <c r="I723" s="245" t="s">
        <v>27</v>
      </c>
      <c r="J723" s="172">
        <v>1</v>
      </c>
      <c r="K723" s="172">
        <v>7</v>
      </c>
      <c r="L723" s="172"/>
      <c r="M723" s="200">
        <v>1</v>
      </c>
      <c r="N723" s="515"/>
      <c r="O723" s="515"/>
      <c r="P723" s="515"/>
      <c r="Q723" s="371">
        <v>1</v>
      </c>
      <c r="R723" s="371"/>
      <c r="S723" s="371"/>
      <c r="T723" s="371"/>
      <c r="AA723" s="299"/>
      <c r="AC723" s="200">
        <v>1</v>
      </c>
      <c r="AE723" s="42"/>
      <c r="AF723" s="42"/>
    </row>
    <row r="724" spans="1:32" s="19" customFormat="1" x14ac:dyDescent="0.2">
      <c r="A724" s="37"/>
      <c r="B724" s="37" t="s">
        <v>1571</v>
      </c>
      <c r="C724" s="170"/>
      <c r="D724" s="172"/>
      <c r="F724" s="172"/>
      <c r="G724" s="172"/>
      <c r="H724" s="245"/>
      <c r="I724" s="245"/>
      <c r="J724" s="172"/>
      <c r="K724" s="172"/>
      <c r="L724" s="172"/>
      <c r="M724" s="200">
        <v>1</v>
      </c>
      <c r="N724" s="515"/>
      <c r="O724" s="515"/>
      <c r="P724" s="515"/>
      <c r="Q724" s="371"/>
      <c r="R724" s="371"/>
      <c r="S724" s="371"/>
      <c r="T724" s="371"/>
      <c r="AA724" s="299"/>
      <c r="AC724" s="200">
        <v>1</v>
      </c>
      <c r="AE724" s="42"/>
      <c r="AF724" s="42"/>
    </row>
    <row r="725" spans="1:32" s="19" customFormat="1" x14ac:dyDescent="0.2">
      <c r="A725" s="37"/>
      <c r="B725" s="37" t="s">
        <v>1572</v>
      </c>
      <c r="C725" s="170"/>
      <c r="D725" s="172"/>
      <c r="F725" s="172"/>
      <c r="G725" s="172"/>
      <c r="H725" s="245"/>
      <c r="I725" s="245"/>
      <c r="J725" s="172"/>
      <c r="K725" s="172"/>
      <c r="L725" s="172"/>
      <c r="M725" s="200">
        <v>1</v>
      </c>
      <c r="N725" s="515"/>
      <c r="O725" s="515"/>
      <c r="P725" s="515"/>
      <c r="Q725" s="371"/>
      <c r="R725" s="371"/>
      <c r="S725" s="371"/>
      <c r="T725" s="371"/>
      <c r="AA725" s="299"/>
      <c r="AC725" s="200">
        <v>1</v>
      </c>
      <c r="AE725" s="42"/>
      <c r="AF725" s="42"/>
    </row>
    <row r="726" spans="1:32" s="19" customFormat="1" x14ac:dyDescent="0.2">
      <c r="A726" s="37"/>
      <c r="B726" s="37" t="s">
        <v>1573</v>
      </c>
      <c r="C726" s="170"/>
      <c r="D726" s="172"/>
      <c r="F726" s="172"/>
      <c r="G726" s="172"/>
      <c r="H726" s="245"/>
      <c r="I726" s="245"/>
      <c r="J726" s="172"/>
      <c r="K726" s="172" t="s">
        <v>27</v>
      </c>
      <c r="L726" s="172"/>
      <c r="M726" s="200">
        <v>1</v>
      </c>
      <c r="N726" s="515"/>
      <c r="O726" s="515"/>
      <c r="P726" s="515"/>
      <c r="Q726" s="371" t="s">
        <v>27</v>
      </c>
      <c r="R726" s="371"/>
      <c r="S726" s="371"/>
      <c r="T726" s="371"/>
      <c r="AA726" s="299"/>
      <c r="AC726" s="200">
        <v>1</v>
      </c>
      <c r="AE726" s="42"/>
      <c r="AF726" s="42"/>
    </row>
    <row r="727" spans="1:32" s="19" customFormat="1" x14ac:dyDescent="0.2">
      <c r="A727" s="37"/>
      <c r="B727" s="37" t="s">
        <v>1574</v>
      </c>
      <c r="C727" s="170"/>
      <c r="D727" s="172"/>
      <c r="F727" s="172"/>
      <c r="G727" s="172"/>
      <c r="H727" s="245"/>
      <c r="I727" s="245"/>
      <c r="J727" s="172"/>
      <c r="K727" s="172"/>
      <c r="L727" s="172"/>
      <c r="M727" s="200">
        <v>1</v>
      </c>
      <c r="N727" s="515"/>
      <c r="O727" s="515"/>
      <c r="P727" s="515"/>
      <c r="Q727" s="371"/>
      <c r="R727" s="371"/>
      <c r="S727" s="371"/>
      <c r="T727" s="371"/>
      <c r="AA727" s="299"/>
      <c r="AC727" s="200">
        <v>0</v>
      </c>
      <c r="AE727" s="42"/>
      <c r="AF727" s="42"/>
    </row>
    <row r="728" spans="1:32" s="19" customFormat="1" x14ac:dyDescent="0.2">
      <c r="A728" s="37"/>
      <c r="B728" s="37" t="s">
        <v>1575</v>
      </c>
      <c r="C728" s="170"/>
      <c r="D728" s="172"/>
      <c r="F728" s="172"/>
      <c r="G728" s="172"/>
      <c r="H728" s="245"/>
      <c r="I728" s="245"/>
      <c r="J728" s="172"/>
      <c r="K728" s="172"/>
      <c r="L728" s="172"/>
      <c r="M728" s="200">
        <v>1</v>
      </c>
      <c r="N728" s="515"/>
      <c r="O728" s="515"/>
      <c r="P728" s="515"/>
      <c r="Q728" s="371"/>
      <c r="R728" s="371"/>
      <c r="S728" s="371"/>
      <c r="T728" s="371"/>
      <c r="AA728" s="299"/>
      <c r="AC728" s="200">
        <v>1</v>
      </c>
      <c r="AE728" s="42"/>
      <c r="AF728" s="42"/>
    </row>
    <row r="729" spans="1:32" s="19" customFormat="1" x14ac:dyDescent="0.2">
      <c r="A729" s="37"/>
      <c r="B729" s="37" t="s">
        <v>1576</v>
      </c>
      <c r="C729" s="170"/>
      <c r="D729" s="172"/>
      <c r="F729" s="172"/>
      <c r="G729" s="172"/>
      <c r="H729" s="245"/>
      <c r="I729" s="245"/>
      <c r="J729" s="172"/>
      <c r="K729" s="172"/>
      <c r="L729" s="172"/>
      <c r="M729" s="200">
        <v>1</v>
      </c>
      <c r="N729" s="515"/>
      <c r="O729" s="515"/>
      <c r="P729" s="515"/>
      <c r="Q729" s="371"/>
      <c r="R729" s="371"/>
      <c r="S729" s="371"/>
      <c r="T729" s="371"/>
      <c r="AA729" s="299"/>
      <c r="AC729" s="200">
        <v>1</v>
      </c>
      <c r="AE729" s="42"/>
      <c r="AF729" s="42"/>
    </row>
    <row r="730" spans="1:32" s="19" customFormat="1" x14ac:dyDescent="0.2">
      <c r="A730" s="37"/>
      <c r="B730" s="37" t="s">
        <v>1577</v>
      </c>
      <c r="C730" s="170"/>
      <c r="D730" s="172"/>
      <c r="F730" s="172"/>
      <c r="G730" s="172"/>
      <c r="H730" s="245">
        <v>1</v>
      </c>
      <c r="I730" s="245" t="s">
        <v>27</v>
      </c>
      <c r="J730" s="172">
        <v>1</v>
      </c>
      <c r="K730" s="172">
        <v>13</v>
      </c>
      <c r="L730" s="172"/>
      <c r="M730" s="200">
        <v>1</v>
      </c>
      <c r="N730" s="515"/>
      <c r="O730" s="515"/>
      <c r="P730" s="515"/>
      <c r="Q730" s="371">
        <f>SUM(M730:M742)/SUM(K730:K740)</f>
        <v>0.92307692307692313</v>
      </c>
      <c r="R730" s="371"/>
      <c r="S730" s="371"/>
      <c r="T730" s="371"/>
      <c r="W730" s="19" t="s">
        <v>93</v>
      </c>
      <c r="AA730" s="299"/>
      <c r="AC730" s="200">
        <v>1</v>
      </c>
      <c r="AE730" s="42"/>
      <c r="AF730" s="42"/>
    </row>
    <row r="731" spans="1:32" s="19" customFormat="1" x14ac:dyDescent="0.2">
      <c r="A731" s="37"/>
      <c r="B731" s="37" t="s">
        <v>1578</v>
      </c>
      <c r="C731" s="170"/>
      <c r="D731" s="172"/>
      <c r="F731" s="172"/>
      <c r="G731" s="172"/>
      <c r="H731" s="245"/>
      <c r="I731" s="245"/>
      <c r="J731" s="172"/>
      <c r="K731" s="172"/>
      <c r="L731" s="172"/>
      <c r="M731" s="200">
        <v>1</v>
      </c>
      <c r="N731" s="515"/>
      <c r="O731" s="515"/>
      <c r="P731" s="515"/>
      <c r="Q731" s="371"/>
      <c r="R731" s="371"/>
      <c r="S731" s="371"/>
      <c r="T731" s="371"/>
      <c r="W731" s="19" t="s">
        <v>224</v>
      </c>
      <c r="AA731" s="299"/>
      <c r="AC731" s="200">
        <v>1</v>
      </c>
      <c r="AE731" s="42"/>
      <c r="AF731" s="42"/>
    </row>
    <row r="732" spans="1:32" s="19" customFormat="1" x14ac:dyDescent="0.2">
      <c r="A732" s="37"/>
      <c r="B732" s="37" t="s">
        <v>1579</v>
      </c>
      <c r="C732" s="170"/>
      <c r="D732" s="172"/>
      <c r="F732" s="172"/>
      <c r="G732" s="172"/>
      <c r="H732" s="245"/>
      <c r="I732" s="245"/>
      <c r="J732" s="172"/>
      <c r="K732" s="172"/>
      <c r="L732" s="172"/>
      <c r="M732" s="200">
        <v>1</v>
      </c>
      <c r="N732" s="515"/>
      <c r="O732" s="515"/>
      <c r="P732" s="515"/>
      <c r="Q732" s="371"/>
      <c r="R732" s="371"/>
      <c r="S732" s="371"/>
      <c r="T732" s="371"/>
      <c r="W732" s="19" t="s">
        <v>224</v>
      </c>
      <c r="AA732" s="299"/>
      <c r="AE732" s="42"/>
      <c r="AF732" s="42"/>
    </row>
    <row r="733" spans="1:32" s="19" customFormat="1" x14ac:dyDescent="0.2">
      <c r="A733" s="37"/>
      <c r="B733" s="37" t="s">
        <v>1580</v>
      </c>
      <c r="C733" s="170"/>
      <c r="D733" s="172"/>
      <c r="F733" s="172"/>
      <c r="G733" s="172"/>
      <c r="H733" s="245"/>
      <c r="I733" s="245"/>
      <c r="J733" s="172" t="s">
        <v>27</v>
      </c>
      <c r="K733" s="172" t="s">
        <v>27</v>
      </c>
      <c r="L733" s="172"/>
      <c r="M733" s="200">
        <v>1</v>
      </c>
      <c r="N733" s="515"/>
      <c r="O733" s="515"/>
      <c r="P733" s="515"/>
      <c r="Q733" s="371" t="s">
        <v>27</v>
      </c>
      <c r="R733" s="371"/>
      <c r="S733" s="371"/>
      <c r="T733" s="371"/>
      <c r="AA733" s="299"/>
      <c r="AE733" s="42"/>
      <c r="AF733" s="42"/>
    </row>
    <row r="734" spans="1:32" s="19" customFormat="1" x14ac:dyDescent="0.2">
      <c r="A734" s="37"/>
      <c r="B734" s="37" t="s">
        <v>1581</v>
      </c>
      <c r="C734" s="170"/>
      <c r="D734" s="172"/>
      <c r="F734" s="172"/>
      <c r="G734" s="172"/>
      <c r="H734" s="245"/>
      <c r="I734" s="245"/>
      <c r="J734" s="172"/>
      <c r="K734" s="172"/>
      <c r="L734" s="172"/>
      <c r="M734" s="200">
        <v>1</v>
      </c>
      <c r="N734" s="515"/>
      <c r="O734" s="515"/>
      <c r="P734" s="515"/>
      <c r="Q734" s="371"/>
      <c r="R734" s="371"/>
      <c r="S734" s="371"/>
      <c r="T734" s="371"/>
      <c r="AA734" s="299"/>
      <c r="AE734" s="42"/>
      <c r="AF734" s="42"/>
    </row>
    <row r="735" spans="1:32" s="19" customFormat="1" x14ac:dyDescent="0.2">
      <c r="A735" s="37"/>
      <c r="B735" s="37" t="s">
        <v>1582</v>
      </c>
      <c r="C735" s="170"/>
      <c r="D735" s="172"/>
      <c r="F735" s="172"/>
      <c r="G735" s="172"/>
      <c r="H735" s="245"/>
      <c r="I735" s="245"/>
      <c r="J735" s="172"/>
      <c r="K735" s="172"/>
      <c r="L735" s="172"/>
      <c r="M735" s="200">
        <v>1</v>
      </c>
      <c r="N735" s="515"/>
      <c r="O735" s="515"/>
      <c r="P735" s="515"/>
      <c r="Q735" s="371"/>
      <c r="R735" s="371"/>
      <c r="S735" s="371"/>
      <c r="T735" s="371"/>
      <c r="W735" s="37" t="s">
        <v>224</v>
      </c>
      <c r="AA735" s="299"/>
      <c r="AE735" s="42"/>
      <c r="AF735" s="42"/>
    </row>
    <row r="736" spans="1:32" s="19" customFormat="1" x14ac:dyDescent="0.2">
      <c r="A736" s="37"/>
      <c r="B736" s="37" t="s">
        <v>1583</v>
      </c>
      <c r="C736" s="170"/>
      <c r="D736" s="172"/>
      <c r="F736" s="172" t="s">
        <v>27</v>
      </c>
      <c r="G736" s="172" t="s">
        <v>27</v>
      </c>
      <c r="H736" s="245" t="s">
        <v>27</v>
      </c>
      <c r="I736" s="245"/>
      <c r="J736" s="172" t="s">
        <v>27</v>
      </c>
      <c r="K736" s="172" t="s">
        <v>27</v>
      </c>
      <c r="L736" s="172"/>
      <c r="M736" s="200">
        <v>1</v>
      </c>
      <c r="N736" s="515"/>
      <c r="O736" s="515"/>
      <c r="P736" s="515"/>
      <c r="Q736" s="371" t="s">
        <v>27</v>
      </c>
      <c r="R736" s="371"/>
      <c r="S736" s="371"/>
      <c r="T736" s="371"/>
      <c r="AA736" s="299"/>
      <c r="AE736" s="42"/>
      <c r="AF736" s="42"/>
    </row>
    <row r="737" spans="1:32" s="19" customFormat="1" x14ac:dyDescent="0.2">
      <c r="A737" s="37"/>
      <c r="B737" s="37" t="s">
        <v>1584</v>
      </c>
      <c r="C737" s="170"/>
      <c r="D737" s="172"/>
      <c r="F737" s="172"/>
      <c r="G737" s="172"/>
      <c r="H737" s="245"/>
      <c r="I737" s="245"/>
      <c r="J737" s="172"/>
      <c r="K737" s="172"/>
      <c r="L737" s="172"/>
      <c r="M737" s="200">
        <v>1</v>
      </c>
      <c r="N737" s="515"/>
      <c r="O737" s="515"/>
      <c r="P737" s="515"/>
      <c r="Q737" s="371"/>
      <c r="R737" s="371"/>
      <c r="S737" s="371"/>
      <c r="T737" s="371"/>
      <c r="AA737" s="299"/>
      <c r="AE737" s="42"/>
      <c r="AF737" s="42"/>
    </row>
    <row r="738" spans="1:32" s="19" customFormat="1" x14ac:dyDescent="0.2">
      <c r="A738" s="37"/>
      <c r="B738" s="37" t="s">
        <v>1585</v>
      </c>
      <c r="C738" s="170"/>
      <c r="D738" s="172"/>
      <c r="F738" s="172"/>
      <c r="G738" s="172"/>
      <c r="H738" s="245"/>
      <c r="I738" s="245"/>
      <c r="J738" s="172"/>
      <c r="K738" s="172"/>
      <c r="L738" s="172"/>
      <c r="M738" s="200">
        <v>1</v>
      </c>
      <c r="N738" s="515"/>
      <c r="O738" s="515"/>
      <c r="P738" s="515"/>
      <c r="Q738" s="371"/>
      <c r="R738" s="371"/>
      <c r="S738" s="371"/>
      <c r="T738" s="371"/>
      <c r="AA738" s="299"/>
      <c r="AE738" s="42"/>
      <c r="AF738" s="42"/>
    </row>
    <row r="739" spans="1:32" s="19" customFormat="1" x14ac:dyDescent="0.2">
      <c r="A739" s="37"/>
      <c r="B739" s="37" t="s">
        <v>1586</v>
      </c>
      <c r="C739" s="170"/>
      <c r="D739" s="172"/>
      <c r="F739" s="172"/>
      <c r="G739" s="172"/>
      <c r="H739" s="245"/>
      <c r="I739" s="245"/>
      <c r="J739" s="172"/>
      <c r="K739" s="172"/>
      <c r="L739" s="172"/>
      <c r="M739" s="200">
        <v>1</v>
      </c>
      <c r="N739" s="515"/>
      <c r="O739" s="515"/>
      <c r="P739" s="515"/>
      <c r="Q739" s="371" t="s">
        <v>27</v>
      </c>
      <c r="R739" s="371"/>
      <c r="S739" s="371"/>
      <c r="T739" s="371"/>
      <c r="AA739" s="299"/>
      <c r="AE739" s="42"/>
      <c r="AF739" s="42"/>
    </row>
    <row r="740" spans="1:32" s="19" customFormat="1" x14ac:dyDescent="0.2">
      <c r="A740" s="37"/>
      <c r="B740" s="37" t="s">
        <v>1587</v>
      </c>
      <c r="C740" s="170"/>
      <c r="D740" s="172"/>
      <c r="F740" s="172"/>
      <c r="G740" s="172"/>
      <c r="H740" s="245"/>
      <c r="I740" s="245"/>
      <c r="J740" s="172"/>
      <c r="K740" s="172"/>
      <c r="L740" s="172"/>
      <c r="M740" s="200">
        <v>1</v>
      </c>
      <c r="N740" s="515"/>
      <c r="O740" s="515"/>
      <c r="P740" s="515"/>
      <c r="Q740" s="371"/>
      <c r="R740" s="371"/>
      <c r="S740" s="371"/>
      <c r="T740" s="371"/>
      <c r="AA740" s="299"/>
      <c r="AE740" s="42"/>
      <c r="AF740" s="42"/>
    </row>
    <row r="741" spans="1:32" s="19" customFormat="1" x14ac:dyDescent="0.2">
      <c r="A741" s="37"/>
      <c r="B741" s="37" t="s">
        <v>1588</v>
      </c>
      <c r="C741" s="170"/>
      <c r="D741" s="172"/>
      <c r="F741" s="172"/>
      <c r="G741" s="172"/>
      <c r="H741" s="245"/>
      <c r="I741" s="245"/>
      <c r="J741" s="172"/>
      <c r="K741" s="172"/>
      <c r="L741" s="172"/>
      <c r="M741" s="200">
        <v>1</v>
      </c>
      <c r="N741" s="515"/>
      <c r="O741" s="515"/>
      <c r="P741" s="515"/>
      <c r="Q741" s="371"/>
      <c r="R741" s="371"/>
      <c r="S741" s="371"/>
      <c r="T741" s="371"/>
      <c r="AA741" s="299">
        <v>1</v>
      </c>
      <c r="AE741" s="42"/>
      <c r="AF741" s="42"/>
    </row>
    <row r="742" spans="1:32" s="19" customFormat="1" x14ac:dyDescent="0.2">
      <c r="A742" s="37"/>
      <c r="B742" s="37" t="s">
        <v>1589</v>
      </c>
      <c r="C742" s="170"/>
      <c r="D742" s="172"/>
      <c r="F742" s="172"/>
      <c r="G742" s="172"/>
      <c r="H742" s="245"/>
      <c r="I742" s="245"/>
      <c r="J742" s="172"/>
      <c r="K742" s="172"/>
      <c r="L742" s="172"/>
      <c r="M742" s="200">
        <v>0</v>
      </c>
      <c r="N742" s="515"/>
      <c r="O742" s="515"/>
      <c r="P742" s="515"/>
      <c r="Q742" s="371"/>
      <c r="R742" s="371"/>
      <c r="S742" s="371"/>
      <c r="T742" s="371"/>
      <c r="AA742" s="299"/>
      <c r="AE742" s="42"/>
      <c r="AF742" s="42"/>
    </row>
    <row r="743" spans="1:32" s="19" customFormat="1" x14ac:dyDescent="0.2">
      <c r="A743" s="37"/>
      <c r="B743" s="37" t="s">
        <v>1590</v>
      </c>
      <c r="C743" s="170"/>
      <c r="D743" s="172"/>
      <c r="F743" s="172"/>
      <c r="G743" s="172"/>
      <c r="H743" s="245">
        <v>1</v>
      </c>
      <c r="I743" s="245"/>
      <c r="J743" s="172">
        <v>1</v>
      </c>
      <c r="K743" s="172">
        <v>9</v>
      </c>
      <c r="L743" s="172"/>
      <c r="M743" s="200">
        <v>1</v>
      </c>
      <c r="N743" s="515"/>
      <c r="O743" s="515"/>
      <c r="P743" s="515"/>
      <c r="Q743" s="371">
        <f>SUM(M743:M751)/SUM(K743:K749)</f>
        <v>0.77777777777777779</v>
      </c>
      <c r="R743" s="371"/>
      <c r="S743" s="371"/>
      <c r="T743" s="371"/>
      <c r="AA743" s="299"/>
      <c r="AE743" s="42"/>
      <c r="AF743" s="42"/>
    </row>
    <row r="744" spans="1:32" s="19" customFormat="1" x14ac:dyDescent="0.2">
      <c r="A744" s="37"/>
      <c r="B744" s="37" t="s">
        <v>1591</v>
      </c>
      <c r="C744" s="170"/>
      <c r="D744" s="172"/>
      <c r="F744" s="172"/>
      <c r="G744" s="172"/>
      <c r="H744" s="245"/>
      <c r="I744" s="245"/>
      <c r="J744" s="172"/>
      <c r="K744" s="172"/>
      <c r="L744" s="172"/>
      <c r="M744" s="200">
        <v>1</v>
      </c>
      <c r="N744" s="515"/>
      <c r="O744" s="515"/>
      <c r="P744" s="515"/>
      <c r="Q744" s="371"/>
      <c r="R744" s="371"/>
      <c r="S744" s="371"/>
      <c r="T744" s="371"/>
      <c r="AA744" s="299"/>
      <c r="AE744" s="42"/>
      <c r="AF744" s="42"/>
    </row>
    <row r="745" spans="1:32" s="19" customFormat="1" x14ac:dyDescent="0.2">
      <c r="A745" s="37"/>
      <c r="B745" s="37" t="s">
        <v>1592</v>
      </c>
      <c r="C745" s="170"/>
      <c r="D745" s="172"/>
      <c r="F745" s="172"/>
      <c r="G745" s="172"/>
      <c r="H745" s="245"/>
      <c r="I745" s="245"/>
      <c r="J745" s="172"/>
      <c r="K745" s="172"/>
      <c r="L745" s="172"/>
      <c r="M745" s="200">
        <v>0</v>
      </c>
      <c r="N745" s="515"/>
      <c r="O745" s="515"/>
      <c r="P745" s="515"/>
      <c r="Q745" s="371"/>
      <c r="R745" s="371"/>
      <c r="S745" s="371"/>
      <c r="T745" s="371"/>
      <c r="AA745" s="299"/>
      <c r="AE745" s="42"/>
      <c r="AF745" s="42"/>
    </row>
    <row r="746" spans="1:32" s="19" customFormat="1" x14ac:dyDescent="0.2">
      <c r="A746" s="37"/>
      <c r="B746" s="37" t="s">
        <v>1593</v>
      </c>
      <c r="C746" s="170"/>
      <c r="D746" s="172"/>
      <c r="F746" s="172"/>
      <c r="G746" s="172"/>
      <c r="H746" s="245" t="s">
        <v>27</v>
      </c>
      <c r="I746" s="245"/>
      <c r="J746" s="172" t="s">
        <v>27</v>
      </c>
      <c r="K746" s="172" t="s">
        <v>27</v>
      </c>
      <c r="L746" s="172"/>
      <c r="M746" s="200">
        <v>1</v>
      </c>
      <c r="N746" s="515"/>
      <c r="O746" s="515"/>
      <c r="P746" s="515"/>
      <c r="Q746" s="371"/>
      <c r="R746" s="371"/>
      <c r="S746" s="371"/>
      <c r="T746" s="371"/>
      <c r="AA746" s="299"/>
      <c r="AE746" s="42"/>
      <c r="AF746" s="42"/>
    </row>
    <row r="747" spans="1:32" s="19" customFormat="1" x14ac:dyDescent="0.2">
      <c r="A747" s="37"/>
      <c r="B747" s="37" t="s">
        <v>1594</v>
      </c>
      <c r="C747" s="170"/>
      <c r="D747" s="172"/>
      <c r="F747" s="172"/>
      <c r="G747" s="172"/>
      <c r="H747" s="245"/>
      <c r="I747" s="245"/>
      <c r="J747" s="172"/>
      <c r="K747" s="172"/>
      <c r="L747" s="172"/>
      <c r="M747" s="200">
        <v>1</v>
      </c>
      <c r="N747" s="515"/>
      <c r="O747" s="515"/>
      <c r="P747" s="515"/>
      <c r="Q747" s="371"/>
      <c r="R747" s="371"/>
      <c r="S747" s="371"/>
      <c r="T747" s="371"/>
      <c r="U747" s="19" t="s">
        <v>92</v>
      </c>
      <c r="AA747" s="299">
        <v>1</v>
      </c>
      <c r="AE747" s="42"/>
      <c r="AF747" s="42"/>
    </row>
    <row r="748" spans="1:32" s="19" customFormat="1" x14ac:dyDescent="0.2">
      <c r="A748" s="37"/>
      <c r="B748" s="37" t="s">
        <v>1595</v>
      </c>
      <c r="C748" s="170"/>
      <c r="D748" s="172"/>
      <c r="F748" s="172"/>
      <c r="G748" s="172"/>
      <c r="H748" s="245"/>
      <c r="I748" s="245"/>
      <c r="J748" s="172"/>
      <c r="K748" s="172"/>
      <c r="L748" s="172"/>
      <c r="M748" s="200">
        <v>1</v>
      </c>
      <c r="N748" s="515"/>
      <c r="O748" s="515"/>
      <c r="P748" s="515"/>
      <c r="Q748" s="371"/>
      <c r="R748" s="371"/>
      <c r="S748" s="371"/>
      <c r="T748" s="371"/>
      <c r="AA748" s="299"/>
      <c r="AE748" s="42"/>
      <c r="AF748" s="42"/>
    </row>
    <row r="749" spans="1:32" s="19" customFormat="1" x14ac:dyDescent="0.2">
      <c r="A749" s="37"/>
      <c r="B749" s="62" t="s">
        <v>1596</v>
      </c>
      <c r="C749" s="170"/>
      <c r="D749" s="172"/>
      <c r="F749" s="172"/>
      <c r="G749" s="172"/>
      <c r="H749" s="245" t="s">
        <v>27</v>
      </c>
      <c r="I749" s="245"/>
      <c r="J749" s="172" t="s">
        <v>27</v>
      </c>
      <c r="K749" s="172" t="s">
        <v>27</v>
      </c>
      <c r="L749" s="172"/>
      <c r="M749" s="200">
        <v>1</v>
      </c>
      <c r="N749" s="515"/>
      <c r="O749" s="515"/>
      <c r="P749" s="515"/>
      <c r="Q749" s="371"/>
      <c r="R749" s="371"/>
      <c r="S749" s="371"/>
      <c r="T749" s="371"/>
      <c r="AA749" s="299"/>
      <c r="AE749" s="42"/>
      <c r="AF749" s="42"/>
    </row>
    <row r="750" spans="1:32" s="19" customFormat="1" x14ac:dyDescent="0.2">
      <c r="A750" s="37"/>
      <c r="B750" s="62" t="s">
        <v>1597</v>
      </c>
      <c r="C750" s="170"/>
      <c r="D750" s="172"/>
      <c r="F750" s="172"/>
      <c r="G750" s="172"/>
      <c r="H750" s="245"/>
      <c r="I750" s="245"/>
      <c r="J750" s="172"/>
      <c r="K750" s="172"/>
      <c r="L750" s="172"/>
      <c r="M750" s="200">
        <v>0</v>
      </c>
      <c r="N750" s="515"/>
      <c r="O750" s="515"/>
      <c r="P750" s="515"/>
      <c r="Q750" s="371"/>
      <c r="R750" s="371"/>
      <c r="S750" s="371"/>
      <c r="T750" s="371"/>
      <c r="AA750" s="299"/>
      <c r="AE750" s="42"/>
      <c r="AF750" s="42"/>
    </row>
    <row r="751" spans="1:32" s="19" customFormat="1" x14ac:dyDescent="0.2">
      <c r="A751" s="37"/>
      <c r="B751" s="62" t="s">
        <v>1598</v>
      </c>
      <c r="C751" s="170"/>
      <c r="D751" s="172"/>
      <c r="F751" s="172"/>
      <c r="G751" s="172"/>
      <c r="H751" s="245"/>
      <c r="I751" s="245"/>
      <c r="J751" s="172"/>
      <c r="K751" s="172"/>
      <c r="L751" s="172"/>
      <c r="M751" s="200">
        <v>1</v>
      </c>
      <c r="N751" s="515"/>
      <c r="O751" s="515"/>
      <c r="P751" s="515"/>
      <c r="Q751" s="371"/>
      <c r="R751" s="371"/>
      <c r="S751" s="371"/>
      <c r="T751" s="371"/>
      <c r="AA751" s="299"/>
      <c r="AE751" s="42"/>
      <c r="AF751" s="42"/>
    </row>
    <row r="752" spans="1:32" s="19" customFormat="1" x14ac:dyDescent="0.2">
      <c r="A752" s="37"/>
      <c r="B752" s="37" t="s">
        <v>1599</v>
      </c>
      <c r="C752" s="170"/>
      <c r="D752" s="172"/>
      <c r="F752" s="172"/>
      <c r="G752" s="172"/>
      <c r="H752" s="245">
        <v>1</v>
      </c>
      <c r="I752" s="245" t="s">
        <v>27</v>
      </c>
      <c r="J752" s="172">
        <v>1</v>
      </c>
      <c r="K752" s="172">
        <v>3</v>
      </c>
      <c r="L752" s="172" t="s">
        <v>27</v>
      </c>
      <c r="M752" s="200">
        <v>1</v>
      </c>
      <c r="N752" s="515"/>
      <c r="O752" s="515"/>
      <c r="P752" s="515"/>
      <c r="Q752" s="371">
        <f>SUM(M752:M754)/SUM(K752)</f>
        <v>1</v>
      </c>
      <c r="R752" s="371"/>
      <c r="S752" s="371"/>
      <c r="T752" s="371"/>
      <c r="AA752" s="299"/>
      <c r="AE752" s="42"/>
      <c r="AF752" s="42"/>
    </row>
    <row r="753" spans="1:32" s="19" customFormat="1" x14ac:dyDescent="0.2">
      <c r="A753" s="37"/>
      <c r="B753" s="37" t="s">
        <v>1600</v>
      </c>
      <c r="C753" s="170"/>
      <c r="D753" s="172"/>
      <c r="F753" s="172"/>
      <c r="G753" s="172"/>
      <c r="H753" s="245"/>
      <c r="I753" s="245"/>
      <c r="J753" s="172"/>
      <c r="K753" s="172"/>
      <c r="L753" s="172"/>
      <c r="M753" s="200">
        <v>1</v>
      </c>
      <c r="N753" s="515"/>
      <c r="O753" s="515"/>
      <c r="P753" s="515"/>
      <c r="Q753" s="371"/>
      <c r="R753" s="371"/>
      <c r="S753" s="371"/>
      <c r="T753" s="371"/>
      <c r="AA753" s="299"/>
      <c r="AE753" s="42"/>
      <c r="AF753" s="42"/>
    </row>
    <row r="754" spans="1:32" s="19" customFormat="1" x14ac:dyDescent="0.2">
      <c r="A754" s="37"/>
      <c r="B754" s="37" t="s">
        <v>1601</v>
      </c>
      <c r="C754" s="170"/>
      <c r="D754" s="172"/>
      <c r="F754" s="172"/>
      <c r="G754" s="172"/>
      <c r="H754" s="245"/>
      <c r="I754" s="245"/>
      <c r="J754" s="172"/>
      <c r="K754" s="172"/>
      <c r="L754" s="172"/>
      <c r="M754" s="200">
        <v>1</v>
      </c>
      <c r="N754" s="515"/>
      <c r="O754" s="515"/>
      <c r="P754" s="515"/>
      <c r="Q754" s="371"/>
      <c r="R754" s="371"/>
      <c r="S754" s="371"/>
      <c r="T754" s="371"/>
      <c r="AA754" s="299"/>
      <c r="AE754" s="42"/>
      <c r="AF754" s="42"/>
    </row>
    <row r="755" spans="1:32" s="19" customFormat="1" x14ac:dyDescent="0.2">
      <c r="A755" s="37"/>
      <c r="B755" s="37" t="s">
        <v>1602</v>
      </c>
      <c r="C755" s="170"/>
      <c r="D755" s="172"/>
      <c r="F755" s="172"/>
      <c r="G755" s="172"/>
      <c r="H755" s="245"/>
      <c r="I755" s="245"/>
      <c r="J755" s="172"/>
      <c r="K755" s="172"/>
      <c r="L755" s="172"/>
      <c r="M755" s="200" t="s">
        <v>1603</v>
      </c>
      <c r="N755" s="515"/>
      <c r="O755" s="515"/>
      <c r="P755" s="515"/>
      <c r="Q755" s="371"/>
      <c r="R755" s="371"/>
      <c r="S755" s="371"/>
      <c r="T755" s="371"/>
      <c r="AA755" s="299"/>
      <c r="AE755" s="42"/>
      <c r="AF755" s="42"/>
    </row>
    <row r="756" spans="1:32" s="19" customFormat="1" x14ac:dyDescent="0.2">
      <c r="A756" s="37"/>
      <c r="B756" s="37" t="s">
        <v>1604</v>
      </c>
      <c r="C756" s="170"/>
      <c r="D756" s="172"/>
      <c r="F756" s="172"/>
      <c r="G756" s="172"/>
      <c r="H756" s="245"/>
      <c r="I756" s="245"/>
      <c r="J756" s="172"/>
      <c r="K756" s="172"/>
      <c r="L756" s="172"/>
      <c r="M756" s="200" t="s">
        <v>1603</v>
      </c>
      <c r="N756" s="515"/>
      <c r="O756" s="515"/>
      <c r="P756" s="515"/>
      <c r="Q756" s="371"/>
      <c r="R756" s="371"/>
      <c r="S756" s="371"/>
      <c r="T756" s="371"/>
      <c r="AA756" s="299"/>
      <c r="AE756" s="42"/>
      <c r="AF756" s="42"/>
    </row>
    <row r="757" spans="1:32" s="19" customFormat="1" x14ac:dyDescent="0.2">
      <c r="A757" s="37"/>
      <c r="B757" s="37" t="s">
        <v>1605</v>
      </c>
      <c r="C757" s="170"/>
      <c r="D757" s="172"/>
      <c r="F757" s="172"/>
      <c r="G757" s="172"/>
      <c r="H757" s="245"/>
      <c r="I757" s="245"/>
      <c r="J757" s="172"/>
      <c r="K757" s="172"/>
      <c r="L757" s="172"/>
      <c r="M757" s="200" t="s">
        <v>1603</v>
      </c>
      <c r="N757" s="515"/>
      <c r="O757" s="515"/>
      <c r="P757" s="515"/>
      <c r="Q757" s="371"/>
      <c r="R757" s="371"/>
      <c r="S757" s="371"/>
      <c r="T757" s="371"/>
      <c r="AA757" s="299"/>
      <c r="AE757" s="42"/>
      <c r="AF757" s="42"/>
    </row>
    <row r="758" spans="1:32" s="19" customFormat="1" x14ac:dyDescent="0.2">
      <c r="A758" s="37"/>
      <c r="B758" s="62"/>
      <c r="C758" s="170"/>
      <c r="D758" s="172"/>
      <c r="F758" s="172"/>
      <c r="G758" s="172"/>
      <c r="H758" s="245"/>
      <c r="I758" s="245"/>
      <c r="J758" s="172"/>
      <c r="K758" s="172"/>
      <c r="L758" s="172"/>
      <c r="M758" s="200"/>
      <c r="N758" s="515"/>
      <c r="O758" s="515"/>
      <c r="P758" s="515"/>
      <c r="Q758" s="371"/>
      <c r="R758" s="371"/>
      <c r="S758" s="371"/>
      <c r="T758" s="371"/>
      <c r="AA758" s="299"/>
      <c r="AE758" s="42"/>
      <c r="AF758" s="42"/>
    </row>
    <row r="759" spans="1:32" s="19" customFormat="1" x14ac:dyDescent="0.2">
      <c r="A759" s="37"/>
      <c r="B759" s="62"/>
      <c r="C759" s="170"/>
      <c r="D759" s="172"/>
      <c r="F759" s="172"/>
      <c r="G759" s="172"/>
      <c r="H759" s="245"/>
      <c r="I759" s="245"/>
      <c r="J759" s="172"/>
      <c r="K759" s="172"/>
      <c r="L759" s="172"/>
      <c r="M759" s="200"/>
      <c r="N759" s="515"/>
      <c r="O759" s="515"/>
      <c r="P759" s="515"/>
      <c r="Q759" s="371"/>
      <c r="R759" s="371"/>
      <c r="S759" s="371"/>
      <c r="T759" s="371"/>
      <c r="AA759" s="299"/>
      <c r="AE759" s="42"/>
      <c r="AF759" s="42"/>
    </row>
    <row r="760" spans="1:32" s="19" customFormat="1" x14ac:dyDescent="0.2">
      <c r="A760" s="37"/>
      <c r="B760" s="62"/>
      <c r="C760" s="170"/>
      <c r="D760" s="172"/>
      <c r="F760" s="172"/>
      <c r="G760" s="172"/>
      <c r="H760" s="245"/>
      <c r="I760" s="245"/>
      <c r="J760" s="172"/>
      <c r="K760" s="172"/>
      <c r="L760" s="172"/>
      <c r="M760" s="200"/>
      <c r="N760" s="515"/>
      <c r="O760" s="515"/>
      <c r="P760" s="515"/>
      <c r="Q760" s="371"/>
      <c r="R760" s="371"/>
      <c r="S760" s="371"/>
      <c r="T760" s="371"/>
      <c r="AA760" s="299"/>
      <c r="AE760" s="42"/>
      <c r="AF760" s="42"/>
    </row>
    <row r="761" spans="1:32" s="19" customFormat="1" x14ac:dyDescent="0.2">
      <c r="A761" s="37"/>
      <c r="B761" s="62"/>
      <c r="C761" s="170"/>
      <c r="D761" s="172"/>
      <c r="F761" s="172"/>
      <c r="G761" s="172"/>
      <c r="H761" s="245"/>
      <c r="I761" s="245"/>
      <c r="J761" s="172"/>
      <c r="K761" s="172"/>
      <c r="L761" s="172"/>
      <c r="M761" s="200"/>
      <c r="N761" s="515"/>
      <c r="O761" s="515"/>
      <c r="P761" s="515"/>
      <c r="Q761" s="371"/>
      <c r="R761" s="371"/>
      <c r="S761" s="371"/>
      <c r="T761" s="371"/>
      <c r="AA761" s="299"/>
      <c r="AE761" s="42"/>
      <c r="AF761" s="42"/>
    </row>
    <row r="762" spans="1:32" s="19" customFormat="1" x14ac:dyDescent="0.2">
      <c r="A762" s="37"/>
      <c r="B762" s="62"/>
      <c r="C762" s="170"/>
      <c r="D762" s="172"/>
      <c r="F762" s="172"/>
      <c r="G762" s="172"/>
      <c r="H762" s="245"/>
      <c r="I762" s="245"/>
      <c r="J762" s="172"/>
      <c r="K762" s="172"/>
      <c r="L762" s="172"/>
      <c r="M762" s="200"/>
      <c r="N762" s="515"/>
      <c r="O762" s="515"/>
      <c r="P762" s="515"/>
      <c r="Q762" s="371"/>
      <c r="R762" s="371"/>
      <c r="S762" s="371"/>
      <c r="T762" s="371"/>
      <c r="AA762" s="299"/>
      <c r="AE762" s="42"/>
      <c r="AF762" s="42"/>
    </row>
    <row r="763" spans="1:32" s="19" customFormat="1" x14ac:dyDescent="0.2">
      <c r="A763" s="37"/>
      <c r="B763" s="62"/>
      <c r="C763" s="170"/>
      <c r="D763" s="174"/>
      <c r="F763" s="172"/>
      <c r="G763" s="172"/>
      <c r="H763" s="245"/>
      <c r="I763" s="245"/>
      <c r="J763" s="172"/>
      <c r="K763" s="172"/>
      <c r="L763" s="172"/>
      <c r="M763" s="200"/>
      <c r="N763" s="515"/>
      <c r="O763" s="515"/>
      <c r="P763" s="515"/>
      <c r="Q763" s="371"/>
      <c r="R763" s="371"/>
      <c r="S763" s="371"/>
      <c r="T763" s="371"/>
      <c r="AA763" s="299"/>
      <c r="AE763" s="42"/>
      <c r="AF763" s="42"/>
    </row>
    <row r="764" spans="1:32" s="19" customFormat="1" x14ac:dyDescent="0.2">
      <c r="A764" s="37"/>
      <c r="B764" s="62"/>
      <c r="C764" s="170"/>
      <c r="D764" s="174"/>
      <c r="F764" s="172"/>
      <c r="G764" s="172"/>
      <c r="H764" s="245"/>
      <c r="I764" s="245"/>
      <c r="J764" s="172"/>
      <c r="K764" s="172"/>
      <c r="L764" s="172"/>
      <c r="M764" s="200"/>
      <c r="N764" s="515"/>
      <c r="O764" s="515"/>
      <c r="P764" s="515"/>
      <c r="Q764" s="371"/>
      <c r="R764" s="371"/>
      <c r="S764" s="371"/>
      <c r="T764" s="371"/>
      <c r="AA764" s="299"/>
      <c r="AE764" s="42"/>
      <c r="AF764" s="42"/>
    </row>
    <row r="765" spans="1:32" s="19" customFormat="1" x14ac:dyDescent="0.2">
      <c r="A765" s="37"/>
      <c r="B765" s="62"/>
      <c r="C765" s="170"/>
      <c r="D765" s="172"/>
      <c r="F765" s="172"/>
      <c r="G765" s="172"/>
      <c r="H765" s="245"/>
      <c r="I765" s="245"/>
      <c r="J765" s="172"/>
      <c r="K765" s="172"/>
      <c r="L765" s="172"/>
      <c r="M765" s="200"/>
      <c r="N765" s="515"/>
      <c r="O765" s="515"/>
      <c r="P765" s="515"/>
      <c r="Q765" s="371"/>
      <c r="R765" s="371"/>
      <c r="S765" s="371"/>
      <c r="T765" s="371"/>
      <c r="AA765" s="299"/>
      <c r="AE765" s="42"/>
      <c r="AF765" s="42"/>
    </row>
    <row r="766" spans="1:32" s="19" customFormat="1" x14ac:dyDescent="0.2">
      <c r="A766" s="37"/>
      <c r="B766" s="62"/>
      <c r="C766" s="170"/>
      <c r="D766" s="172"/>
      <c r="F766" s="172"/>
      <c r="G766" s="172"/>
      <c r="H766" s="245"/>
      <c r="I766" s="245"/>
      <c r="J766" s="172"/>
      <c r="K766" s="172"/>
      <c r="L766" s="172"/>
      <c r="M766" s="200"/>
      <c r="N766" s="515"/>
      <c r="O766" s="515"/>
      <c r="P766" s="515"/>
      <c r="Q766" s="371"/>
      <c r="R766" s="371"/>
      <c r="S766" s="371"/>
      <c r="T766" s="371"/>
      <c r="AA766" s="299"/>
      <c r="AE766" s="42"/>
      <c r="AF766" s="42"/>
    </row>
    <row r="767" spans="1:32" s="19" customFormat="1" x14ac:dyDescent="0.2">
      <c r="A767" s="37"/>
      <c r="B767" s="62"/>
      <c r="C767" s="170"/>
      <c r="D767" s="172"/>
      <c r="F767" s="172"/>
      <c r="G767" s="172"/>
      <c r="H767" s="245"/>
      <c r="I767" s="245"/>
      <c r="J767" s="172"/>
      <c r="K767" s="172"/>
      <c r="L767" s="172"/>
      <c r="M767" s="200"/>
      <c r="N767" s="515"/>
      <c r="O767" s="515"/>
      <c r="P767" s="515"/>
      <c r="Q767" s="371"/>
      <c r="R767" s="371"/>
      <c r="S767" s="371"/>
      <c r="T767" s="371"/>
      <c r="AA767" s="299"/>
      <c r="AE767" s="42"/>
      <c r="AF767" s="42"/>
    </row>
    <row r="768" spans="1:32" s="19" customFormat="1" x14ac:dyDescent="0.2">
      <c r="A768" s="37"/>
      <c r="B768" s="62"/>
      <c r="C768" s="170"/>
      <c r="D768" s="172"/>
      <c r="F768" s="172"/>
      <c r="G768" s="172"/>
      <c r="H768" s="245"/>
      <c r="I768" s="245"/>
      <c r="J768" s="172"/>
      <c r="K768" s="172"/>
      <c r="L768" s="172"/>
      <c r="M768" s="200"/>
      <c r="N768" s="515"/>
      <c r="O768" s="515"/>
      <c r="P768" s="515"/>
      <c r="Q768" s="371"/>
      <c r="R768" s="371"/>
      <c r="S768" s="371"/>
      <c r="T768" s="371"/>
      <c r="AA768" s="299"/>
      <c r="AE768" s="42"/>
      <c r="AF768" s="42"/>
    </row>
    <row r="769" spans="1:32" s="19" customFormat="1" x14ac:dyDescent="0.2">
      <c r="A769" s="37"/>
      <c r="B769" s="62"/>
      <c r="C769" s="170"/>
      <c r="D769" s="172"/>
      <c r="F769" s="172"/>
      <c r="G769" s="172"/>
      <c r="H769" s="245"/>
      <c r="I769" s="245"/>
      <c r="J769" s="172"/>
      <c r="K769" s="172"/>
      <c r="L769" s="172"/>
      <c r="M769" s="200"/>
      <c r="N769" s="515"/>
      <c r="O769" s="515"/>
      <c r="P769" s="515"/>
      <c r="Q769" s="371"/>
      <c r="R769" s="371"/>
      <c r="S769" s="371"/>
      <c r="T769" s="371"/>
      <c r="AA769" s="299"/>
      <c r="AE769" s="42"/>
      <c r="AF769" s="42"/>
    </row>
    <row r="770" spans="1:32" s="19" customFormat="1" x14ac:dyDescent="0.2">
      <c r="A770" s="37"/>
      <c r="B770" s="62"/>
      <c r="C770" s="170"/>
      <c r="D770" s="172"/>
      <c r="F770" s="172"/>
      <c r="G770" s="172"/>
      <c r="H770" s="245"/>
      <c r="I770" s="245"/>
      <c r="J770" s="172"/>
      <c r="K770" s="172"/>
      <c r="L770" s="172"/>
      <c r="M770" s="200"/>
      <c r="N770" s="515"/>
      <c r="O770" s="515"/>
      <c r="P770" s="515"/>
      <c r="Q770" s="371"/>
      <c r="R770" s="371"/>
      <c r="S770" s="371"/>
      <c r="T770" s="371"/>
      <c r="AA770" s="299"/>
      <c r="AE770" s="42"/>
      <c r="AF770" s="42"/>
    </row>
    <row r="771" spans="1:32" s="19" customFormat="1" x14ac:dyDescent="0.2">
      <c r="A771" s="37"/>
      <c r="B771" s="62"/>
      <c r="C771" s="170"/>
      <c r="D771" s="172"/>
      <c r="F771" s="172"/>
      <c r="G771" s="172"/>
      <c r="H771" s="245"/>
      <c r="I771" s="245"/>
      <c r="J771" s="172"/>
      <c r="K771" s="172"/>
      <c r="L771" s="172"/>
      <c r="M771" s="200"/>
      <c r="N771" s="515"/>
      <c r="O771" s="515"/>
      <c r="P771" s="515"/>
      <c r="Q771" s="371"/>
      <c r="R771" s="371"/>
      <c r="S771" s="371"/>
      <c r="T771" s="371"/>
      <c r="AA771" s="299"/>
      <c r="AE771" s="42"/>
      <c r="AF771" s="42"/>
    </row>
    <row r="772" spans="1:32" s="19" customFormat="1" x14ac:dyDescent="0.2">
      <c r="A772" s="37"/>
      <c r="B772" s="62"/>
      <c r="C772" s="170"/>
      <c r="D772" s="172"/>
      <c r="F772" s="172"/>
      <c r="G772" s="172"/>
      <c r="H772" s="245"/>
      <c r="I772" s="245"/>
      <c r="J772" s="172"/>
      <c r="K772" s="172"/>
      <c r="L772" s="172"/>
      <c r="M772" s="200"/>
      <c r="N772" s="515"/>
      <c r="O772" s="515"/>
      <c r="P772" s="515"/>
      <c r="Q772" s="371"/>
      <c r="R772" s="371"/>
      <c r="S772" s="371"/>
      <c r="T772" s="371"/>
      <c r="AA772" s="299"/>
      <c r="AE772" s="42"/>
      <c r="AF772" s="42"/>
    </row>
    <row r="773" spans="1:32" s="19" customFormat="1" x14ac:dyDescent="0.2">
      <c r="A773" s="37"/>
      <c r="B773" s="62"/>
      <c r="C773" s="170"/>
      <c r="D773" s="172"/>
      <c r="F773" s="172"/>
      <c r="G773" s="172"/>
      <c r="H773" s="245"/>
      <c r="I773" s="245"/>
      <c r="J773" s="172"/>
      <c r="K773" s="172"/>
      <c r="L773" s="172"/>
      <c r="M773" s="200"/>
      <c r="N773" s="515"/>
      <c r="O773" s="515"/>
      <c r="P773" s="515"/>
      <c r="Q773" s="371"/>
      <c r="R773" s="371"/>
      <c r="S773" s="371"/>
      <c r="T773" s="371"/>
      <c r="AA773" s="299"/>
      <c r="AE773" s="42"/>
      <c r="AF773" s="42"/>
    </row>
    <row r="774" spans="1:32" s="19" customFormat="1" x14ac:dyDescent="0.2">
      <c r="A774" s="37"/>
      <c r="B774" s="62"/>
      <c r="C774" s="170"/>
      <c r="D774" s="172"/>
      <c r="F774" s="172"/>
      <c r="G774" s="172"/>
      <c r="H774" s="245"/>
      <c r="I774" s="245"/>
      <c r="J774" s="172"/>
      <c r="K774" s="172"/>
      <c r="L774" s="172"/>
      <c r="M774" s="200"/>
      <c r="N774" s="515"/>
      <c r="O774" s="515"/>
      <c r="P774" s="515"/>
      <c r="Q774" s="371"/>
      <c r="R774" s="371"/>
      <c r="S774" s="371"/>
      <c r="T774" s="371"/>
      <c r="AA774" s="299"/>
      <c r="AE774" s="42"/>
      <c r="AF774" s="42"/>
    </row>
    <row r="775" spans="1:32" s="19" customFormat="1" x14ac:dyDescent="0.2">
      <c r="A775" s="37"/>
      <c r="B775" s="62"/>
      <c r="C775" s="170"/>
      <c r="D775" s="172"/>
      <c r="F775" s="172"/>
      <c r="G775" s="172"/>
      <c r="H775" s="245"/>
      <c r="I775" s="245"/>
      <c r="J775" s="172"/>
      <c r="K775" s="172"/>
      <c r="L775" s="172"/>
      <c r="M775" s="200"/>
      <c r="N775" s="515"/>
      <c r="O775" s="515"/>
      <c r="P775" s="515"/>
      <c r="Q775" s="371"/>
      <c r="R775" s="371"/>
      <c r="S775" s="371"/>
      <c r="T775" s="371"/>
      <c r="AA775" s="299"/>
      <c r="AE775" s="42"/>
      <c r="AF775" s="42"/>
    </row>
    <row r="776" spans="1:32" s="19" customFormat="1" x14ac:dyDescent="0.2">
      <c r="A776" s="37"/>
      <c r="B776" s="62"/>
      <c r="C776" s="170"/>
      <c r="D776" s="172"/>
      <c r="F776" s="172"/>
      <c r="G776" s="172"/>
      <c r="H776" s="245"/>
      <c r="I776" s="245"/>
      <c r="J776" s="172"/>
      <c r="K776" s="172"/>
      <c r="L776" s="172"/>
      <c r="M776" s="200"/>
      <c r="N776" s="515"/>
      <c r="O776" s="515"/>
      <c r="P776" s="515"/>
      <c r="Q776" s="371"/>
      <c r="R776" s="371"/>
      <c r="S776" s="371"/>
      <c r="T776" s="371"/>
      <c r="AA776" s="299"/>
      <c r="AE776" s="42"/>
      <c r="AF776" s="42"/>
    </row>
    <row r="777" spans="1:32" s="19" customFormat="1" x14ac:dyDescent="0.2">
      <c r="A777" s="37"/>
      <c r="B777" s="62"/>
      <c r="C777" s="175"/>
      <c r="D777" s="165"/>
      <c r="F777" s="165"/>
      <c r="G777" s="165"/>
      <c r="H777" s="265"/>
      <c r="I777" s="265"/>
      <c r="J777" s="165"/>
      <c r="K777" s="165"/>
      <c r="L777" s="165"/>
      <c r="M777" s="202"/>
      <c r="N777" s="516"/>
      <c r="O777" s="516"/>
      <c r="P777" s="516"/>
      <c r="Q777" s="318"/>
      <c r="R777" s="318"/>
      <c r="S777" s="318"/>
      <c r="T777" s="318"/>
      <c r="AA777" s="299"/>
      <c r="AE777" s="44"/>
      <c r="AF777" s="44"/>
    </row>
    <row r="778" spans="1:32" s="19" customFormat="1" x14ac:dyDescent="0.2">
      <c r="A778" s="37"/>
      <c r="B778" s="62"/>
      <c r="C778" s="175"/>
      <c r="D778" s="165"/>
      <c r="F778" s="165"/>
      <c r="G778" s="165"/>
      <c r="H778" s="265"/>
      <c r="I778" s="265"/>
      <c r="J778" s="165"/>
      <c r="K778" s="165"/>
      <c r="L778" s="165"/>
      <c r="M778" s="202"/>
      <c r="N778" s="516"/>
      <c r="O778" s="516"/>
      <c r="P778" s="516"/>
      <c r="Q778" s="318"/>
      <c r="R778" s="318"/>
      <c r="S778" s="318"/>
      <c r="T778" s="318"/>
      <c r="AA778" s="299"/>
      <c r="AE778" s="44"/>
      <c r="AF778" s="44"/>
    </row>
    <row r="779" spans="1:32" s="19" customFormat="1" x14ac:dyDescent="0.2">
      <c r="A779" s="37"/>
      <c r="B779" s="62"/>
      <c r="C779" s="175"/>
      <c r="D779" s="165"/>
      <c r="F779" s="165"/>
      <c r="G779" s="165"/>
      <c r="H779" s="265"/>
      <c r="I779" s="265"/>
      <c r="J779" s="165"/>
      <c r="K779" s="165"/>
      <c r="L779" s="165"/>
      <c r="M779" s="202"/>
      <c r="N779" s="516"/>
      <c r="O779" s="516"/>
      <c r="P779" s="516"/>
      <c r="Q779" s="318"/>
      <c r="R779" s="318"/>
      <c r="S779" s="318"/>
      <c r="T779" s="318"/>
      <c r="AA779" s="299"/>
      <c r="AE779" s="44"/>
      <c r="AF779" s="44"/>
    </row>
    <row r="780" spans="1:32" s="19" customFormat="1" x14ac:dyDescent="0.2">
      <c r="A780" s="37"/>
      <c r="B780" s="62"/>
      <c r="C780" s="170"/>
      <c r="D780" s="170"/>
      <c r="F780" s="165"/>
      <c r="G780" s="165"/>
      <c r="H780" s="265"/>
      <c r="I780" s="265"/>
      <c r="J780" s="165"/>
      <c r="K780" s="165"/>
      <c r="L780" s="165"/>
      <c r="M780" s="202"/>
      <c r="N780" s="516"/>
      <c r="O780" s="516"/>
      <c r="P780" s="516"/>
      <c r="Q780" s="318"/>
      <c r="R780" s="318"/>
      <c r="S780" s="318"/>
      <c r="T780" s="318"/>
      <c r="AA780" s="299"/>
      <c r="AE780" s="44"/>
      <c r="AF780" s="44"/>
    </row>
    <row r="781" spans="1:32" s="19" customFormat="1" x14ac:dyDescent="0.2">
      <c r="A781" s="37"/>
      <c r="B781" s="62"/>
      <c r="C781" s="170"/>
      <c r="D781" s="170"/>
      <c r="F781" s="165"/>
      <c r="G781" s="165"/>
      <c r="H781" s="265"/>
      <c r="I781" s="265"/>
      <c r="J781" s="165"/>
      <c r="K781" s="165"/>
      <c r="L781" s="165"/>
      <c r="M781" s="202"/>
      <c r="N781" s="516"/>
      <c r="O781" s="516"/>
      <c r="P781" s="516"/>
      <c r="Q781" s="318"/>
      <c r="R781" s="318"/>
      <c r="S781" s="318"/>
      <c r="T781" s="318"/>
      <c r="AA781" s="299"/>
      <c r="AE781" s="44"/>
      <c r="AF781" s="44"/>
    </row>
    <row r="782" spans="1:32" s="19" customFormat="1" x14ac:dyDescent="0.2">
      <c r="A782" s="37"/>
      <c r="B782" s="62"/>
      <c r="C782" s="170"/>
      <c r="D782" s="170"/>
      <c r="E782" s="23"/>
      <c r="F782" s="165"/>
      <c r="G782" s="165"/>
      <c r="H782" s="265"/>
      <c r="I782" s="265"/>
      <c r="J782" s="165"/>
      <c r="K782" s="165"/>
      <c r="L782" s="165"/>
      <c r="M782" s="202"/>
      <c r="N782" s="516"/>
      <c r="O782" s="516"/>
      <c r="P782" s="516"/>
      <c r="Q782" s="318"/>
      <c r="R782" s="318"/>
      <c r="S782" s="318"/>
      <c r="T782" s="318"/>
      <c r="AA782" s="299"/>
      <c r="AE782" s="44"/>
      <c r="AF782" s="44"/>
    </row>
    <row r="783" spans="1:32" s="19" customFormat="1" x14ac:dyDescent="0.2">
      <c r="A783" s="37"/>
      <c r="B783" s="62"/>
      <c r="C783" s="175"/>
      <c r="D783" s="165"/>
      <c r="E783" s="23"/>
      <c r="F783" s="165"/>
      <c r="G783" s="165"/>
      <c r="H783" s="265"/>
      <c r="I783" s="265"/>
      <c r="J783" s="165"/>
      <c r="K783" s="165"/>
      <c r="L783" s="165"/>
      <c r="M783" s="202"/>
      <c r="N783" s="516"/>
      <c r="O783" s="516"/>
      <c r="P783" s="516"/>
      <c r="Q783" s="318"/>
      <c r="R783" s="318"/>
      <c r="S783" s="318"/>
      <c r="T783" s="318"/>
      <c r="AA783" s="299"/>
      <c r="AE783" s="44"/>
      <c r="AF783" s="44"/>
    </row>
    <row r="784" spans="1:32" s="23" customFormat="1" x14ac:dyDescent="0.2">
      <c r="A784" s="128"/>
      <c r="B784" s="62"/>
      <c r="C784" s="175"/>
      <c r="D784" s="165"/>
      <c r="F784" s="165"/>
      <c r="G784" s="165"/>
      <c r="H784" s="265"/>
      <c r="I784" s="265"/>
      <c r="J784" s="165"/>
      <c r="K784" s="165"/>
      <c r="L784" s="165"/>
      <c r="M784" s="202"/>
      <c r="N784" s="516"/>
      <c r="O784" s="516"/>
      <c r="P784" s="516"/>
      <c r="Q784" s="318"/>
      <c r="R784" s="318"/>
      <c r="S784" s="318"/>
      <c r="T784" s="318"/>
      <c r="AA784" s="299"/>
      <c r="AE784" s="44"/>
      <c r="AF784" s="44"/>
    </row>
    <row r="785" spans="1:32" s="23" customFormat="1" x14ac:dyDescent="0.2">
      <c r="A785" s="128"/>
      <c r="B785" s="62"/>
      <c r="C785" s="175"/>
      <c r="D785" s="165"/>
      <c r="F785" s="165"/>
      <c r="G785" s="165"/>
      <c r="H785" s="265"/>
      <c r="I785" s="265"/>
      <c r="J785" s="165"/>
      <c r="K785" s="165"/>
      <c r="L785" s="165"/>
      <c r="M785" s="202"/>
      <c r="N785" s="516"/>
      <c r="O785" s="516"/>
      <c r="P785" s="516"/>
      <c r="Q785" s="318"/>
      <c r="R785" s="318"/>
      <c r="S785" s="318"/>
      <c r="T785" s="318"/>
      <c r="AA785" s="299"/>
      <c r="AE785" s="44"/>
      <c r="AF785" s="44"/>
    </row>
    <row r="786" spans="1:32" s="23" customFormat="1" x14ac:dyDescent="0.2">
      <c r="A786" s="128"/>
      <c r="B786" s="62"/>
      <c r="C786" s="175"/>
      <c r="D786" s="165"/>
      <c r="F786" s="165"/>
      <c r="G786" s="165"/>
      <c r="H786" s="265"/>
      <c r="I786" s="265"/>
      <c r="J786" s="165"/>
      <c r="K786" s="165"/>
      <c r="L786" s="165"/>
      <c r="M786" s="202"/>
      <c r="N786" s="516"/>
      <c r="O786" s="516"/>
      <c r="P786" s="516"/>
      <c r="Q786" s="318"/>
      <c r="R786" s="318"/>
      <c r="S786" s="318"/>
      <c r="T786" s="318"/>
      <c r="AA786" s="299"/>
      <c r="AE786" s="44"/>
      <c r="AF786" s="44"/>
    </row>
    <row r="787" spans="1:32" s="23" customFormat="1" x14ac:dyDescent="0.2">
      <c r="A787" s="128"/>
      <c r="B787" s="62"/>
      <c r="C787" s="175"/>
      <c r="D787" s="165"/>
      <c r="F787" s="165"/>
      <c r="G787" s="165"/>
      <c r="H787" s="265"/>
      <c r="I787" s="265"/>
      <c r="J787" s="165"/>
      <c r="K787" s="165"/>
      <c r="L787" s="165"/>
      <c r="M787" s="202"/>
      <c r="N787" s="516"/>
      <c r="O787" s="516"/>
      <c r="P787" s="516"/>
      <c r="Q787" s="318"/>
      <c r="R787" s="318"/>
      <c r="S787" s="318"/>
      <c r="T787" s="318"/>
      <c r="AA787" s="299"/>
      <c r="AE787" s="44"/>
      <c r="AF787" s="44"/>
    </row>
    <row r="788" spans="1:32" s="23" customFormat="1" x14ac:dyDescent="0.2">
      <c r="A788" s="128"/>
      <c r="B788" s="62"/>
      <c r="C788" s="175"/>
      <c r="D788" s="165"/>
      <c r="F788" s="165"/>
      <c r="G788" s="165"/>
      <c r="H788" s="265"/>
      <c r="I788" s="265"/>
      <c r="J788" s="165"/>
      <c r="K788" s="165"/>
      <c r="L788" s="165"/>
      <c r="M788" s="202"/>
      <c r="N788" s="516"/>
      <c r="O788" s="516"/>
      <c r="P788" s="516"/>
      <c r="Q788" s="318"/>
      <c r="R788" s="318"/>
      <c r="S788" s="318"/>
      <c r="T788" s="318"/>
      <c r="AA788" s="299"/>
      <c r="AE788" s="44"/>
      <c r="AF788" s="44"/>
    </row>
    <row r="789" spans="1:32" s="23" customFormat="1" x14ac:dyDescent="0.2">
      <c r="A789" s="128"/>
      <c r="B789" s="62"/>
      <c r="C789" s="175"/>
      <c r="D789" s="165"/>
      <c r="F789" s="165"/>
      <c r="G789" s="165"/>
      <c r="H789" s="265"/>
      <c r="I789" s="265"/>
      <c r="J789" s="165"/>
      <c r="K789" s="165"/>
      <c r="L789" s="165"/>
      <c r="M789" s="202"/>
      <c r="N789" s="516"/>
      <c r="O789" s="516"/>
      <c r="P789" s="516"/>
      <c r="Q789" s="318"/>
      <c r="R789" s="318"/>
      <c r="S789" s="318"/>
      <c r="T789" s="318"/>
      <c r="AA789" s="299"/>
      <c r="AE789" s="44"/>
      <c r="AF789" s="44"/>
    </row>
    <row r="790" spans="1:32" s="23" customFormat="1" x14ac:dyDescent="0.2">
      <c r="A790" s="128"/>
      <c r="B790" s="62"/>
      <c r="C790" s="175"/>
      <c r="D790" s="165"/>
      <c r="F790" s="165"/>
      <c r="G790" s="165"/>
      <c r="H790" s="265"/>
      <c r="I790" s="265"/>
      <c r="J790" s="165"/>
      <c r="K790" s="165"/>
      <c r="L790" s="165"/>
      <c r="M790" s="202"/>
      <c r="N790" s="516"/>
      <c r="O790" s="516"/>
      <c r="P790" s="516"/>
      <c r="Q790" s="318"/>
      <c r="R790" s="318"/>
      <c r="S790" s="318"/>
      <c r="T790" s="318"/>
      <c r="AA790" s="299"/>
      <c r="AE790" s="44"/>
      <c r="AF790" s="44"/>
    </row>
    <row r="791" spans="1:32" s="23" customFormat="1" x14ac:dyDescent="0.2">
      <c r="A791" s="128"/>
      <c r="B791" s="62"/>
      <c r="C791" s="175"/>
      <c r="D791" s="165"/>
      <c r="F791" s="165"/>
      <c r="G791" s="165"/>
      <c r="H791" s="265"/>
      <c r="I791" s="265"/>
      <c r="J791" s="165"/>
      <c r="K791" s="165"/>
      <c r="L791" s="165"/>
      <c r="M791" s="202"/>
      <c r="N791" s="516"/>
      <c r="O791" s="516"/>
      <c r="P791" s="516"/>
      <c r="Q791" s="318"/>
      <c r="R791" s="318"/>
      <c r="S791" s="318"/>
      <c r="T791" s="318"/>
      <c r="AA791" s="299"/>
      <c r="AE791" s="44"/>
      <c r="AF791" s="44"/>
    </row>
    <row r="792" spans="1:32" s="23" customFormat="1" x14ac:dyDescent="0.2">
      <c r="A792" s="128"/>
      <c r="B792" s="62"/>
      <c r="C792" s="175"/>
      <c r="D792" s="165"/>
      <c r="F792" s="165"/>
      <c r="G792" s="165"/>
      <c r="H792" s="265"/>
      <c r="I792" s="265"/>
      <c r="J792" s="165"/>
      <c r="K792" s="165"/>
      <c r="L792" s="165"/>
      <c r="M792" s="202"/>
      <c r="N792" s="516"/>
      <c r="O792" s="516"/>
      <c r="P792" s="516"/>
      <c r="Q792" s="318"/>
      <c r="R792" s="318"/>
      <c r="S792" s="318"/>
      <c r="T792" s="318"/>
      <c r="AA792" s="299"/>
      <c r="AE792" s="44"/>
      <c r="AF792" s="44"/>
    </row>
    <row r="793" spans="1:32" s="23" customFormat="1" x14ac:dyDescent="0.2">
      <c r="A793" s="128"/>
      <c r="B793" s="62"/>
      <c r="C793" s="175"/>
      <c r="D793" s="165"/>
      <c r="F793" s="165"/>
      <c r="G793" s="165"/>
      <c r="H793" s="265"/>
      <c r="I793" s="265"/>
      <c r="J793" s="165"/>
      <c r="K793" s="165"/>
      <c r="L793" s="165"/>
      <c r="M793" s="202"/>
      <c r="N793" s="516"/>
      <c r="O793" s="516"/>
      <c r="P793" s="516"/>
      <c r="Q793" s="318"/>
      <c r="R793" s="318"/>
      <c r="S793" s="318"/>
      <c r="T793" s="318"/>
      <c r="AA793" s="299"/>
      <c r="AE793" s="44"/>
      <c r="AF793" s="44"/>
    </row>
    <row r="794" spans="1:32" s="23" customFormat="1" x14ac:dyDescent="0.2">
      <c r="A794" s="128"/>
      <c r="B794" s="62"/>
      <c r="C794" s="175"/>
      <c r="D794" s="165"/>
      <c r="F794" s="165"/>
      <c r="G794" s="165"/>
      <c r="H794" s="265"/>
      <c r="I794" s="265"/>
      <c r="J794" s="165"/>
      <c r="K794" s="165"/>
      <c r="L794" s="165"/>
      <c r="M794" s="202"/>
      <c r="N794" s="516"/>
      <c r="O794" s="516"/>
      <c r="P794" s="516"/>
      <c r="Q794" s="318"/>
      <c r="R794" s="318"/>
      <c r="S794" s="318"/>
      <c r="T794" s="318"/>
      <c r="AA794" s="299"/>
      <c r="AE794" s="44"/>
      <c r="AF794" s="44"/>
    </row>
    <row r="795" spans="1:32" s="23" customFormat="1" x14ac:dyDescent="0.2">
      <c r="A795" s="128"/>
      <c r="B795" s="62"/>
      <c r="C795" s="175"/>
      <c r="D795" s="165"/>
      <c r="F795" s="165"/>
      <c r="G795" s="165"/>
      <c r="H795" s="265"/>
      <c r="I795" s="265"/>
      <c r="J795" s="165"/>
      <c r="K795" s="165"/>
      <c r="L795" s="165"/>
      <c r="M795" s="202"/>
      <c r="N795" s="516"/>
      <c r="O795" s="516"/>
      <c r="P795" s="516"/>
      <c r="Q795" s="318"/>
      <c r="R795" s="318"/>
      <c r="S795" s="318"/>
      <c r="T795" s="318"/>
      <c r="AA795" s="299"/>
      <c r="AE795" s="44"/>
      <c r="AF795" s="44"/>
    </row>
    <row r="796" spans="1:32" s="20" customFormat="1" x14ac:dyDescent="0.2">
      <c r="A796" s="129"/>
      <c r="B796" s="62"/>
      <c r="C796" s="177"/>
      <c r="D796" s="90"/>
      <c r="F796" s="90"/>
      <c r="G796" s="90"/>
      <c r="H796" s="261"/>
      <c r="I796" s="261"/>
      <c r="J796" s="90"/>
      <c r="K796" s="90"/>
      <c r="L796" s="90"/>
      <c r="M796" s="202"/>
      <c r="N796" s="516"/>
      <c r="O796" s="516"/>
      <c r="P796" s="516"/>
      <c r="Q796" s="318"/>
      <c r="R796" s="318"/>
      <c r="S796" s="318"/>
      <c r="T796" s="318"/>
      <c r="AA796" s="300"/>
    </row>
    <row r="797" spans="1:32" s="20" customFormat="1" x14ac:dyDescent="0.2">
      <c r="A797" s="129"/>
      <c r="B797" s="130"/>
      <c r="C797" s="177"/>
      <c r="D797" s="90"/>
      <c r="F797" s="90"/>
      <c r="G797" s="90"/>
      <c r="H797" s="261"/>
      <c r="I797" s="261"/>
      <c r="J797" s="90"/>
      <c r="K797" s="172"/>
      <c r="L797" s="172"/>
      <c r="M797" s="202"/>
      <c r="N797" s="516"/>
      <c r="O797" s="516"/>
      <c r="P797" s="516"/>
      <c r="Q797" s="318"/>
      <c r="R797" s="318"/>
      <c r="S797" s="318"/>
      <c r="T797" s="318"/>
      <c r="AA797" s="300"/>
    </row>
    <row r="798" spans="1:32" s="20" customFormat="1" x14ac:dyDescent="0.2">
      <c r="A798" s="129"/>
      <c r="B798" s="130"/>
      <c r="C798" s="177"/>
      <c r="D798" s="90"/>
      <c r="F798" s="90"/>
      <c r="G798" s="90"/>
      <c r="H798" s="261"/>
      <c r="I798" s="261"/>
      <c r="J798" s="90"/>
      <c r="K798" s="90"/>
      <c r="L798" s="90"/>
      <c r="M798" s="202"/>
      <c r="N798" s="516"/>
      <c r="O798" s="516"/>
      <c r="P798" s="516"/>
      <c r="Q798" s="318"/>
      <c r="R798" s="318"/>
      <c r="S798" s="318"/>
      <c r="T798" s="318"/>
      <c r="AA798" s="300"/>
    </row>
    <row r="799" spans="1:32" s="20" customFormat="1" x14ac:dyDescent="0.2">
      <c r="A799" s="129"/>
      <c r="B799" s="130"/>
      <c r="C799" s="177"/>
      <c r="D799" s="90"/>
      <c r="F799" s="90"/>
      <c r="G799" s="90"/>
      <c r="H799" s="261"/>
      <c r="I799" s="261"/>
      <c r="J799" s="90"/>
      <c r="K799" s="90"/>
      <c r="L799" s="90"/>
      <c r="M799" s="202"/>
      <c r="N799" s="516"/>
      <c r="O799" s="516"/>
      <c r="P799" s="516"/>
      <c r="Q799" s="318"/>
      <c r="R799" s="318"/>
      <c r="S799" s="318"/>
      <c r="T799" s="318"/>
      <c r="AA799" s="300"/>
    </row>
    <row r="800" spans="1:32" s="20" customFormat="1" x14ac:dyDescent="0.2">
      <c r="A800" s="129"/>
      <c r="B800" s="130"/>
      <c r="C800" s="177"/>
      <c r="D800" s="90"/>
      <c r="F800" s="90"/>
      <c r="G800" s="90"/>
      <c r="H800" s="261"/>
      <c r="I800" s="261"/>
      <c r="J800" s="90"/>
      <c r="K800" s="90"/>
      <c r="L800" s="90"/>
      <c r="M800" s="202"/>
      <c r="N800" s="516"/>
      <c r="O800" s="516"/>
      <c r="P800" s="516"/>
      <c r="Q800" s="318"/>
      <c r="R800" s="318"/>
      <c r="S800" s="318"/>
      <c r="T800" s="318"/>
      <c r="AA800" s="300"/>
    </row>
    <row r="801" spans="1:27" s="20" customFormat="1" x14ac:dyDescent="0.2">
      <c r="A801" s="129"/>
      <c r="B801" s="130"/>
      <c r="C801" s="177"/>
      <c r="D801" s="90"/>
      <c r="F801" s="90"/>
      <c r="G801" s="90"/>
      <c r="H801" s="261"/>
      <c r="I801" s="261"/>
      <c r="J801" s="90"/>
      <c r="K801" s="90"/>
      <c r="L801" s="90"/>
      <c r="M801" s="202"/>
      <c r="N801" s="516"/>
      <c r="O801" s="516"/>
      <c r="P801" s="516"/>
      <c r="Q801" s="318"/>
      <c r="R801" s="318"/>
      <c r="S801" s="318"/>
      <c r="T801" s="318"/>
      <c r="AA801" s="300"/>
    </row>
    <row r="802" spans="1:27" s="20" customFormat="1" x14ac:dyDescent="0.2">
      <c r="A802" s="129"/>
      <c r="B802" s="130"/>
      <c r="C802" s="177"/>
      <c r="D802" s="90"/>
      <c r="F802" s="90"/>
      <c r="G802" s="90"/>
      <c r="H802" s="261"/>
      <c r="I802" s="261"/>
      <c r="J802" s="90"/>
      <c r="K802" s="90"/>
      <c r="L802" s="90"/>
      <c r="M802" s="202"/>
      <c r="N802" s="516"/>
      <c r="O802" s="516"/>
      <c r="P802" s="516"/>
      <c r="Q802" s="318"/>
      <c r="R802" s="318"/>
      <c r="S802" s="318"/>
      <c r="T802" s="318"/>
      <c r="AA802" s="300"/>
    </row>
    <row r="803" spans="1:27" s="20" customFormat="1" x14ac:dyDescent="0.2">
      <c r="A803" s="129"/>
      <c r="B803" s="130"/>
      <c r="C803" s="177"/>
      <c r="D803" s="90"/>
      <c r="F803" s="90"/>
      <c r="G803" s="90"/>
      <c r="H803" s="261"/>
      <c r="I803" s="261"/>
      <c r="J803" s="90"/>
      <c r="K803" s="90"/>
      <c r="L803" s="90"/>
      <c r="M803" s="202"/>
      <c r="N803" s="516"/>
      <c r="O803" s="516"/>
      <c r="P803" s="516"/>
      <c r="Q803" s="318"/>
      <c r="R803" s="318"/>
      <c r="S803" s="318"/>
      <c r="T803" s="318"/>
      <c r="AA803" s="300"/>
    </row>
    <row r="804" spans="1:27" s="20" customFormat="1" x14ac:dyDescent="0.2">
      <c r="A804" s="129"/>
      <c r="B804" s="130"/>
      <c r="C804" s="177"/>
      <c r="D804" s="90"/>
      <c r="F804" s="90"/>
      <c r="G804" s="90"/>
      <c r="H804" s="261"/>
      <c r="I804" s="261"/>
      <c r="J804" s="90"/>
      <c r="K804" s="90"/>
      <c r="L804" s="90"/>
      <c r="M804" s="202"/>
      <c r="N804" s="516"/>
      <c r="O804" s="516"/>
      <c r="P804" s="516"/>
      <c r="Q804" s="318"/>
      <c r="R804" s="318"/>
      <c r="S804" s="318"/>
      <c r="T804" s="318"/>
      <c r="AA804" s="300"/>
    </row>
    <row r="805" spans="1:27" s="20" customFormat="1" x14ac:dyDescent="0.2">
      <c r="A805" s="129"/>
      <c r="B805" s="130"/>
      <c r="C805" s="177"/>
      <c r="D805" s="90"/>
      <c r="F805" s="90"/>
      <c r="G805" s="90"/>
      <c r="H805" s="261"/>
      <c r="I805" s="261"/>
      <c r="J805" s="90"/>
      <c r="K805" s="90"/>
      <c r="L805" s="90"/>
      <c r="M805" s="202"/>
      <c r="N805" s="516"/>
      <c r="O805" s="516"/>
      <c r="P805" s="516"/>
      <c r="Q805" s="318"/>
      <c r="R805" s="318"/>
      <c r="S805" s="318"/>
      <c r="T805" s="318"/>
      <c r="AA805" s="300"/>
    </row>
    <row r="806" spans="1:27" s="20" customFormat="1" x14ac:dyDescent="0.2">
      <c r="A806" s="129"/>
      <c r="B806" s="130"/>
      <c r="C806" s="177"/>
      <c r="D806" s="90"/>
      <c r="F806" s="90"/>
      <c r="G806" s="90"/>
      <c r="H806" s="261"/>
      <c r="I806" s="261"/>
      <c r="J806" s="90"/>
      <c r="K806" s="90"/>
      <c r="L806" s="90"/>
      <c r="M806" s="202"/>
      <c r="N806" s="516"/>
      <c r="O806" s="516"/>
      <c r="P806" s="516"/>
      <c r="Q806" s="318"/>
      <c r="R806" s="318"/>
      <c r="S806" s="318"/>
      <c r="T806" s="318"/>
      <c r="AA806" s="300"/>
    </row>
    <row r="807" spans="1:27" s="20" customFormat="1" x14ac:dyDescent="0.2">
      <c r="A807" s="129"/>
      <c r="B807" s="130"/>
      <c r="C807" s="177"/>
      <c r="D807" s="90"/>
      <c r="F807" s="90"/>
      <c r="G807" s="90"/>
      <c r="H807" s="261"/>
      <c r="I807" s="261"/>
      <c r="J807" s="90"/>
      <c r="K807" s="90"/>
      <c r="L807" s="90"/>
      <c r="M807" s="202"/>
      <c r="N807" s="516"/>
      <c r="O807" s="516"/>
      <c r="P807" s="516"/>
      <c r="Q807" s="318"/>
      <c r="R807" s="318"/>
      <c r="S807" s="318"/>
      <c r="T807" s="318"/>
      <c r="AA807" s="300"/>
    </row>
    <row r="808" spans="1:27" s="20" customFormat="1" x14ac:dyDescent="0.2">
      <c r="A808" s="129"/>
      <c r="B808" s="130"/>
      <c r="C808" s="177"/>
      <c r="D808" s="90"/>
      <c r="F808" s="90"/>
      <c r="G808" s="90"/>
      <c r="H808" s="261"/>
      <c r="I808" s="261"/>
      <c r="J808" s="90"/>
      <c r="K808" s="90"/>
      <c r="L808" s="90"/>
      <c r="M808" s="202"/>
      <c r="N808" s="516"/>
      <c r="O808" s="516"/>
      <c r="P808" s="516"/>
      <c r="Q808" s="318"/>
      <c r="R808" s="318"/>
      <c r="S808" s="318"/>
      <c r="T808" s="318"/>
      <c r="AA808" s="300"/>
    </row>
    <row r="809" spans="1:27" s="20" customFormat="1" x14ac:dyDescent="0.2">
      <c r="A809" s="129"/>
      <c r="B809" s="130"/>
      <c r="C809" s="177"/>
      <c r="D809" s="90"/>
      <c r="E809" s="234"/>
      <c r="F809" s="90"/>
      <c r="G809" s="90"/>
      <c r="H809" s="261"/>
      <c r="I809" s="261"/>
      <c r="J809" s="90"/>
      <c r="K809" s="90"/>
      <c r="L809" s="90"/>
      <c r="M809" s="202"/>
      <c r="N809" s="516"/>
      <c r="O809" s="516"/>
      <c r="P809" s="516"/>
      <c r="Q809" s="318"/>
      <c r="R809" s="318"/>
      <c r="S809" s="318"/>
      <c r="T809" s="318"/>
      <c r="AA809" s="300"/>
    </row>
    <row r="810" spans="1:27" s="20" customFormat="1" x14ac:dyDescent="0.2">
      <c r="A810" s="129"/>
      <c r="B810" s="130"/>
      <c r="C810" s="177"/>
      <c r="D810" s="90"/>
      <c r="F810" s="90"/>
      <c r="G810" s="90"/>
      <c r="H810" s="261"/>
      <c r="I810" s="261"/>
      <c r="J810" s="90"/>
      <c r="K810" s="172"/>
      <c r="L810" s="172"/>
      <c r="M810" s="202"/>
      <c r="N810" s="516"/>
      <c r="O810" s="516"/>
      <c r="P810" s="516"/>
      <c r="Q810" s="318"/>
      <c r="R810" s="318"/>
      <c r="S810" s="318"/>
      <c r="T810" s="318"/>
      <c r="AA810" s="300"/>
    </row>
    <row r="811" spans="1:27" s="20" customFormat="1" x14ac:dyDescent="0.2">
      <c r="A811" s="129"/>
      <c r="B811" s="130"/>
      <c r="C811" s="177"/>
      <c r="D811" s="90"/>
      <c r="F811" s="90"/>
      <c r="G811" s="90"/>
      <c r="H811" s="261"/>
      <c r="I811" s="261"/>
      <c r="J811" s="90"/>
      <c r="K811" s="90"/>
      <c r="L811" s="90"/>
      <c r="M811" s="202"/>
      <c r="N811" s="516"/>
      <c r="O811" s="516"/>
      <c r="P811" s="516"/>
      <c r="Q811" s="318"/>
      <c r="R811" s="318"/>
      <c r="S811" s="318"/>
      <c r="T811" s="318"/>
      <c r="AA811" s="300"/>
    </row>
    <row r="812" spans="1:27" s="20" customFormat="1" x14ac:dyDescent="0.2">
      <c r="A812" s="129"/>
      <c r="B812" s="130"/>
      <c r="C812" s="177"/>
      <c r="D812" s="90"/>
      <c r="F812" s="90"/>
      <c r="G812" s="90"/>
      <c r="H812" s="261"/>
      <c r="I812" s="261"/>
      <c r="J812" s="90"/>
      <c r="K812" s="90"/>
      <c r="L812" s="90"/>
      <c r="M812" s="202"/>
      <c r="N812" s="516"/>
      <c r="O812" s="516"/>
      <c r="P812" s="516"/>
      <c r="Q812" s="318"/>
      <c r="R812" s="318"/>
      <c r="S812" s="318"/>
      <c r="T812" s="318"/>
      <c r="AA812" s="300"/>
    </row>
    <row r="813" spans="1:27" s="20" customFormat="1" x14ac:dyDescent="0.2">
      <c r="A813" s="129"/>
      <c r="B813" s="130"/>
      <c r="C813" s="177"/>
      <c r="D813" s="90"/>
      <c r="F813" s="90"/>
      <c r="G813" s="90"/>
      <c r="H813" s="261"/>
      <c r="I813" s="261"/>
      <c r="J813" s="90"/>
      <c r="K813" s="90"/>
      <c r="L813" s="90"/>
      <c r="M813" s="202"/>
      <c r="N813" s="516"/>
      <c r="O813" s="516"/>
      <c r="P813" s="516"/>
      <c r="Q813" s="318"/>
      <c r="R813" s="318"/>
      <c r="S813" s="318"/>
      <c r="T813" s="318"/>
      <c r="AA813" s="300"/>
    </row>
    <row r="814" spans="1:27" s="20" customFormat="1" x14ac:dyDescent="0.2">
      <c r="A814" s="129"/>
      <c r="B814" s="130"/>
      <c r="C814" s="177"/>
      <c r="D814" s="90"/>
      <c r="F814" s="90"/>
      <c r="G814" s="90"/>
      <c r="H814" s="261"/>
      <c r="I814" s="261"/>
      <c r="J814" s="90"/>
      <c r="K814" s="90"/>
      <c r="L814" s="90"/>
      <c r="M814" s="202"/>
      <c r="N814" s="516"/>
      <c r="O814" s="516"/>
      <c r="P814" s="516"/>
      <c r="Q814" s="318"/>
      <c r="R814" s="318"/>
      <c r="S814" s="318"/>
      <c r="T814" s="318"/>
      <c r="AA814" s="300"/>
    </row>
    <row r="815" spans="1:27" s="20" customFormat="1" x14ac:dyDescent="0.2">
      <c r="A815" s="129"/>
      <c r="B815" s="130"/>
      <c r="C815" s="177"/>
      <c r="D815" s="90"/>
      <c r="F815" s="90"/>
      <c r="G815" s="90"/>
      <c r="H815" s="261"/>
      <c r="I815" s="261"/>
      <c r="J815" s="90"/>
      <c r="K815" s="90"/>
      <c r="L815" s="90"/>
      <c r="M815" s="202"/>
      <c r="N815" s="516"/>
      <c r="O815" s="516"/>
      <c r="P815" s="516"/>
      <c r="Q815" s="318"/>
      <c r="R815" s="318"/>
      <c r="S815" s="318"/>
      <c r="T815" s="318"/>
      <c r="AA815" s="300"/>
    </row>
    <row r="816" spans="1:27" s="20" customFormat="1" x14ac:dyDescent="0.2">
      <c r="A816" s="129"/>
      <c r="B816" s="130"/>
      <c r="C816" s="177"/>
      <c r="D816" s="90"/>
      <c r="F816" s="90"/>
      <c r="G816" s="90"/>
      <c r="H816" s="261"/>
      <c r="I816" s="261"/>
      <c r="J816" s="90"/>
      <c r="K816" s="90"/>
      <c r="L816" s="90"/>
      <c r="M816" s="202"/>
      <c r="N816" s="516"/>
      <c r="O816" s="516"/>
      <c r="P816" s="516"/>
      <c r="Q816" s="318"/>
      <c r="R816" s="318"/>
      <c r="S816" s="318"/>
      <c r="T816" s="318"/>
      <c r="AA816" s="300"/>
    </row>
    <row r="817" spans="1:27" s="20" customFormat="1" x14ac:dyDescent="0.2">
      <c r="A817" s="129"/>
      <c r="B817" s="130"/>
      <c r="C817" s="177"/>
      <c r="D817" s="90"/>
      <c r="F817" s="90"/>
      <c r="G817" s="90"/>
      <c r="H817" s="261"/>
      <c r="I817" s="261"/>
      <c r="J817" s="90"/>
      <c r="K817" s="90"/>
      <c r="L817" s="90"/>
      <c r="M817" s="202"/>
      <c r="N817" s="516"/>
      <c r="O817" s="516"/>
      <c r="P817" s="516"/>
      <c r="Q817" s="318"/>
      <c r="R817" s="318"/>
      <c r="S817" s="318"/>
      <c r="T817" s="318"/>
      <c r="AA817" s="300"/>
    </row>
    <row r="818" spans="1:27" s="20" customFormat="1" x14ac:dyDescent="0.2">
      <c r="A818" s="129"/>
      <c r="B818" s="130"/>
      <c r="C818" s="177"/>
      <c r="D818" s="90"/>
      <c r="F818" s="90"/>
      <c r="G818" s="90"/>
      <c r="H818" s="261"/>
      <c r="I818" s="261"/>
      <c r="J818" s="90"/>
      <c r="K818" s="90"/>
      <c r="L818" s="90"/>
      <c r="M818" s="202"/>
      <c r="N818" s="516"/>
      <c r="O818" s="516"/>
      <c r="P818" s="516"/>
      <c r="Q818" s="318"/>
      <c r="R818" s="318"/>
      <c r="S818" s="318"/>
      <c r="T818" s="318"/>
      <c r="AA818" s="300"/>
    </row>
    <row r="819" spans="1:27" s="20" customFormat="1" x14ac:dyDescent="0.2">
      <c r="A819" s="129"/>
      <c r="B819" s="130"/>
      <c r="C819" s="177"/>
      <c r="D819" s="90"/>
      <c r="F819" s="90"/>
      <c r="G819" s="90"/>
      <c r="H819" s="261"/>
      <c r="I819" s="261"/>
      <c r="J819" s="90"/>
      <c r="K819" s="90"/>
      <c r="L819" s="90"/>
      <c r="M819" s="202"/>
      <c r="N819" s="516"/>
      <c r="O819" s="516"/>
      <c r="P819" s="516"/>
      <c r="Q819" s="318"/>
      <c r="R819" s="318"/>
      <c r="S819" s="318"/>
      <c r="T819" s="318"/>
      <c r="AA819" s="300"/>
    </row>
    <row r="820" spans="1:27" s="20" customFormat="1" x14ac:dyDescent="0.2">
      <c r="A820" s="129"/>
      <c r="B820" s="130"/>
      <c r="C820" s="177"/>
      <c r="D820" s="90"/>
      <c r="F820" s="90"/>
      <c r="G820" s="90"/>
      <c r="H820" s="261"/>
      <c r="I820" s="261"/>
      <c r="J820" s="90"/>
      <c r="K820" s="90"/>
      <c r="L820" s="90"/>
      <c r="M820" s="202"/>
      <c r="N820" s="516"/>
      <c r="O820" s="516"/>
      <c r="P820" s="516"/>
      <c r="Q820" s="318"/>
      <c r="R820" s="318"/>
      <c r="S820" s="318"/>
      <c r="T820" s="318"/>
      <c r="AA820" s="300"/>
    </row>
    <row r="821" spans="1:27" s="20" customFormat="1" x14ac:dyDescent="0.2">
      <c r="A821" s="129"/>
      <c r="B821" s="130"/>
      <c r="C821" s="177"/>
      <c r="D821" s="90"/>
      <c r="F821" s="90"/>
      <c r="G821" s="90"/>
      <c r="H821" s="261"/>
      <c r="I821" s="261"/>
      <c r="J821" s="90"/>
      <c r="K821" s="90"/>
      <c r="L821" s="90"/>
      <c r="M821" s="202"/>
      <c r="N821" s="516"/>
      <c r="O821" s="516"/>
      <c r="P821" s="516"/>
      <c r="Q821" s="318"/>
      <c r="R821" s="318"/>
      <c r="S821" s="318"/>
      <c r="T821" s="318"/>
      <c r="AA821" s="300"/>
    </row>
    <row r="822" spans="1:27" s="20" customFormat="1" x14ac:dyDescent="0.2">
      <c r="A822" s="129"/>
      <c r="B822" s="130"/>
      <c r="C822" s="177"/>
      <c r="D822" s="90"/>
      <c r="F822" s="90"/>
      <c r="G822" s="90"/>
      <c r="H822" s="261"/>
      <c r="I822" s="261"/>
      <c r="J822" s="90"/>
      <c r="K822" s="90"/>
      <c r="L822" s="90"/>
      <c r="M822" s="202"/>
      <c r="N822" s="516"/>
      <c r="O822" s="516"/>
      <c r="P822" s="516"/>
      <c r="Q822" s="318"/>
      <c r="R822" s="318"/>
      <c r="S822" s="318"/>
      <c r="T822" s="318"/>
      <c r="AA822" s="300"/>
    </row>
    <row r="823" spans="1:27" s="20" customFormat="1" x14ac:dyDescent="0.2">
      <c r="A823" s="129"/>
      <c r="B823" s="130"/>
      <c r="C823" s="177"/>
      <c r="D823" s="90"/>
      <c r="F823" s="90"/>
      <c r="G823" s="90"/>
      <c r="H823" s="261"/>
      <c r="I823" s="261"/>
      <c r="J823" s="90"/>
      <c r="K823" s="90"/>
      <c r="L823" s="90"/>
      <c r="M823" s="202"/>
      <c r="N823" s="516"/>
      <c r="O823" s="516"/>
      <c r="P823" s="516"/>
      <c r="Q823" s="318"/>
      <c r="R823" s="318"/>
      <c r="S823" s="318"/>
      <c r="T823" s="318"/>
      <c r="AA823" s="300"/>
    </row>
    <row r="824" spans="1:27" s="20" customFormat="1" x14ac:dyDescent="0.2">
      <c r="A824" s="129"/>
      <c r="B824" s="130"/>
      <c r="C824" s="177"/>
      <c r="D824" s="90"/>
      <c r="F824" s="90"/>
      <c r="G824" s="90"/>
      <c r="H824" s="261"/>
      <c r="I824" s="261"/>
      <c r="J824" s="90"/>
      <c r="K824" s="172"/>
      <c r="L824" s="172"/>
      <c r="M824" s="202"/>
      <c r="N824" s="516"/>
      <c r="O824" s="516"/>
      <c r="P824" s="516"/>
      <c r="Q824" s="318"/>
      <c r="R824" s="318"/>
      <c r="S824" s="318"/>
      <c r="T824" s="318"/>
      <c r="AA824" s="300"/>
    </row>
    <row r="825" spans="1:27" s="20" customFormat="1" x14ac:dyDescent="0.2">
      <c r="A825" s="129"/>
      <c r="B825" s="130"/>
      <c r="C825" s="177"/>
      <c r="D825" s="90"/>
      <c r="F825" s="90"/>
      <c r="G825" s="90"/>
      <c r="H825" s="261"/>
      <c r="I825" s="261"/>
      <c r="J825" s="90"/>
      <c r="K825" s="90"/>
      <c r="L825" s="90"/>
      <c r="M825" s="202"/>
      <c r="N825" s="516"/>
      <c r="O825" s="516"/>
      <c r="P825" s="516"/>
      <c r="Q825" s="318"/>
      <c r="R825" s="318"/>
      <c r="S825" s="318"/>
      <c r="T825" s="318"/>
      <c r="AA825" s="300"/>
    </row>
    <row r="826" spans="1:27" s="20" customFormat="1" x14ac:dyDescent="0.2">
      <c r="A826" s="129"/>
      <c r="B826" s="130"/>
      <c r="C826" s="177"/>
      <c r="D826" s="90"/>
      <c r="F826" s="90"/>
      <c r="G826" s="90"/>
      <c r="H826" s="261"/>
      <c r="I826" s="261"/>
      <c r="J826" s="90"/>
      <c r="K826" s="90"/>
      <c r="L826" s="90"/>
      <c r="M826" s="202"/>
      <c r="N826" s="516"/>
      <c r="O826" s="516"/>
      <c r="P826" s="516"/>
      <c r="Q826" s="318"/>
      <c r="R826" s="318"/>
      <c r="S826" s="318"/>
      <c r="T826" s="318"/>
      <c r="AA826" s="300"/>
    </row>
    <row r="827" spans="1:27" s="20" customFormat="1" x14ac:dyDescent="0.2">
      <c r="A827" s="129"/>
      <c r="B827" s="130"/>
      <c r="C827" s="177"/>
      <c r="D827" s="90"/>
      <c r="F827" s="90"/>
      <c r="G827" s="90"/>
      <c r="H827" s="261"/>
      <c r="I827" s="261"/>
      <c r="J827" s="90"/>
      <c r="K827" s="90"/>
      <c r="L827" s="90"/>
      <c r="M827" s="202"/>
      <c r="N827" s="516"/>
      <c r="O827" s="516"/>
      <c r="P827" s="516"/>
      <c r="Q827" s="318"/>
      <c r="R827" s="318"/>
      <c r="S827" s="318"/>
      <c r="T827" s="318"/>
      <c r="AA827" s="300"/>
    </row>
    <row r="828" spans="1:27" s="20" customFormat="1" x14ac:dyDescent="0.2">
      <c r="A828" s="129"/>
      <c r="B828" s="130"/>
      <c r="C828" s="177"/>
      <c r="D828" s="90"/>
      <c r="F828" s="90"/>
      <c r="G828" s="90"/>
      <c r="H828" s="261"/>
      <c r="I828" s="261"/>
      <c r="J828" s="90"/>
      <c r="K828" s="90"/>
      <c r="L828" s="90"/>
      <c r="M828" s="202"/>
      <c r="N828" s="516"/>
      <c r="O828" s="516"/>
      <c r="P828" s="516"/>
      <c r="Q828" s="318"/>
      <c r="R828" s="318"/>
      <c r="S828" s="318"/>
      <c r="T828" s="318"/>
      <c r="AA828" s="300"/>
    </row>
    <row r="829" spans="1:27" s="20" customFormat="1" x14ac:dyDescent="0.2">
      <c r="A829" s="129"/>
      <c r="B829" s="130"/>
      <c r="C829" s="177"/>
      <c r="D829" s="90"/>
      <c r="F829" s="90"/>
      <c r="G829" s="90"/>
      <c r="H829" s="261"/>
      <c r="I829" s="261"/>
      <c r="J829" s="90"/>
      <c r="K829" s="90"/>
      <c r="L829" s="90"/>
      <c r="M829" s="202"/>
      <c r="N829" s="516"/>
      <c r="O829" s="516"/>
      <c r="P829" s="516"/>
      <c r="Q829" s="318"/>
      <c r="R829" s="318"/>
      <c r="S829" s="318"/>
      <c r="T829" s="318"/>
      <c r="AA829" s="300"/>
    </row>
    <row r="830" spans="1:27" s="20" customFormat="1" x14ac:dyDescent="0.2">
      <c r="A830" s="129"/>
      <c r="B830" s="130"/>
      <c r="C830" s="177"/>
      <c r="D830" s="90"/>
      <c r="F830" s="90"/>
      <c r="G830" s="90"/>
      <c r="H830" s="261"/>
      <c r="I830" s="261"/>
      <c r="J830" s="90"/>
      <c r="K830" s="90"/>
      <c r="L830" s="90"/>
      <c r="M830" s="202"/>
      <c r="N830" s="516"/>
      <c r="O830" s="516"/>
      <c r="P830" s="516"/>
      <c r="Q830" s="318"/>
      <c r="R830" s="318"/>
      <c r="S830" s="318"/>
      <c r="T830" s="318"/>
      <c r="AA830" s="300"/>
    </row>
    <row r="831" spans="1:27" s="20" customFormat="1" x14ac:dyDescent="0.2">
      <c r="A831" s="129"/>
      <c r="B831" s="130"/>
      <c r="C831" s="177"/>
      <c r="D831" s="90"/>
      <c r="F831" s="90"/>
      <c r="G831" s="90"/>
      <c r="H831" s="261"/>
      <c r="I831" s="261"/>
      <c r="J831" s="90"/>
      <c r="K831" s="90"/>
      <c r="L831" s="90"/>
      <c r="M831" s="202"/>
      <c r="N831" s="516"/>
      <c r="O831" s="516"/>
      <c r="P831" s="516"/>
      <c r="Q831" s="318"/>
      <c r="R831" s="318"/>
      <c r="S831" s="318"/>
      <c r="T831" s="318"/>
      <c r="AA831" s="300"/>
    </row>
    <row r="832" spans="1:27" s="20" customFormat="1" x14ac:dyDescent="0.2">
      <c r="A832" s="129"/>
      <c r="B832" s="130"/>
      <c r="C832" s="177"/>
      <c r="D832" s="90"/>
      <c r="F832" s="90"/>
      <c r="G832" s="90"/>
      <c r="H832" s="261"/>
      <c r="I832" s="261"/>
      <c r="J832" s="90"/>
      <c r="K832" s="90"/>
      <c r="L832" s="90"/>
      <c r="M832" s="202"/>
      <c r="N832" s="516"/>
      <c r="O832" s="516"/>
      <c r="P832" s="516"/>
      <c r="Q832" s="318"/>
      <c r="R832" s="318"/>
      <c r="S832" s="318"/>
      <c r="T832" s="318"/>
      <c r="AA832" s="300"/>
    </row>
    <row r="833" spans="1:32" s="20" customFormat="1" x14ac:dyDescent="0.2">
      <c r="A833" s="129"/>
      <c r="B833" s="130"/>
      <c r="C833" s="177"/>
      <c r="D833" s="90"/>
      <c r="F833" s="90"/>
      <c r="G833" s="90"/>
      <c r="H833" s="261"/>
      <c r="I833" s="261"/>
      <c r="J833" s="90"/>
      <c r="K833" s="90"/>
      <c r="L833" s="90"/>
      <c r="M833" s="202"/>
      <c r="N833" s="516"/>
      <c r="O833" s="516"/>
      <c r="P833" s="516"/>
      <c r="Q833" s="318"/>
      <c r="R833" s="318"/>
      <c r="S833" s="318"/>
      <c r="T833" s="318"/>
      <c r="AA833" s="300"/>
    </row>
    <row r="834" spans="1:32" s="20" customFormat="1" x14ac:dyDescent="0.2">
      <c r="A834" s="129"/>
      <c r="B834" s="130"/>
      <c r="C834" s="177"/>
      <c r="D834" s="90"/>
      <c r="F834" s="90"/>
      <c r="G834" s="90"/>
      <c r="H834" s="261"/>
      <c r="I834" s="261"/>
      <c r="J834" s="90"/>
      <c r="K834" s="90"/>
      <c r="L834" s="90"/>
      <c r="M834" s="202"/>
      <c r="N834" s="516"/>
      <c r="O834" s="516"/>
      <c r="P834" s="516"/>
      <c r="Q834" s="318"/>
      <c r="R834" s="318"/>
      <c r="S834" s="318"/>
      <c r="T834" s="318"/>
      <c r="AA834" s="300"/>
    </row>
    <row r="835" spans="1:32" s="20" customFormat="1" x14ac:dyDescent="0.2">
      <c r="A835" s="129"/>
      <c r="B835" s="130"/>
      <c r="C835" s="177"/>
      <c r="D835" s="90"/>
      <c r="E835" s="1"/>
      <c r="F835" s="90"/>
      <c r="G835" s="90"/>
      <c r="H835" s="261"/>
      <c r="I835" s="261"/>
      <c r="J835" s="90"/>
      <c r="K835" s="90"/>
      <c r="L835" s="90"/>
      <c r="M835" s="202"/>
      <c r="N835" s="516"/>
      <c r="O835" s="516"/>
      <c r="P835" s="516"/>
      <c r="Q835" s="318"/>
      <c r="R835" s="318"/>
      <c r="S835" s="318"/>
      <c r="T835" s="318"/>
      <c r="AA835" s="300"/>
    </row>
    <row r="836" spans="1:32" s="20" customFormat="1" x14ac:dyDescent="0.2">
      <c r="A836" s="129"/>
      <c r="B836" s="130"/>
      <c r="C836" s="177"/>
      <c r="D836" s="90"/>
      <c r="E836" s="1"/>
      <c r="F836" s="90"/>
      <c r="G836" s="90"/>
      <c r="H836" s="261"/>
      <c r="I836" s="261"/>
      <c r="J836" s="90"/>
      <c r="K836" s="90"/>
      <c r="L836" s="90"/>
      <c r="M836" s="202"/>
      <c r="N836" s="516"/>
      <c r="O836" s="516"/>
      <c r="P836" s="516"/>
      <c r="Q836" s="318"/>
      <c r="R836" s="318"/>
      <c r="S836" s="318"/>
      <c r="T836" s="318"/>
      <c r="AA836" s="300"/>
    </row>
    <row r="837" spans="1:32" s="2" customFormat="1" x14ac:dyDescent="0.2">
      <c r="A837" s="129"/>
      <c r="B837" s="130"/>
      <c r="C837" s="178"/>
      <c r="D837" s="179"/>
      <c r="E837" s="1"/>
      <c r="F837" s="179"/>
      <c r="G837" s="179"/>
      <c r="H837" s="266"/>
      <c r="I837" s="266"/>
      <c r="J837" s="179"/>
      <c r="K837" s="172"/>
      <c r="L837" s="172"/>
      <c r="M837" s="203"/>
      <c r="N837" s="520"/>
      <c r="O837" s="520"/>
      <c r="P837" s="520"/>
      <c r="Q837" s="375"/>
      <c r="R837" s="375"/>
      <c r="S837" s="375"/>
      <c r="T837" s="375"/>
      <c r="U837" s="73"/>
      <c r="V837" s="74"/>
      <c r="W837" s="74"/>
      <c r="X837" s="73"/>
      <c r="Y837" s="74"/>
      <c r="Z837" s="74"/>
      <c r="AA837" s="300"/>
      <c r="AE837" s="72"/>
      <c r="AF837" s="72"/>
    </row>
    <row r="838" spans="1:32" x14ac:dyDescent="0.2">
      <c r="A838" s="62"/>
      <c r="B838" s="62"/>
      <c r="C838" s="177"/>
      <c r="D838" s="90"/>
      <c r="E838" s="1"/>
      <c r="F838" s="90"/>
      <c r="G838" s="90"/>
      <c r="H838" s="261"/>
      <c r="I838" s="261"/>
      <c r="J838" s="90"/>
      <c r="M838" s="203"/>
      <c r="N838" s="515"/>
      <c r="O838" s="515"/>
      <c r="P838" s="515"/>
      <c r="Q838" s="371"/>
      <c r="R838" s="371"/>
      <c r="S838" s="371"/>
      <c r="T838" s="371"/>
      <c r="U838" s="71"/>
      <c r="V838" s="70"/>
      <c r="W838" s="70"/>
      <c r="X838" s="71"/>
      <c r="Y838" s="70"/>
      <c r="Z838" s="70"/>
    </row>
    <row r="839" spans="1:32" x14ac:dyDescent="0.2">
      <c r="A839" s="62"/>
      <c r="B839" s="62"/>
      <c r="C839" s="177"/>
      <c r="D839" s="90"/>
      <c r="E839" s="1"/>
      <c r="F839" s="90"/>
      <c r="G839" s="90"/>
      <c r="H839" s="261"/>
      <c r="I839" s="261"/>
      <c r="J839" s="90"/>
      <c r="M839" s="203"/>
      <c r="N839" s="515"/>
      <c r="O839" s="515"/>
      <c r="P839" s="515"/>
      <c r="Q839" s="371"/>
      <c r="R839" s="371"/>
      <c r="S839" s="371"/>
      <c r="T839" s="371"/>
      <c r="U839" s="71"/>
      <c r="V839" s="70"/>
      <c r="W839" s="70"/>
      <c r="X839" s="71"/>
      <c r="Y839" s="70"/>
      <c r="Z839" s="70"/>
    </row>
    <row r="840" spans="1:32" x14ac:dyDescent="0.2">
      <c r="A840" s="62"/>
      <c r="B840" s="62"/>
      <c r="C840" s="177"/>
      <c r="D840" s="90"/>
      <c r="E840" s="1"/>
      <c r="F840" s="90"/>
      <c r="G840" s="90"/>
      <c r="H840" s="261"/>
      <c r="I840" s="261"/>
      <c r="J840" s="90"/>
      <c r="M840" s="203"/>
      <c r="N840" s="515"/>
      <c r="O840" s="515"/>
      <c r="P840" s="515"/>
      <c r="Q840" s="371"/>
      <c r="R840" s="371"/>
      <c r="S840" s="371"/>
      <c r="T840" s="371"/>
      <c r="U840" s="71"/>
      <c r="V840" s="70"/>
      <c r="W840" s="70"/>
      <c r="X840" s="71"/>
      <c r="Y840" s="70"/>
      <c r="Z840" s="70"/>
    </row>
    <row r="841" spans="1:32" x14ac:dyDescent="0.2">
      <c r="A841" s="62"/>
      <c r="B841" s="62"/>
      <c r="C841" s="177"/>
      <c r="D841" s="90"/>
      <c r="E841" s="1"/>
      <c r="F841" s="90"/>
      <c r="G841" s="90"/>
      <c r="H841" s="261"/>
      <c r="I841" s="261"/>
      <c r="J841" s="90"/>
      <c r="U841" s="71"/>
      <c r="V841" s="70"/>
      <c r="W841" s="70"/>
      <c r="X841" s="71"/>
      <c r="Y841" s="70"/>
      <c r="Z841" s="70"/>
    </row>
    <row r="842" spans="1:32" x14ac:dyDescent="0.2">
      <c r="A842" s="62"/>
      <c r="B842" s="62"/>
      <c r="C842" s="177"/>
      <c r="D842" s="90"/>
      <c r="E842" s="1"/>
      <c r="F842" s="90"/>
      <c r="G842" s="90"/>
      <c r="H842" s="261"/>
      <c r="I842" s="261"/>
      <c r="J842" s="90"/>
      <c r="U842" s="71"/>
      <c r="V842" s="70"/>
      <c r="W842" s="70"/>
      <c r="X842" s="71"/>
      <c r="Y842" s="70"/>
      <c r="Z842" s="70"/>
    </row>
    <row r="843" spans="1:32" x14ac:dyDescent="0.2">
      <c r="A843" s="62"/>
      <c r="B843" s="62"/>
      <c r="C843" s="177"/>
      <c r="D843" s="90"/>
      <c r="E843" s="1"/>
      <c r="F843" s="90"/>
      <c r="G843" s="90"/>
      <c r="H843" s="261"/>
      <c r="I843" s="261"/>
      <c r="J843" s="90"/>
      <c r="U843" s="71"/>
      <c r="V843" s="70"/>
      <c r="W843" s="70"/>
      <c r="X843" s="71"/>
      <c r="Y843" s="70"/>
      <c r="Z843" s="70"/>
    </row>
    <row r="844" spans="1:32" x14ac:dyDescent="0.2">
      <c r="A844" s="62"/>
      <c r="B844" s="62"/>
      <c r="C844" s="177"/>
      <c r="D844" s="90"/>
      <c r="E844" s="1"/>
      <c r="F844" s="90"/>
      <c r="G844" s="90"/>
      <c r="H844" s="261"/>
      <c r="I844" s="261"/>
      <c r="J844" s="90"/>
      <c r="K844" s="172"/>
      <c r="L844" s="172"/>
      <c r="U844" s="71"/>
      <c r="V844" s="70"/>
      <c r="W844" s="70"/>
      <c r="X844" s="71"/>
      <c r="Y844" s="70"/>
      <c r="Z844" s="70"/>
    </row>
    <row r="845" spans="1:32" x14ac:dyDescent="0.2">
      <c r="A845" s="62"/>
      <c r="B845" s="62"/>
      <c r="C845" s="177"/>
      <c r="D845" s="90"/>
      <c r="E845" s="1"/>
      <c r="F845" s="90"/>
      <c r="G845" s="90"/>
      <c r="H845" s="261"/>
      <c r="I845" s="261"/>
      <c r="J845" s="90"/>
      <c r="U845" s="71"/>
      <c r="V845" s="70"/>
      <c r="W845" s="70"/>
      <c r="X845" s="71"/>
      <c r="Y845" s="70"/>
      <c r="Z845" s="70"/>
    </row>
    <row r="846" spans="1:32" x14ac:dyDescent="0.2">
      <c r="A846" s="62"/>
      <c r="B846" s="62"/>
      <c r="C846" s="177"/>
      <c r="D846" s="90"/>
      <c r="E846" s="1"/>
      <c r="F846" s="90"/>
      <c r="G846" s="90"/>
      <c r="H846" s="261"/>
      <c r="I846" s="261"/>
      <c r="J846" s="90"/>
      <c r="U846" s="71"/>
      <c r="V846" s="70"/>
      <c r="W846" s="70"/>
      <c r="X846" s="71"/>
      <c r="Y846" s="70"/>
      <c r="Z846" s="70"/>
    </row>
    <row r="847" spans="1:32" x14ac:dyDescent="0.2">
      <c r="A847" s="62"/>
      <c r="B847" s="62"/>
      <c r="C847" s="177"/>
      <c r="D847" s="90"/>
      <c r="E847" s="1"/>
      <c r="F847" s="90"/>
      <c r="G847" s="90"/>
      <c r="H847" s="261"/>
      <c r="I847" s="261"/>
      <c r="J847" s="90"/>
      <c r="U847" s="71"/>
      <c r="V847" s="70"/>
      <c r="W847" s="70"/>
      <c r="X847" s="71"/>
      <c r="Y847" s="70"/>
      <c r="Z847" s="70"/>
    </row>
    <row r="848" spans="1:32" x14ac:dyDescent="0.2">
      <c r="A848" s="62"/>
      <c r="B848" s="62"/>
      <c r="C848" s="177"/>
      <c r="D848" s="90"/>
      <c r="E848" s="1"/>
      <c r="F848" s="90"/>
      <c r="G848" s="90"/>
      <c r="H848" s="261"/>
      <c r="I848" s="261"/>
      <c r="J848" s="90"/>
      <c r="U848" s="71"/>
      <c r="V848" s="70"/>
      <c r="W848" s="70"/>
      <c r="X848" s="71"/>
      <c r="Y848" s="70"/>
      <c r="Z848" s="70"/>
    </row>
    <row r="849" spans="1:26" x14ac:dyDescent="0.2">
      <c r="A849" s="62"/>
      <c r="B849" s="62"/>
      <c r="C849" s="177"/>
      <c r="D849" s="90"/>
      <c r="E849" s="1"/>
      <c r="F849" s="90"/>
      <c r="G849" s="90"/>
      <c r="H849" s="261"/>
      <c r="I849" s="261"/>
      <c r="J849" s="90"/>
      <c r="U849" s="71"/>
      <c r="V849" s="70"/>
      <c r="W849" s="70"/>
      <c r="X849" s="71"/>
      <c r="Y849" s="70"/>
      <c r="Z849" s="70"/>
    </row>
    <row r="850" spans="1:26" x14ac:dyDescent="0.2">
      <c r="A850" s="62"/>
      <c r="B850" s="62"/>
      <c r="C850" s="177"/>
      <c r="D850" s="90"/>
      <c r="E850" s="1"/>
      <c r="F850" s="90"/>
      <c r="G850" s="90"/>
      <c r="H850" s="261"/>
      <c r="I850" s="261"/>
      <c r="J850" s="90"/>
      <c r="U850" s="71"/>
      <c r="V850" s="70"/>
      <c r="W850" s="70"/>
      <c r="X850" s="71"/>
      <c r="Y850" s="70"/>
      <c r="Z850" s="70"/>
    </row>
    <row r="851" spans="1:26" x14ac:dyDescent="0.2">
      <c r="A851" s="62"/>
      <c r="B851" s="62"/>
      <c r="C851" s="177"/>
      <c r="D851" s="90"/>
      <c r="E851" s="1"/>
      <c r="F851" s="90"/>
      <c r="G851" s="90"/>
      <c r="H851" s="261"/>
      <c r="I851" s="261"/>
      <c r="J851" s="90"/>
      <c r="K851" s="172"/>
      <c r="L851" s="172"/>
      <c r="U851" s="71"/>
      <c r="V851" s="70"/>
      <c r="W851" s="70"/>
      <c r="X851" s="71"/>
      <c r="Y851" s="70"/>
      <c r="Z851" s="70"/>
    </row>
    <row r="852" spans="1:26" x14ac:dyDescent="0.2">
      <c r="A852" s="62"/>
      <c r="B852" s="62"/>
      <c r="C852" s="177"/>
      <c r="D852" s="90"/>
      <c r="E852" s="1"/>
      <c r="F852" s="90"/>
      <c r="G852" s="90"/>
      <c r="H852" s="261"/>
      <c r="I852" s="261"/>
      <c r="J852" s="90"/>
      <c r="U852" s="71"/>
      <c r="V852" s="70"/>
      <c r="W852" s="70"/>
      <c r="X852" s="71"/>
      <c r="Y852" s="70"/>
      <c r="Z852" s="70"/>
    </row>
    <row r="853" spans="1:26" x14ac:dyDescent="0.2">
      <c r="A853" s="62"/>
      <c r="B853" s="62"/>
      <c r="C853" s="177"/>
      <c r="D853" s="90"/>
      <c r="E853" s="1"/>
      <c r="F853" s="90"/>
      <c r="G853" s="90"/>
      <c r="H853" s="261"/>
      <c r="I853" s="261"/>
      <c r="J853" s="90"/>
      <c r="U853" s="71"/>
      <c r="V853" s="70"/>
      <c r="W853" s="70"/>
      <c r="X853" s="71"/>
      <c r="Y853" s="70"/>
      <c r="Z853" s="70"/>
    </row>
    <row r="854" spans="1:26" x14ac:dyDescent="0.2">
      <c r="A854" s="62"/>
      <c r="B854" s="62"/>
      <c r="C854" s="177"/>
      <c r="D854" s="90"/>
      <c r="E854" s="1"/>
      <c r="F854" s="90"/>
      <c r="G854" s="90"/>
      <c r="H854" s="261"/>
      <c r="I854" s="261"/>
      <c r="J854" s="90"/>
      <c r="U854" s="71"/>
      <c r="V854" s="70"/>
      <c r="W854" s="70"/>
      <c r="X854" s="71"/>
      <c r="Y854" s="70"/>
      <c r="Z854" s="70"/>
    </row>
    <row r="855" spans="1:26" x14ac:dyDescent="0.2">
      <c r="A855" s="62"/>
      <c r="B855" s="62"/>
      <c r="C855" s="177"/>
      <c r="D855" s="90"/>
      <c r="E855" s="1"/>
      <c r="F855" s="90"/>
      <c r="G855" s="90"/>
      <c r="H855" s="261"/>
      <c r="I855" s="261"/>
      <c r="J855" s="90"/>
      <c r="U855" s="71"/>
      <c r="V855" s="70"/>
      <c r="W855" s="70"/>
      <c r="X855" s="71"/>
      <c r="Y855" s="70"/>
      <c r="Z855" s="70"/>
    </row>
    <row r="856" spans="1:26" x14ac:dyDescent="0.2">
      <c r="A856" s="62"/>
      <c r="B856" s="62"/>
      <c r="C856" s="177"/>
      <c r="D856" s="90"/>
      <c r="E856" s="1"/>
      <c r="F856" s="90"/>
      <c r="G856" s="90"/>
      <c r="H856" s="261"/>
      <c r="I856" s="261"/>
      <c r="J856" s="90"/>
      <c r="U856" s="71"/>
      <c r="V856" s="70"/>
      <c r="W856" s="70"/>
      <c r="X856" s="71"/>
      <c r="Y856" s="70"/>
      <c r="Z856" s="70"/>
    </row>
    <row r="857" spans="1:26" x14ac:dyDescent="0.2">
      <c r="A857" s="62"/>
      <c r="B857" s="62"/>
      <c r="C857" s="177"/>
      <c r="D857" s="90"/>
      <c r="E857" s="1"/>
      <c r="F857" s="90"/>
      <c r="G857" s="90"/>
      <c r="H857" s="261"/>
      <c r="I857" s="261"/>
      <c r="J857" s="90"/>
      <c r="U857" s="71"/>
      <c r="V857" s="70"/>
      <c r="W857" s="70"/>
      <c r="X857" s="71"/>
      <c r="Y857" s="70"/>
      <c r="Z857" s="70"/>
    </row>
    <row r="858" spans="1:26" x14ac:dyDescent="0.2">
      <c r="A858" s="62"/>
      <c r="B858" s="62"/>
      <c r="C858" s="177"/>
      <c r="D858" s="90"/>
      <c r="E858" s="1"/>
      <c r="F858" s="90"/>
      <c r="G858" s="90"/>
      <c r="H858" s="261"/>
      <c r="I858" s="261"/>
      <c r="J858" s="90"/>
      <c r="U858" s="71"/>
      <c r="V858" s="70"/>
      <c r="W858" s="70"/>
      <c r="X858" s="71"/>
      <c r="Y858" s="70"/>
      <c r="Z858" s="70"/>
    </row>
    <row r="859" spans="1:26" x14ac:dyDescent="0.2">
      <c r="A859" s="62"/>
      <c r="B859" s="62"/>
      <c r="C859" s="177"/>
      <c r="D859" s="90"/>
      <c r="E859" s="1"/>
      <c r="F859" s="90"/>
      <c r="G859" s="90"/>
      <c r="H859" s="261"/>
      <c r="I859" s="261"/>
      <c r="J859" s="90"/>
      <c r="U859" s="71"/>
      <c r="V859" s="70"/>
      <c r="W859" s="70"/>
      <c r="X859" s="71"/>
      <c r="Y859" s="70"/>
      <c r="Z859" s="70"/>
    </row>
    <row r="860" spans="1:26" x14ac:dyDescent="0.2">
      <c r="A860" s="62"/>
      <c r="B860" s="62"/>
      <c r="C860" s="177"/>
      <c r="D860" s="90"/>
      <c r="E860" s="1"/>
      <c r="F860" s="90"/>
      <c r="G860" s="90"/>
      <c r="H860" s="261"/>
      <c r="I860" s="261"/>
      <c r="J860" s="90"/>
      <c r="U860" s="71"/>
      <c r="V860" s="70"/>
      <c r="W860" s="70"/>
      <c r="X860" s="71"/>
      <c r="Y860" s="70"/>
      <c r="Z860" s="70"/>
    </row>
    <row r="861" spans="1:26" x14ac:dyDescent="0.2">
      <c r="A861" s="62"/>
      <c r="B861" s="62"/>
      <c r="C861" s="177"/>
      <c r="D861" s="90"/>
      <c r="E861" s="1"/>
      <c r="F861" s="90"/>
      <c r="G861" s="90"/>
      <c r="H861" s="261"/>
      <c r="I861" s="261"/>
      <c r="J861" s="90"/>
      <c r="U861" s="71"/>
      <c r="V861" s="70"/>
      <c r="W861" s="70"/>
      <c r="X861" s="71"/>
      <c r="Y861" s="70"/>
      <c r="Z861" s="70"/>
    </row>
    <row r="862" spans="1:26" x14ac:dyDescent="0.2">
      <c r="A862" s="62"/>
      <c r="B862" s="62"/>
      <c r="C862" s="177"/>
      <c r="D862" s="90"/>
      <c r="E862" s="1"/>
      <c r="F862" s="90"/>
      <c r="G862" s="90"/>
      <c r="H862" s="261"/>
      <c r="I862" s="261"/>
      <c r="J862" s="90"/>
      <c r="U862" s="71"/>
      <c r="V862" s="70"/>
      <c r="W862" s="70"/>
      <c r="X862" s="71"/>
      <c r="Y862" s="70"/>
      <c r="Z862" s="70"/>
    </row>
    <row r="863" spans="1:26" x14ac:dyDescent="0.2">
      <c r="A863" s="62"/>
      <c r="B863" s="62"/>
      <c r="C863" s="177"/>
      <c r="D863" s="90"/>
      <c r="E863" s="55"/>
      <c r="F863" s="90"/>
      <c r="G863" s="90"/>
      <c r="H863" s="261"/>
      <c r="I863" s="261"/>
      <c r="J863" s="90"/>
      <c r="K863" s="172"/>
      <c r="L863" s="172"/>
      <c r="U863" s="71"/>
      <c r="V863" s="70"/>
      <c r="W863" s="70"/>
      <c r="X863" s="71"/>
      <c r="Y863" s="70"/>
      <c r="Z863" s="70"/>
    </row>
    <row r="864" spans="1:26" x14ac:dyDescent="0.2">
      <c r="A864" s="62"/>
      <c r="B864" s="62"/>
      <c r="C864" s="177"/>
      <c r="D864" s="90"/>
      <c r="E864" s="1"/>
      <c r="F864" s="90"/>
      <c r="G864" s="90"/>
      <c r="H864" s="261"/>
      <c r="I864" s="261"/>
      <c r="J864" s="90"/>
      <c r="U864" s="71"/>
      <c r="V864" s="70"/>
      <c r="W864" s="70"/>
      <c r="X864" s="71"/>
      <c r="Y864" s="70"/>
      <c r="Z864" s="70"/>
    </row>
    <row r="865" spans="1:32" x14ac:dyDescent="0.2">
      <c r="A865" s="62"/>
      <c r="B865" s="62"/>
      <c r="C865" s="177"/>
      <c r="D865" s="90"/>
      <c r="E865" s="1"/>
      <c r="F865" s="90"/>
      <c r="G865" s="90"/>
      <c r="H865" s="261"/>
      <c r="I865" s="261"/>
      <c r="J865" s="90"/>
      <c r="U865" s="71"/>
      <c r="V865" s="70"/>
      <c r="W865" s="70"/>
      <c r="X865" s="71"/>
      <c r="Y865" s="70"/>
      <c r="Z865" s="70"/>
    </row>
    <row r="866" spans="1:32" x14ac:dyDescent="0.2">
      <c r="A866" s="62"/>
      <c r="B866" s="62"/>
      <c r="C866" s="177"/>
      <c r="D866" s="90"/>
      <c r="E866" s="1"/>
      <c r="F866" s="90"/>
      <c r="G866" s="90"/>
      <c r="H866" s="261"/>
      <c r="I866" s="261"/>
      <c r="J866" s="90"/>
      <c r="U866" s="71"/>
      <c r="V866" s="70"/>
      <c r="W866" s="70"/>
      <c r="X866" s="71"/>
      <c r="Y866" s="70"/>
      <c r="Z866" s="70"/>
    </row>
    <row r="867" spans="1:32" x14ac:dyDescent="0.2">
      <c r="A867" s="62"/>
      <c r="B867" s="62"/>
      <c r="C867" s="177"/>
      <c r="D867" s="90"/>
      <c r="E867" s="1"/>
      <c r="F867" s="90"/>
      <c r="G867" s="90"/>
      <c r="H867" s="261"/>
      <c r="I867" s="261"/>
      <c r="J867" s="90"/>
      <c r="U867" s="71"/>
      <c r="V867" s="70"/>
      <c r="W867" s="70"/>
      <c r="X867" s="71"/>
      <c r="Y867" s="70"/>
      <c r="Z867" s="70"/>
    </row>
    <row r="868" spans="1:32" x14ac:dyDescent="0.2">
      <c r="A868" s="62"/>
      <c r="B868" s="62"/>
      <c r="C868" s="177"/>
      <c r="D868" s="90"/>
      <c r="E868" s="1"/>
      <c r="F868" s="90"/>
      <c r="G868" s="90"/>
      <c r="H868" s="261"/>
      <c r="I868" s="261"/>
      <c r="J868" s="90"/>
      <c r="U868" s="71"/>
      <c r="V868" s="70"/>
      <c r="W868" s="70"/>
      <c r="X868" s="71"/>
      <c r="Y868" s="70"/>
      <c r="Z868" s="70"/>
    </row>
    <row r="869" spans="1:32" x14ac:dyDescent="0.2">
      <c r="A869" s="62"/>
      <c r="B869" s="62"/>
      <c r="C869" s="177"/>
      <c r="D869" s="90"/>
      <c r="E869" s="1"/>
      <c r="F869" s="90"/>
      <c r="G869" s="90"/>
      <c r="H869" s="261"/>
      <c r="I869" s="261"/>
      <c r="J869" s="90"/>
      <c r="U869" s="71"/>
      <c r="V869" s="70"/>
      <c r="W869" s="70"/>
      <c r="X869" s="71"/>
      <c r="Y869" s="70"/>
      <c r="Z869" s="70"/>
    </row>
    <row r="870" spans="1:32" x14ac:dyDescent="0.2">
      <c r="A870" s="62"/>
      <c r="B870" s="62"/>
      <c r="C870" s="177"/>
      <c r="D870" s="90"/>
      <c r="E870" s="1"/>
      <c r="F870" s="90"/>
      <c r="G870" s="90"/>
      <c r="H870" s="261"/>
      <c r="I870" s="261"/>
      <c r="J870" s="90"/>
      <c r="U870" s="71"/>
      <c r="V870" s="70"/>
      <c r="W870" s="70"/>
      <c r="X870" s="71"/>
      <c r="Y870" s="70"/>
      <c r="Z870" s="70"/>
    </row>
    <row r="871" spans="1:32" x14ac:dyDescent="0.2">
      <c r="A871" s="62"/>
      <c r="B871" s="62"/>
      <c r="C871" s="177"/>
      <c r="D871" s="90"/>
      <c r="E871" s="1"/>
      <c r="F871" s="90"/>
      <c r="G871" s="90"/>
      <c r="H871" s="261"/>
      <c r="I871" s="261"/>
      <c r="J871" s="90"/>
      <c r="U871" s="71"/>
      <c r="V871" s="70"/>
      <c r="W871" s="70"/>
      <c r="X871" s="71"/>
      <c r="Y871" s="70"/>
      <c r="Z871" s="70"/>
    </row>
    <row r="872" spans="1:32" s="53" customFormat="1" x14ac:dyDescent="0.2">
      <c r="A872" s="63"/>
      <c r="B872" s="63"/>
      <c r="C872" s="176"/>
      <c r="D872" s="167"/>
      <c r="E872" s="1"/>
      <c r="F872" s="167"/>
      <c r="G872" s="167"/>
      <c r="H872" s="259"/>
      <c r="I872" s="259"/>
      <c r="J872" s="167"/>
      <c r="K872" s="167"/>
      <c r="L872" s="167"/>
      <c r="M872" s="201"/>
      <c r="N872" s="521"/>
      <c r="O872" s="521"/>
      <c r="P872" s="521"/>
      <c r="Q872" s="372"/>
      <c r="R872" s="372"/>
      <c r="S872" s="372"/>
      <c r="T872" s="372"/>
      <c r="U872" s="56"/>
      <c r="V872" s="57"/>
      <c r="W872" s="57"/>
      <c r="X872" s="56"/>
      <c r="Y872" s="57"/>
      <c r="Z872" s="57"/>
      <c r="AA872" s="299"/>
      <c r="AE872" s="54"/>
      <c r="AF872" s="54"/>
    </row>
    <row r="873" spans="1:32" x14ac:dyDescent="0.2">
      <c r="A873" s="62"/>
      <c r="B873" s="62"/>
      <c r="C873" s="177"/>
      <c r="D873" s="90"/>
      <c r="E873" s="1"/>
      <c r="F873" s="90"/>
      <c r="G873" s="90"/>
      <c r="H873" s="261"/>
      <c r="I873" s="261"/>
      <c r="J873" s="90"/>
      <c r="K873" s="172"/>
      <c r="L873" s="172"/>
      <c r="U873" s="71"/>
      <c r="V873" s="70"/>
      <c r="W873" s="70"/>
      <c r="X873" s="71"/>
      <c r="Y873" s="70"/>
      <c r="Z873" s="70"/>
    </row>
    <row r="874" spans="1:32" x14ac:dyDescent="0.2">
      <c r="A874" s="62"/>
      <c r="B874" s="62"/>
      <c r="C874" s="177"/>
      <c r="D874" s="90"/>
      <c r="E874" s="1"/>
      <c r="F874" s="90"/>
      <c r="G874" s="90"/>
      <c r="H874" s="261"/>
      <c r="I874" s="261"/>
      <c r="J874" s="90"/>
      <c r="U874" s="71"/>
      <c r="V874" s="70"/>
      <c r="W874" s="70"/>
      <c r="X874" s="71"/>
      <c r="Y874" s="70"/>
      <c r="Z874" s="70"/>
    </row>
    <row r="875" spans="1:32" x14ac:dyDescent="0.2">
      <c r="A875" s="62"/>
      <c r="B875" s="62"/>
      <c r="C875" s="177"/>
      <c r="D875" s="90"/>
      <c r="E875" s="1"/>
      <c r="F875" s="90"/>
      <c r="G875" s="90"/>
      <c r="H875" s="261"/>
      <c r="I875" s="261"/>
      <c r="J875" s="90"/>
      <c r="U875" s="71"/>
      <c r="V875" s="70"/>
      <c r="W875" s="70"/>
      <c r="X875" s="71"/>
      <c r="Y875" s="70"/>
      <c r="Z875" s="70"/>
    </row>
    <row r="876" spans="1:32" x14ac:dyDescent="0.2">
      <c r="A876" s="62"/>
      <c r="B876" s="62"/>
      <c r="C876" s="177"/>
      <c r="D876" s="90"/>
      <c r="E876" s="1"/>
      <c r="F876" s="90"/>
      <c r="G876" s="90"/>
      <c r="H876" s="261"/>
      <c r="I876" s="261"/>
      <c r="J876" s="90"/>
      <c r="U876" s="71"/>
      <c r="V876" s="70"/>
      <c r="W876" s="70"/>
      <c r="X876" s="71"/>
      <c r="Y876" s="70"/>
      <c r="Z876" s="70"/>
    </row>
    <row r="877" spans="1:32" x14ac:dyDescent="0.2">
      <c r="A877" s="62"/>
      <c r="B877" s="62"/>
      <c r="C877" s="177"/>
      <c r="D877" s="90"/>
      <c r="E877" s="1"/>
      <c r="F877" s="90"/>
      <c r="G877" s="90"/>
      <c r="H877" s="261"/>
      <c r="I877" s="261"/>
      <c r="J877" s="90"/>
      <c r="U877" s="71"/>
      <c r="V877" s="70"/>
      <c r="W877" s="70"/>
      <c r="X877" s="71"/>
      <c r="Y877" s="70"/>
      <c r="Z877" s="70"/>
    </row>
    <row r="878" spans="1:32" x14ac:dyDescent="0.2">
      <c r="A878" s="62"/>
      <c r="B878" s="62"/>
      <c r="C878" s="177"/>
      <c r="D878" s="90"/>
      <c r="E878" s="1"/>
      <c r="F878" s="90"/>
      <c r="G878" s="90"/>
      <c r="H878" s="261"/>
      <c r="I878" s="261"/>
      <c r="J878" s="90"/>
      <c r="U878" s="71"/>
      <c r="V878" s="70"/>
      <c r="W878" s="70"/>
      <c r="X878" s="71"/>
      <c r="Y878" s="70"/>
      <c r="Z878" s="70"/>
    </row>
    <row r="879" spans="1:32" x14ac:dyDescent="0.2">
      <c r="A879" s="62"/>
      <c r="B879" s="62"/>
      <c r="C879" s="177"/>
      <c r="D879" s="90"/>
      <c r="E879" s="1"/>
      <c r="F879" s="90"/>
      <c r="G879" s="90"/>
      <c r="H879" s="261"/>
      <c r="I879" s="261"/>
      <c r="J879" s="90"/>
      <c r="U879" s="71"/>
      <c r="V879" s="70"/>
      <c r="W879" s="70"/>
      <c r="X879" s="71"/>
      <c r="Y879" s="70"/>
      <c r="Z879" s="70"/>
    </row>
    <row r="880" spans="1:32" x14ac:dyDescent="0.2">
      <c r="A880" s="62"/>
      <c r="B880" s="62"/>
      <c r="C880" s="177"/>
      <c r="D880" s="90"/>
      <c r="E880" s="1"/>
      <c r="F880" s="90"/>
      <c r="G880" s="90"/>
      <c r="H880" s="261"/>
      <c r="I880" s="261"/>
      <c r="J880" s="90"/>
      <c r="U880" s="71"/>
      <c r="V880" s="70"/>
      <c r="W880" s="70"/>
      <c r="X880" s="71"/>
      <c r="Y880" s="70"/>
      <c r="Z880" s="70"/>
    </row>
    <row r="881" spans="1:26" x14ac:dyDescent="0.2">
      <c r="A881" s="62"/>
      <c r="B881" s="62"/>
      <c r="C881" s="177"/>
      <c r="D881" s="90"/>
      <c r="E881" s="1"/>
      <c r="F881" s="90"/>
      <c r="G881" s="90"/>
      <c r="H881" s="261"/>
      <c r="I881" s="261"/>
      <c r="J881" s="90"/>
      <c r="U881" s="71"/>
      <c r="V881" s="70"/>
      <c r="W881" s="70"/>
      <c r="X881" s="71"/>
      <c r="Y881" s="70"/>
      <c r="Z881" s="70"/>
    </row>
    <row r="882" spans="1:26" x14ac:dyDescent="0.2">
      <c r="A882" s="62"/>
      <c r="B882" s="62"/>
      <c r="C882" s="177"/>
      <c r="D882" s="90"/>
      <c r="E882" s="1"/>
      <c r="F882" s="90"/>
      <c r="G882" s="90"/>
      <c r="H882" s="261"/>
      <c r="I882" s="261"/>
      <c r="J882" s="90"/>
      <c r="U882" s="71"/>
      <c r="V882" s="70"/>
      <c r="W882" s="70"/>
      <c r="X882" s="71"/>
      <c r="Y882" s="70"/>
      <c r="Z882" s="70"/>
    </row>
    <row r="883" spans="1:26" x14ac:dyDescent="0.2">
      <c r="A883" s="62"/>
      <c r="B883" s="62"/>
      <c r="C883" s="177"/>
      <c r="D883" s="90"/>
      <c r="E883" s="1"/>
      <c r="F883" s="90"/>
      <c r="G883" s="90"/>
      <c r="H883" s="261"/>
      <c r="I883" s="261"/>
      <c r="J883" s="90"/>
      <c r="U883" s="71"/>
      <c r="V883" s="70"/>
      <c r="W883" s="70"/>
      <c r="X883" s="71"/>
      <c r="Y883" s="70"/>
      <c r="Z883" s="70"/>
    </row>
    <row r="884" spans="1:26" x14ac:dyDescent="0.2">
      <c r="A884" s="62"/>
      <c r="B884" s="62"/>
      <c r="C884" s="177"/>
      <c r="D884" s="90"/>
      <c r="E884" s="1"/>
      <c r="F884" s="90"/>
      <c r="G884" s="90"/>
      <c r="H884" s="261"/>
      <c r="I884" s="261"/>
      <c r="J884" s="90"/>
      <c r="U884" s="71"/>
      <c r="V884" s="70"/>
      <c r="W884" s="70"/>
      <c r="X884" s="71"/>
      <c r="Y884" s="70"/>
      <c r="Z884" s="70"/>
    </row>
    <row r="885" spans="1:26" x14ac:dyDescent="0.2">
      <c r="A885" s="62"/>
      <c r="B885" s="62"/>
      <c r="C885" s="177"/>
      <c r="D885" s="90"/>
      <c r="E885" s="1"/>
      <c r="F885" s="90"/>
      <c r="G885" s="90"/>
      <c r="H885" s="261"/>
      <c r="I885" s="261"/>
      <c r="J885" s="90"/>
      <c r="U885" s="71"/>
      <c r="V885" s="70"/>
      <c r="W885" s="70"/>
      <c r="X885" s="71"/>
      <c r="Y885" s="70"/>
      <c r="Z885" s="70"/>
    </row>
    <row r="886" spans="1:26" x14ac:dyDescent="0.2">
      <c r="A886" s="62"/>
      <c r="B886" s="62"/>
      <c r="C886" s="177"/>
      <c r="D886" s="90"/>
      <c r="E886" s="1"/>
      <c r="F886" s="90"/>
      <c r="G886" s="90"/>
      <c r="H886" s="261"/>
      <c r="I886" s="261"/>
      <c r="J886" s="90"/>
      <c r="U886" s="71"/>
      <c r="V886" s="70"/>
      <c r="W886" s="70"/>
      <c r="X886" s="71"/>
      <c r="Y886" s="70"/>
      <c r="Z886" s="70"/>
    </row>
    <row r="887" spans="1:26" x14ac:dyDescent="0.2">
      <c r="A887" s="62"/>
      <c r="B887" s="62"/>
      <c r="C887" s="177"/>
      <c r="D887" s="90"/>
      <c r="E887" s="1"/>
      <c r="F887" s="90"/>
      <c r="G887" s="90"/>
      <c r="H887" s="261"/>
      <c r="I887" s="261"/>
      <c r="J887" s="90"/>
      <c r="U887" s="71"/>
      <c r="V887" s="70"/>
      <c r="W887" s="70"/>
      <c r="X887" s="71"/>
      <c r="Y887" s="70"/>
      <c r="Z887" s="70"/>
    </row>
    <row r="888" spans="1:26" x14ac:dyDescent="0.2">
      <c r="A888" s="62"/>
      <c r="B888" s="62"/>
      <c r="C888" s="177"/>
      <c r="D888" s="90"/>
      <c r="E888" s="1"/>
      <c r="F888" s="90"/>
      <c r="G888" s="90"/>
      <c r="H888" s="261"/>
      <c r="I888" s="261"/>
      <c r="J888" s="90"/>
      <c r="U888" s="71"/>
      <c r="V888" s="70"/>
      <c r="W888" s="70"/>
      <c r="X888" s="71"/>
      <c r="Y888" s="70"/>
      <c r="Z888" s="70"/>
    </row>
    <row r="889" spans="1:26" x14ac:dyDescent="0.2">
      <c r="A889" s="62"/>
      <c r="B889" s="62"/>
      <c r="C889" s="177"/>
      <c r="D889" s="90"/>
      <c r="E889" s="1"/>
      <c r="F889" s="90"/>
      <c r="G889" s="90"/>
      <c r="H889" s="261"/>
      <c r="I889" s="261"/>
      <c r="J889" s="90"/>
      <c r="U889" s="71"/>
      <c r="V889" s="70"/>
      <c r="W889" s="70"/>
      <c r="X889" s="71"/>
      <c r="Y889" s="70"/>
      <c r="Z889" s="70"/>
    </row>
    <row r="890" spans="1:26" x14ac:dyDescent="0.2">
      <c r="A890" s="62"/>
      <c r="B890" s="62"/>
      <c r="C890" s="177"/>
      <c r="D890" s="90"/>
      <c r="E890" s="1"/>
      <c r="F890" s="90"/>
      <c r="G890" s="90"/>
      <c r="H890" s="261"/>
      <c r="I890" s="261"/>
      <c r="J890" s="90"/>
      <c r="U890" s="71"/>
      <c r="V890" s="70"/>
      <c r="W890" s="70"/>
      <c r="X890" s="71"/>
      <c r="Y890" s="70"/>
      <c r="Z890" s="70"/>
    </row>
    <row r="891" spans="1:26" x14ac:dyDescent="0.2">
      <c r="A891" s="62"/>
      <c r="B891" s="62"/>
      <c r="C891" s="177"/>
      <c r="D891" s="90"/>
      <c r="E891" s="1"/>
      <c r="F891" s="90"/>
      <c r="G891" s="90"/>
      <c r="H891" s="261"/>
      <c r="I891" s="261"/>
      <c r="J891" s="90"/>
      <c r="U891" s="71"/>
      <c r="V891" s="70"/>
      <c r="W891" s="70"/>
      <c r="X891" s="71"/>
      <c r="Y891" s="70"/>
      <c r="Z891" s="70"/>
    </row>
    <row r="892" spans="1:26" x14ac:dyDescent="0.2">
      <c r="A892" s="62"/>
      <c r="B892" s="62"/>
      <c r="C892" s="177"/>
      <c r="D892" s="90"/>
      <c r="E892" s="1"/>
      <c r="F892" s="90"/>
      <c r="G892" s="90"/>
      <c r="H892" s="261"/>
      <c r="I892" s="261"/>
      <c r="J892" s="90"/>
      <c r="U892" s="71"/>
      <c r="V892" s="70"/>
      <c r="W892" s="70"/>
      <c r="X892" s="71"/>
      <c r="Y892" s="70"/>
      <c r="Z892" s="70"/>
    </row>
    <row r="893" spans="1:26" x14ac:dyDescent="0.2">
      <c r="A893" s="62"/>
      <c r="B893" s="62"/>
      <c r="C893" s="177"/>
      <c r="D893" s="90"/>
      <c r="E893" s="1"/>
      <c r="F893" s="90"/>
      <c r="G893" s="90"/>
      <c r="H893" s="261"/>
      <c r="I893" s="261"/>
      <c r="J893" s="90"/>
      <c r="U893" s="71"/>
      <c r="V893" s="70"/>
      <c r="W893" s="70"/>
      <c r="X893" s="71"/>
      <c r="Y893" s="70"/>
      <c r="Z893" s="70"/>
    </row>
    <row r="894" spans="1:26" x14ac:dyDescent="0.2">
      <c r="A894" s="62"/>
      <c r="B894" s="62"/>
      <c r="C894" s="177"/>
      <c r="D894" s="90"/>
      <c r="E894" s="1"/>
      <c r="F894" s="90"/>
      <c r="G894" s="90"/>
      <c r="H894" s="261"/>
      <c r="I894" s="261"/>
      <c r="J894" s="90"/>
      <c r="U894" s="71"/>
      <c r="V894" s="70"/>
      <c r="W894" s="70"/>
      <c r="X894" s="71"/>
      <c r="Y894" s="70"/>
      <c r="Z894" s="70"/>
    </row>
    <row r="895" spans="1:26" x14ac:dyDescent="0.2">
      <c r="A895" s="62"/>
      <c r="B895" s="62"/>
      <c r="C895" s="177"/>
      <c r="D895" s="90"/>
      <c r="E895" s="1"/>
      <c r="F895" s="90"/>
      <c r="G895" s="90"/>
      <c r="H895" s="261"/>
      <c r="I895" s="261"/>
      <c r="J895" s="90"/>
      <c r="U895" s="71"/>
      <c r="V895" s="70"/>
      <c r="W895" s="70"/>
      <c r="X895" s="71"/>
      <c r="Y895" s="70"/>
      <c r="Z895" s="70"/>
    </row>
    <row r="896" spans="1:26" x14ac:dyDescent="0.2">
      <c r="A896" s="62"/>
      <c r="B896" s="62"/>
      <c r="C896" s="177"/>
      <c r="D896" s="90"/>
      <c r="E896" s="1"/>
      <c r="F896" s="90"/>
      <c r="G896" s="90"/>
      <c r="H896" s="261"/>
      <c r="I896" s="261"/>
      <c r="J896" s="90"/>
      <c r="U896" s="71"/>
      <c r="V896" s="70"/>
      <c r="W896" s="70"/>
      <c r="X896" s="71"/>
      <c r="Y896" s="70"/>
      <c r="Z896" s="70"/>
    </row>
    <row r="897" spans="1:32" x14ac:dyDescent="0.2">
      <c r="A897" s="62"/>
      <c r="B897" s="62"/>
      <c r="C897" s="177"/>
      <c r="D897" s="90"/>
      <c r="E897" s="1"/>
      <c r="F897" s="90"/>
      <c r="G897" s="90"/>
      <c r="H897" s="261"/>
      <c r="I897" s="261"/>
      <c r="J897" s="90"/>
      <c r="U897" s="71"/>
      <c r="V897" s="70"/>
      <c r="W897" s="70"/>
      <c r="X897" s="71"/>
      <c r="Y897" s="70"/>
      <c r="Z897" s="70"/>
    </row>
    <row r="898" spans="1:32" x14ac:dyDescent="0.2">
      <c r="A898" s="62"/>
      <c r="B898" s="62"/>
      <c r="C898" s="177"/>
      <c r="D898" s="90"/>
      <c r="E898" s="1"/>
      <c r="F898" s="90"/>
      <c r="G898" s="90"/>
      <c r="H898" s="261"/>
      <c r="I898" s="261"/>
      <c r="J898" s="90"/>
      <c r="U898" s="71"/>
      <c r="V898" s="70"/>
      <c r="W898" s="70"/>
      <c r="X898" s="71"/>
      <c r="Y898" s="70"/>
      <c r="Z898" s="70"/>
    </row>
    <row r="899" spans="1:32" x14ac:dyDescent="0.2">
      <c r="A899" s="62"/>
      <c r="B899" s="62"/>
      <c r="C899" s="177"/>
      <c r="D899" s="90"/>
      <c r="E899" s="1"/>
      <c r="F899" s="90"/>
      <c r="G899" s="90"/>
      <c r="H899" s="261"/>
      <c r="I899" s="261"/>
      <c r="J899" s="90"/>
      <c r="U899" s="71"/>
      <c r="V899" s="70"/>
      <c r="W899" s="70"/>
      <c r="X899" s="71"/>
      <c r="Y899" s="70"/>
      <c r="Z899" s="70"/>
    </row>
    <row r="900" spans="1:32" x14ac:dyDescent="0.2">
      <c r="A900" s="62"/>
      <c r="B900" s="62"/>
      <c r="C900" s="177"/>
      <c r="D900" s="90"/>
      <c r="E900" s="2"/>
      <c r="F900" s="90"/>
      <c r="G900" s="90"/>
      <c r="H900" s="261"/>
      <c r="I900" s="261"/>
      <c r="J900" s="90"/>
      <c r="U900" s="71"/>
      <c r="V900" s="70"/>
      <c r="W900" s="70"/>
      <c r="X900" s="71"/>
      <c r="Y900" s="70"/>
      <c r="Z900" s="70"/>
    </row>
    <row r="901" spans="1:32" x14ac:dyDescent="0.2">
      <c r="A901" s="62"/>
      <c r="B901" s="62"/>
      <c r="C901" s="177"/>
      <c r="D901" s="90"/>
      <c r="E901" s="1"/>
      <c r="F901" s="90"/>
      <c r="G901" s="90"/>
      <c r="H901" s="261"/>
      <c r="I901" s="261"/>
      <c r="J901" s="90"/>
      <c r="U901" s="71"/>
      <c r="V901" s="70"/>
      <c r="W901" s="70"/>
      <c r="X901" s="71"/>
      <c r="Y901" s="70"/>
      <c r="Z901" s="70"/>
    </row>
    <row r="902" spans="1:32" s="2" customFormat="1" x14ac:dyDescent="0.2">
      <c r="A902" s="130"/>
      <c r="B902" s="130"/>
      <c r="C902" s="178"/>
      <c r="D902" s="179"/>
      <c r="E902" s="1"/>
      <c r="F902" s="179"/>
      <c r="G902" s="179"/>
      <c r="H902" s="266"/>
      <c r="I902" s="266"/>
      <c r="J902" s="179"/>
      <c r="K902" s="179"/>
      <c r="L902" s="179"/>
      <c r="M902" s="203"/>
      <c r="N902" s="520"/>
      <c r="O902" s="520"/>
      <c r="P902" s="520"/>
      <c r="Q902" s="375"/>
      <c r="R902" s="375"/>
      <c r="S902" s="375"/>
      <c r="T902" s="375"/>
      <c r="U902" s="73"/>
      <c r="V902" s="74"/>
      <c r="W902" s="74"/>
      <c r="X902" s="73"/>
      <c r="Y902" s="74"/>
      <c r="Z902" s="74"/>
      <c r="AA902" s="300"/>
      <c r="AE902" s="72"/>
      <c r="AF902" s="72"/>
    </row>
    <row r="903" spans="1:32" x14ac:dyDescent="0.2">
      <c r="A903" s="62"/>
      <c r="B903" s="130"/>
      <c r="C903" s="177"/>
      <c r="D903" s="90"/>
      <c r="E903" s="1"/>
      <c r="F903" s="90"/>
      <c r="G903" s="90"/>
      <c r="H903" s="261"/>
      <c r="I903" s="261"/>
      <c r="J903" s="90"/>
      <c r="U903" s="71"/>
      <c r="V903" s="70"/>
      <c r="W903" s="70"/>
      <c r="X903" s="71"/>
      <c r="Y903" s="70"/>
      <c r="Z903" s="70"/>
    </row>
    <row r="904" spans="1:32" x14ac:dyDescent="0.2">
      <c r="A904" s="62"/>
      <c r="B904" s="130"/>
      <c r="C904" s="177"/>
      <c r="D904" s="90"/>
      <c r="E904" s="1"/>
      <c r="F904" s="90"/>
      <c r="G904" s="90"/>
      <c r="H904" s="261"/>
      <c r="I904" s="261"/>
      <c r="J904" s="90"/>
      <c r="U904" s="71"/>
      <c r="V904" s="70"/>
      <c r="W904" s="70"/>
      <c r="X904" s="71"/>
      <c r="Y904" s="70"/>
      <c r="Z904" s="70"/>
    </row>
    <row r="905" spans="1:32" x14ac:dyDescent="0.2">
      <c r="A905" s="62"/>
      <c r="B905" s="62"/>
      <c r="C905" s="177"/>
      <c r="D905" s="90"/>
      <c r="E905" s="1"/>
      <c r="F905" s="90"/>
      <c r="G905" s="90"/>
      <c r="H905" s="261"/>
      <c r="I905" s="261"/>
      <c r="J905" s="90"/>
      <c r="U905" s="71"/>
      <c r="V905" s="70"/>
      <c r="W905" s="70"/>
      <c r="X905" s="71"/>
      <c r="Y905" s="70"/>
      <c r="Z905" s="70"/>
    </row>
    <row r="906" spans="1:32" x14ac:dyDescent="0.2">
      <c r="A906" s="62"/>
      <c r="B906" s="62"/>
      <c r="C906" s="177"/>
      <c r="D906" s="90"/>
      <c r="E906" s="1"/>
      <c r="F906" s="90"/>
      <c r="G906" s="90"/>
      <c r="H906" s="261"/>
      <c r="I906" s="261"/>
      <c r="J906" s="90"/>
      <c r="U906" s="71"/>
      <c r="V906" s="70"/>
      <c r="W906" s="70"/>
      <c r="X906" s="71"/>
      <c r="Y906" s="70"/>
      <c r="Z906" s="70"/>
    </row>
    <row r="907" spans="1:32" x14ac:dyDescent="0.2">
      <c r="A907" s="62"/>
      <c r="B907" s="62"/>
      <c r="C907" s="177"/>
      <c r="D907" s="90"/>
      <c r="E907" s="1"/>
      <c r="F907" s="90"/>
      <c r="G907" s="90"/>
      <c r="H907" s="261"/>
      <c r="I907" s="261"/>
      <c r="J907" s="90"/>
      <c r="U907" s="71"/>
      <c r="V907" s="70"/>
      <c r="W907" s="70"/>
      <c r="X907" s="71"/>
      <c r="Y907" s="70"/>
      <c r="Z907" s="70"/>
    </row>
    <row r="908" spans="1:32" x14ac:dyDescent="0.2">
      <c r="A908" s="62"/>
      <c r="B908" s="62"/>
      <c r="C908" s="177"/>
      <c r="D908" s="90"/>
      <c r="E908" s="1"/>
      <c r="F908" s="90"/>
      <c r="G908" s="90"/>
      <c r="H908" s="261"/>
      <c r="I908" s="261"/>
      <c r="J908" s="90"/>
      <c r="U908" s="71"/>
      <c r="V908" s="70"/>
      <c r="W908" s="70"/>
      <c r="X908" s="71"/>
      <c r="Y908" s="70"/>
      <c r="Z908" s="70"/>
    </row>
    <row r="909" spans="1:32" x14ac:dyDescent="0.2">
      <c r="A909" s="62"/>
      <c r="B909" s="62"/>
      <c r="C909" s="177"/>
      <c r="D909" s="90"/>
      <c r="E909" s="1"/>
      <c r="F909" s="90"/>
      <c r="G909" s="90"/>
      <c r="H909" s="261"/>
      <c r="I909" s="261"/>
      <c r="J909" s="90"/>
      <c r="U909" s="71"/>
      <c r="V909" s="70"/>
      <c r="W909" s="70"/>
      <c r="X909" s="71"/>
      <c r="Y909" s="70"/>
      <c r="Z909" s="70"/>
    </row>
    <row r="910" spans="1:32" x14ac:dyDescent="0.2">
      <c r="A910" s="62"/>
      <c r="B910" s="62"/>
      <c r="C910" s="177"/>
      <c r="D910" s="90"/>
      <c r="E910" s="1"/>
      <c r="F910" s="90"/>
      <c r="G910" s="90"/>
      <c r="H910" s="261"/>
      <c r="I910" s="261"/>
      <c r="J910" s="90"/>
      <c r="U910" s="71"/>
      <c r="V910" s="70"/>
      <c r="W910" s="70"/>
      <c r="X910" s="71"/>
      <c r="Y910" s="70"/>
      <c r="Z910" s="70"/>
    </row>
    <row r="911" spans="1:32" x14ac:dyDescent="0.2">
      <c r="A911" s="62"/>
      <c r="B911" s="62"/>
      <c r="C911" s="177"/>
      <c r="D911" s="90"/>
      <c r="E911" s="1"/>
      <c r="F911" s="90"/>
      <c r="G911" s="90"/>
      <c r="H911" s="261"/>
      <c r="I911" s="261"/>
      <c r="J911" s="90"/>
      <c r="U911" s="71"/>
      <c r="V911" s="70"/>
      <c r="W911" s="70"/>
      <c r="X911" s="71"/>
      <c r="Y911" s="70"/>
      <c r="Z911" s="70"/>
    </row>
    <row r="912" spans="1:32" x14ac:dyDescent="0.2">
      <c r="A912" s="62"/>
      <c r="B912" s="62"/>
      <c r="C912" s="177"/>
      <c r="D912" s="90"/>
      <c r="E912" s="1"/>
      <c r="F912" s="90"/>
      <c r="G912" s="90"/>
      <c r="H912" s="261"/>
      <c r="I912" s="261"/>
      <c r="J912" s="90"/>
      <c r="U912" s="71"/>
      <c r="V912" s="70"/>
      <c r="W912" s="70"/>
      <c r="X912" s="71"/>
      <c r="Y912" s="70"/>
      <c r="Z912" s="70"/>
    </row>
    <row r="913" spans="1:26" x14ac:dyDescent="0.2">
      <c r="A913" s="62"/>
      <c r="B913" s="62"/>
      <c r="C913" s="177"/>
      <c r="D913" s="90"/>
      <c r="E913" s="1"/>
      <c r="F913" s="90"/>
      <c r="G913" s="90"/>
      <c r="H913" s="261"/>
      <c r="I913" s="261"/>
      <c r="J913" s="90"/>
      <c r="U913" s="71"/>
      <c r="V913" s="70"/>
      <c r="W913" s="70"/>
      <c r="X913" s="71"/>
      <c r="Y913" s="70"/>
      <c r="Z913" s="70"/>
    </row>
    <row r="914" spans="1:26" x14ac:dyDescent="0.2">
      <c r="A914" s="62"/>
      <c r="B914" s="62"/>
      <c r="C914" s="177"/>
      <c r="D914" s="90"/>
      <c r="E914" s="1"/>
      <c r="F914" s="90"/>
      <c r="G914" s="90"/>
      <c r="H914" s="261"/>
      <c r="I914" s="261"/>
      <c r="J914" s="90"/>
      <c r="U914" s="71"/>
      <c r="V914" s="70"/>
      <c r="W914" s="70"/>
      <c r="X914" s="71"/>
      <c r="Y914" s="70"/>
      <c r="Z914" s="70"/>
    </row>
    <row r="915" spans="1:26" x14ac:dyDescent="0.2">
      <c r="A915" s="62"/>
      <c r="B915" s="62"/>
      <c r="C915" s="177"/>
      <c r="D915" s="90"/>
      <c r="E915" s="1"/>
      <c r="F915" s="90"/>
      <c r="G915" s="90"/>
      <c r="H915" s="261"/>
      <c r="I915" s="261"/>
      <c r="J915" s="90"/>
      <c r="U915" s="71"/>
      <c r="V915" s="70"/>
      <c r="W915" s="70"/>
      <c r="X915" s="71"/>
      <c r="Y915" s="70"/>
      <c r="Z915" s="70"/>
    </row>
    <row r="916" spans="1:26" x14ac:dyDescent="0.2">
      <c r="A916" s="62"/>
      <c r="B916" s="62"/>
      <c r="C916" s="177"/>
      <c r="D916" s="90"/>
      <c r="E916" s="1"/>
      <c r="F916" s="90"/>
      <c r="G916" s="90"/>
      <c r="H916" s="261"/>
      <c r="I916" s="261"/>
      <c r="J916" s="90"/>
      <c r="U916" s="71"/>
      <c r="V916" s="70"/>
      <c r="W916" s="70"/>
      <c r="X916" s="71"/>
      <c r="Y916" s="70"/>
      <c r="Z916" s="70"/>
    </row>
    <row r="917" spans="1:26" x14ac:dyDescent="0.2">
      <c r="A917" s="62"/>
      <c r="B917" s="62"/>
      <c r="C917" s="177"/>
      <c r="D917" s="90"/>
      <c r="E917" s="1"/>
      <c r="F917" s="90"/>
      <c r="G917" s="90"/>
      <c r="H917" s="261"/>
      <c r="I917" s="261"/>
      <c r="J917" s="90"/>
      <c r="U917" s="71"/>
      <c r="V917" s="70"/>
      <c r="W917" s="70"/>
      <c r="X917" s="71"/>
      <c r="Y917" s="70"/>
      <c r="Z917" s="70"/>
    </row>
    <row r="918" spans="1:26" x14ac:dyDescent="0.2">
      <c r="A918" s="62"/>
      <c r="B918" s="62"/>
      <c r="C918" s="177"/>
      <c r="D918" s="90"/>
      <c r="E918" s="1"/>
      <c r="F918" s="90"/>
      <c r="G918" s="90"/>
      <c r="H918" s="261"/>
      <c r="I918" s="261"/>
      <c r="J918" s="90"/>
      <c r="U918" s="71"/>
      <c r="V918" s="70"/>
      <c r="W918" s="70"/>
      <c r="X918" s="71"/>
      <c r="Y918" s="70"/>
      <c r="Z918" s="70"/>
    </row>
    <row r="919" spans="1:26" x14ac:dyDescent="0.2">
      <c r="A919" s="62"/>
      <c r="B919" s="62"/>
      <c r="C919" s="177"/>
      <c r="D919" s="90"/>
      <c r="E919" s="1"/>
      <c r="F919" s="90"/>
      <c r="G919" s="90"/>
      <c r="H919" s="261"/>
      <c r="I919" s="261"/>
      <c r="J919" s="90"/>
      <c r="U919" s="71"/>
      <c r="V919" s="70"/>
      <c r="W919" s="70"/>
      <c r="X919" s="71"/>
      <c r="Y919" s="70"/>
      <c r="Z919" s="70"/>
    </row>
    <row r="920" spans="1:26" x14ac:dyDescent="0.2">
      <c r="A920" s="62"/>
      <c r="B920" s="62"/>
      <c r="C920" s="177"/>
      <c r="D920" s="90"/>
      <c r="E920" s="1"/>
      <c r="F920" s="90"/>
      <c r="G920" s="90"/>
      <c r="H920" s="261"/>
      <c r="I920" s="261"/>
      <c r="J920" s="90"/>
      <c r="U920" s="71"/>
      <c r="V920" s="70"/>
      <c r="W920" s="70"/>
      <c r="X920" s="71"/>
      <c r="Y920" s="70"/>
      <c r="Z920" s="70"/>
    </row>
    <row r="921" spans="1:26" x14ac:dyDescent="0.2">
      <c r="A921" s="62"/>
      <c r="B921" s="62"/>
      <c r="C921" s="177"/>
      <c r="D921" s="90"/>
      <c r="E921" s="1"/>
      <c r="F921" s="90"/>
      <c r="G921" s="90"/>
      <c r="H921" s="261"/>
      <c r="I921" s="261"/>
      <c r="J921" s="90"/>
      <c r="U921" s="71"/>
      <c r="V921" s="70"/>
      <c r="W921" s="70"/>
      <c r="X921" s="71"/>
      <c r="Y921" s="70"/>
      <c r="Z921" s="70"/>
    </row>
    <row r="922" spans="1:26" x14ac:dyDescent="0.2">
      <c r="A922" s="62"/>
      <c r="B922" s="62"/>
      <c r="C922" s="177"/>
      <c r="D922" s="90"/>
      <c r="E922" s="1"/>
      <c r="F922" s="90"/>
      <c r="G922" s="90"/>
      <c r="H922" s="261"/>
      <c r="I922" s="261"/>
      <c r="J922" s="90"/>
      <c r="U922" s="71"/>
      <c r="V922" s="70"/>
      <c r="W922" s="70"/>
      <c r="X922" s="71"/>
      <c r="Y922" s="70"/>
      <c r="Z922" s="70"/>
    </row>
    <row r="923" spans="1:26" x14ac:dyDescent="0.2">
      <c r="A923" s="62"/>
      <c r="B923" s="62"/>
      <c r="C923" s="177"/>
      <c r="D923" s="90"/>
      <c r="E923" s="1"/>
      <c r="F923" s="90"/>
      <c r="G923" s="90"/>
      <c r="H923" s="261"/>
      <c r="I923" s="261"/>
      <c r="J923" s="90"/>
      <c r="U923" s="71"/>
      <c r="V923" s="70"/>
      <c r="W923" s="70"/>
      <c r="X923" s="71"/>
      <c r="Y923" s="70"/>
      <c r="Z923" s="70"/>
    </row>
    <row r="924" spans="1:26" x14ac:dyDescent="0.2">
      <c r="A924" s="62"/>
      <c r="B924" s="62"/>
      <c r="C924" s="177"/>
      <c r="D924" s="90"/>
      <c r="E924" s="1"/>
      <c r="F924" s="90"/>
      <c r="G924" s="90"/>
      <c r="H924" s="261"/>
      <c r="I924" s="261"/>
      <c r="J924" s="90"/>
      <c r="U924" s="71"/>
      <c r="V924" s="70"/>
      <c r="W924" s="70"/>
      <c r="X924" s="71"/>
      <c r="Y924" s="70"/>
      <c r="Z924" s="70"/>
    </row>
    <row r="925" spans="1:26" x14ac:dyDescent="0.2">
      <c r="A925" s="62"/>
      <c r="B925" s="62"/>
      <c r="C925" s="177"/>
      <c r="D925" s="90"/>
      <c r="E925" s="1"/>
      <c r="F925" s="90"/>
      <c r="G925" s="90"/>
      <c r="H925" s="261"/>
      <c r="I925" s="261"/>
      <c r="J925" s="90"/>
      <c r="U925" s="71"/>
      <c r="V925" s="70"/>
      <c r="W925" s="70"/>
      <c r="X925" s="71"/>
      <c r="Y925" s="70"/>
      <c r="Z925" s="70"/>
    </row>
    <row r="926" spans="1:26" x14ac:dyDescent="0.2">
      <c r="A926" s="62"/>
      <c r="B926" s="62"/>
      <c r="C926" s="177"/>
      <c r="D926" s="90"/>
      <c r="E926" s="1"/>
      <c r="F926" s="90"/>
      <c r="G926" s="90"/>
      <c r="H926" s="261"/>
      <c r="I926" s="261"/>
      <c r="J926" s="90"/>
      <c r="U926" s="71"/>
      <c r="V926" s="70"/>
      <c r="W926" s="70"/>
      <c r="X926" s="71"/>
      <c r="Y926" s="70"/>
      <c r="Z926" s="70"/>
    </row>
    <row r="927" spans="1:26" x14ac:dyDescent="0.2">
      <c r="A927" s="62"/>
      <c r="B927" s="62"/>
      <c r="C927" s="177"/>
      <c r="D927" s="90"/>
      <c r="E927" s="1"/>
      <c r="F927" s="90"/>
      <c r="G927" s="90"/>
      <c r="H927" s="261"/>
      <c r="I927" s="261"/>
      <c r="J927" s="90"/>
      <c r="U927" s="71"/>
      <c r="V927" s="70"/>
      <c r="W927" s="70"/>
      <c r="X927" s="71"/>
      <c r="Y927" s="70"/>
      <c r="Z927" s="70"/>
    </row>
    <row r="928" spans="1:26" x14ac:dyDescent="0.2">
      <c r="A928" s="62"/>
      <c r="B928" s="62"/>
      <c r="C928" s="177"/>
      <c r="D928" s="90"/>
      <c r="E928" s="1"/>
      <c r="F928" s="90"/>
      <c r="G928" s="90"/>
      <c r="H928" s="261"/>
      <c r="I928" s="261"/>
      <c r="J928" s="90"/>
      <c r="U928" s="71"/>
      <c r="V928" s="70"/>
      <c r="W928" s="70"/>
      <c r="X928" s="71"/>
      <c r="Y928" s="70"/>
      <c r="Z928" s="70"/>
    </row>
    <row r="929" spans="1:26" x14ac:dyDescent="0.2">
      <c r="A929" s="62"/>
      <c r="B929" s="62"/>
      <c r="C929" s="177"/>
      <c r="D929" s="90"/>
      <c r="E929" s="1"/>
      <c r="F929" s="90"/>
      <c r="G929" s="90"/>
      <c r="H929" s="261"/>
      <c r="I929" s="261"/>
      <c r="J929" s="90"/>
      <c r="U929" s="71"/>
      <c r="V929" s="70"/>
      <c r="W929" s="70"/>
      <c r="X929" s="71"/>
      <c r="Y929" s="70"/>
      <c r="Z929" s="70"/>
    </row>
    <row r="930" spans="1:26" x14ac:dyDescent="0.2">
      <c r="A930" s="62"/>
      <c r="B930" s="62"/>
      <c r="C930" s="177"/>
      <c r="D930" s="90"/>
      <c r="E930" s="1"/>
      <c r="F930" s="90"/>
      <c r="G930" s="90"/>
      <c r="H930" s="261"/>
      <c r="I930" s="261"/>
      <c r="J930" s="90"/>
      <c r="U930" s="71"/>
      <c r="V930" s="70"/>
      <c r="W930" s="70"/>
      <c r="X930" s="71"/>
      <c r="Y930" s="70"/>
      <c r="Z930" s="70"/>
    </row>
    <row r="931" spans="1:26" x14ac:dyDescent="0.2">
      <c r="A931" s="62"/>
      <c r="B931" s="62"/>
      <c r="C931" s="177"/>
      <c r="D931" s="90"/>
      <c r="E931" s="1"/>
      <c r="F931" s="90"/>
      <c r="G931" s="90"/>
      <c r="H931" s="261"/>
      <c r="I931" s="261"/>
      <c r="J931" s="90"/>
      <c r="U931" s="71"/>
      <c r="V931" s="70"/>
      <c r="W931" s="70"/>
      <c r="X931" s="71"/>
      <c r="Y931" s="70"/>
      <c r="Z931" s="70"/>
    </row>
    <row r="932" spans="1:26" x14ac:dyDescent="0.2">
      <c r="A932" s="62"/>
      <c r="B932" s="62"/>
      <c r="C932" s="177"/>
      <c r="D932" s="90"/>
      <c r="E932" s="1"/>
      <c r="F932" s="90"/>
      <c r="G932" s="90"/>
      <c r="H932" s="261"/>
      <c r="I932" s="261"/>
      <c r="J932" s="90"/>
      <c r="U932" s="71"/>
      <c r="V932" s="70"/>
      <c r="W932" s="70"/>
      <c r="X932" s="71"/>
      <c r="Y932" s="70"/>
      <c r="Z932" s="70"/>
    </row>
    <row r="933" spans="1:26" x14ac:dyDescent="0.2">
      <c r="A933" s="62"/>
      <c r="B933" s="62"/>
      <c r="C933" s="177"/>
      <c r="D933" s="90"/>
      <c r="E933" s="1"/>
      <c r="F933" s="90"/>
      <c r="G933" s="90"/>
      <c r="H933" s="261"/>
      <c r="I933" s="261"/>
      <c r="J933" s="90"/>
      <c r="U933" s="71"/>
      <c r="V933" s="70"/>
      <c r="W933" s="70"/>
      <c r="X933" s="71"/>
      <c r="Y933" s="70"/>
      <c r="Z933" s="70"/>
    </row>
    <row r="934" spans="1:26" x14ac:dyDescent="0.2">
      <c r="A934" s="62"/>
      <c r="B934" s="62"/>
      <c r="C934" s="177"/>
      <c r="D934" s="90"/>
      <c r="E934" s="1"/>
      <c r="F934" s="90"/>
      <c r="G934" s="90"/>
      <c r="H934" s="261"/>
      <c r="I934" s="261"/>
      <c r="J934" s="90"/>
      <c r="U934" s="71"/>
      <c r="V934" s="70"/>
      <c r="W934" s="70"/>
      <c r="X934" s="71"/>
      <c r="Y934" s="70"/>
      <c r="Z934" s="70"/>
    </row>
    <row r="935" spans="1:26" x14ac:dyDescent="0.2">
      <c r="A935" s="62"/>
      <c r="B935" s="62"/>
      <c r="C935" s="177"/>
      <c r="D935" s="90"/>
      <c r="E935" s="1"/>
      <c r="F935" s="90"/>
      <c r="G935" s="90"/>
      <c r="H935" s="261"/>
      <c r="I935" s="261"/>
      <c r="J935" s="90"/>
      <c r="U935" s="71"/>
      <c r="V935" s="70"/>
      <c r="W935" s="70"/>
      <c r="X935" s="71"/>
      <c r="Y935" s="70"/>
      <c r="Z935" s="70"/>
    </row>
    <row r="936" spans="1:26" x14ac:dyDescent="0.2">
      <c r="A936" s="62"/>
      <c r="B936" s="62"/>
      <c r="C936" s="177"/>
      <c r="D936" s="90"/>
      <c r="E936" s="1"/>
      <c r="F936" s="90"/>
      <c r="G936" s="90"/>
      <c r="H936" s="261"/>
      <c r="I936" s="261"/>
      <c r="J936" s="90"/>
      <c r="U936" s="71"/>
      <c r="V936" s="70"/>
      <c r="W936" s="70"/>
      <c r="X936" s="71"/>
      <c r="Y936" s="70"/>
      <c r="Z936" s="70"/>
    </row>
    <row r="937" spans="1:26" x14ac:dyDescent="0.2">
      <c r="A937" s="62"/>
      <c r="B937" s="62"/>
      <c r="C937" s="177"/>
      <c r="D937" s="90"/>
      <c r="E937" s="1"/>
      <c r="F937" s="90"/>
      <c r="G937" s="90"/>
      <c r="H937" s="261"/>
      <c r="I937" s="261"/>
      <c r="J937" s="90"/>
      <c r="U937" s="71"/>
      <c r="V937" s="70"/>
      <c r="W937" s="70"/>
      <c r="X937" s="71"/>
      <c r="Y937" s="70"/>
      <c r="Z937" s="70"/>
    </row>
    <row r="938" spans="1:26" x14ac:dyDescent="0.2">
      <c r="A938" s="62"/>
      <c r="B938" s="62"/>
      <c r="C938" s="177"/>
      <c r="D938" s="90"/>
      <c r="E938" s="1"/>
      <c r="F938" s="90"/>
      <c r="G938" s="90"/>
      <c r="H938" s="261"/>
      <c r="I938" s="261"/>
      <c r="J938" s="90"/>
      <c r="U938" s="71"/>
      <c r="V938" s="70"/>
      <c r="W938" s="70"/>
      <c r="X938" s="71"/>
      <c r="Y938" s="70"/>
      <c r="Z938" s="70"/>
    </row>
    <row r="939" spans="1:26" x14ac:dyDescent="0.2">
      <c r="A939" s="62"/>
      <c r="B939" s="62"/>
      <c r="C939" s="177"/>
      <c r="D939" s="90"/>
      <c r="E939" s="1"/>
      <c r="F939" s="90"/>
      <c r="G939" s="90"/>
      <c r="H939" s="261"/>
      <c r="I939" s="261"/>
      <c r="J939" s="90"/>
      <c r="U939" s="71"/>
      <c r="V939" s="70"/>
      <c r="W939" s="70"/>
      <c r="X939" s="71"/>
      <c r="Y939" s="70"/>
      <c r="Z939" s="70"/>
    </row>
    <row r="940" spans="1:26" x14ac:dyDescent="0.2">
      <c r="A940" s="62"/>
      <c r="B940" s="62"/>
      <c r="C940" s="177"/>
      <c r="D940" s="90"/>
      <c r="E940" s="1"/>
      <c r="F940" s="90"/>
      <c r="G940" s="90"/>
      <c r="H940" s="261"/>
      <c r="I940" s="261"/>
      <c r="J940" s="90"/>
      <c r="U940" s="71"/>
      <c r="V940" s="70"/>
      <c r="W940" s="70"/>
      <c r="X940" s="71"/>
      <c r="Y940" s="70"/>
      <c r="Z940" s="70"/>
    </row>
    <row r="941" spans="1:26" x14ac:dyDescent="0.2">
      <c r="A941" s="62"/>
      <c r="B941" s="62"/>
      <c r="C941" s="177"/>
      <c r="D941" s="90"/>
      <c r="E941" s="1"/>
      <c r="F941" s="90"/>
      <c r="G941" s="90"/>
      <c r="H941" s="261"/>
      <c r="I941" s="261"/>
      <c r="J941" s="90"/>
      <c r="U941" s="71"/>
      <c r="V941" s="70"/>
      <c r="W941" s="70"/>
      <c r="X941" s="71"/>
      <c r="Y941" s="70"/>
      <c r="Z941" s="70"/>
    </row>
    <row r="942" spans="1:26" x14ac:dyDescent="0.2">
      <c r="A942" s="62"/>
      <c r="B942" s="62"/>
      <c r="C942" s="177"/>
      <c r="D942" s="90"/>
      <c r="E942" s="1"/>
      <c r="F942" s="90"/>
      <c r="G942" s="90"/>
      <c r="H942" s="261"/>
      <c r="I942" s="261"/>
      <c r="J942" s="90"/>
      <c r="U942" s="71"/>
      <c r="V942" s="70"/>
      <c r="W942" s="70"/>
      <c r="X942" s="71"/>
      <c r="Y942" s="70"/>
      <c r="Z942" s="70"/>
    </row>
    <row r="943" spans="1:26" x14ac:dyDescent="0.2">
      <c r="A943" s="62"/>
      <c r="B943" s="62"/>
      <c r="C943" s="177"/>
      <c r="D943" s="90"/>
      <c r="E943" s="1"/>
      <c r="F943" s="90"/>
      <c r="G943" s="90"/>
      <c r="H943" s="261"/>
      <c r="I943" s="261"/>
      <c r="J943" s="90"/>
      <c r="U943" s="71"/>
      <c r="V943" s="70"/>
      <c r="W943" s="70"/>
      <c r="X943" s="71"/>
      <c r="Y943" s="70"/>
      <c r="Z943" s="70"/>
    </row>
    <row r="944" spans="1:26" x14ac:dyDescent="0.2">
      <c r="A944" s="62"/>
      <c r="B944" s="62"/>
      <c r="C944" s="177"/>
      <c r="D944" s="90"/>
      <c r="E944" s="1"/>
      <c r="F944" s="90"/>
      <c r="G944" s="90"/>
      <c r="H944" s="261"/>
      <c r="I944" s="261"/>
      <c r="J944" s="90"/>
      <c r="U944" s="71"/>
      <c r="V944" s="70"/>
      <c r="W944" s="70"/>
      <c r="X944" s="71"/>
      <c r="Y944" s="70"/>
      <c r="Z944" s="70"/>
    </row>
    <row r="945" spans="1:32" x14ac:dyDescent="0.2">
      <c r="A945" s="62"/>
      <c r="B945" s="62"/>
      <c r="C945" s="177"/>
      <c r="D945" s="90"/>
      <c r="E945" s="1"/>
      <c r="F945" s="90"/>
      <c r="G945" s="90"/>
      <c r="H945" s="261"/>
      <c r="I945" s="261"/>
      <c r="J945" s="90"/>
      <c r="U945" s="71"/>
      <c r="V945" s="70"/>
      <c r="W945" s="70"/>
      <c r="X945" s="71"/>
      <c r="Y945" s="70"/>
      <c r="Z945" s="70"/>
    </row>
    <row r="946" spans="1:32" x14ac:dyDescent="0.2">
      <c r="A946" s="62"/>
      <c r="B946" s="62"/>
      <c r="C946" s="177"/>
      <c r="D946" s="90"/>
      <c r="E946" s="235"/>
      <c r="F946" s="90"/>
      <c r="G946" s="90"/>
      <c r="H946" s="261"/>
      <c r="I946" s="261"/>
      <c r="J946" s="90"/>
      <c r="U946" s="71"/>
      <c r="V946" s="70"/>
      <c r="W946" s="70"/>
      <c r="X946" s="71"/>
      <c r="Y946" s="70"/>
      <c r="Z946" s="70"/>
    </row>
    <row r="947" spans="1:32" x14ac:dyDescent="0.2">
      <c r="A947" s="62"/>
      <c r="B947" s="62"/>
      <c r="C947" s="177"/>
      <c r="D947" s="90"/>
      <c r="E947" s="1"/>
      <c r="F947" s="90"/>
      <c r="G947" s="90"/>
      <c r="H947" s="261"/>
      <c r="I947" s="261"/>
      <c r="J947" s="90"/>
      <c r="U947" s="71"/>
      <c r="V947" s="70"/>
      <c r="W947" s="70"/>
      <c r="X947" s="71"/>
      <c r="Y947" s="70"/>
      <c r="Z947" s="70"/>
    </row>
    <row r="948" spans="1:32" x14ac:dyDescent="0.2">
      <c r="A948" s="62"/>
      <c r="B948" s="62"/>
      <c r="C948" s="177"/>
      <c r="D948" s="90"/>
      <c r="E948" s="1"/>
      <c r="F948" s="90"/>
      <c r="G948" s="90"/>
      <c r="H948" s="261"/>
      <c r="I948" s="261"/>
      <c r="J948" s="90"/>
      <c r="U948" s="71"/>
      <c r="V948" s="70"/>
      <c r="W948" s="70"/>
      <c r="X948" s="71"/>
      <c r="Y948" s="70"/>
      <c r="Z948" s="70"/>
    </row>
    <row r="949" spans="1:32" x14ac:dyDescent="0.2">
      <c r="A949" s="62"/>
      <c r="B949" s="62"/>
      <c r="C949" s="177"/>
      <c r="D949" s="90"/>
      <c r="E949" s="1"/>
      <c r="F949" s="90"/>
      <c r="G949" s="90"/>
      <c r="H949" s="261"/>
      <c r="I949" s="261"/>
      <c r="J949" s="90"/>
      <c r="U949" s="71"/>
      <c r="V949" s="70"/>
      <c r="W949" s="70"/>
      <c r="X949" s="71"/>
      <c r="Y949" s="70"/>
      <c r="Z949" s="70"/>
    </row>
    <row r="950" spans="1:32" x14ac:dyDescent="0.2">
      <c r="A950" s="62"/>
      <c r="B950" s="62"/>
      <c r="C950" s="177"/>
      <c r="D950" s="90"/>
      <c r="E950" s="1"/>
      <c r="F950" s="90"/>
      <c r="G950" s="90"/>
      <c r="H950" s="261"/>
      <c r="I950" s="261"/>
      <c r="J950" s="90"/>
      <c r="U950" s="71"/>
      <c r="V950" s="70"/>
      <c r="W950" s="70"/>
      <c r="X950" s="71"/>
      <c r="Y950" s="70"/>
      <c r="Z950" s="70"/>
    </row>
    <row r="951" spans="1:32" x14ac:dyDescent="0.2">
      <c r="A951" s="62"/>
      <c r="B951" s="62"/>
      <c r="C951" s="177"/>
      <c r="D951" s="90"/>
      <c r="E951" s="1"/>
      <c r="F951" s="90"/>
      <c r="G951" s="90"/>
      <c r="H951" s="261"/>
      <c r="I951" s="261"/>
      <c r="J951" s="90"/>
      <c r="K951" s="172"/>
      <c r="L951" s="172"/>
      <c r="U951" s="71"/>
      <c r="V951" s="70"/>
      <c r="W951" s="70"/>
      <c r="X951" s="71"/>
      <c r="Y951" s="70"/>
      <c r="Z951" s="70"/>
    </row>
    <row r="952" spans="1:32" x14ac:dyDescent="0.2">
      <c r="A952" s="62"/>
      <c r="B952" s="62"/>
      <c r="C952" s="177"/>
      <c r="D952" s="90"/>
      <c r="E952" s="1"/>
      <c r="F952" s="90"/>
      <c r="G952" s="90"/>
      <c r="H952" s="261"/>
      <c r="I952" s="261"/>
      <c r="J952" s="90"/>
      <c r="U952" s="71"/>
      <c r="V952" s="70"/>
      <c r="W952" s="70"/>
      <c r="X952" s="71"/>
      <c r="Y952" s="70"/>
      <c r="Z952" s="70"/>
    </row>
    <row r="953" spans="1:32" x14ac:dyDescent="0.2">
      <c r="A953" s="62"/>
      <c r="B953" s="62"/>
      <c r="C953" s="177"/>
      <c r="D953" s="90"/>
      <c r="E953" s="1"/>
      <c r="F953" s="90"/>
      <c r="G953" s="90"/>
      <c r="H953" s="261"/>
      <c r="I953" s="261"/>
      <c r="J953" s="90"/>
      <c r="U953" s="71"/>
      <c r="V953" s="70"/>
      <c r="W953" s="70"/>
      <c r="X953" s="71"/>
      <c r="Y953" s="70"/>
      <c r="Z953" s="70"/>
    </row>
    <row r="954" spans="1:32" x14ac:dyDescent="0.2">
      <c r="A954" s="62"/>
      <c r="B954" s="62"/>
      <c r="C954" s="177"/>
      <c r="D954" s="180"/>
      <c r="E954" s="1"/>
      <c r="F954" s="90"/>
      <c r="G954" s="90"/>
      <c r="H954" s="261"/>
      <c r="I954" s="261"/>
      <c r="J954" s="90"/>
      <c r="U954" s="71"/>
      <c r="V954" s="70"/>
      <c r="W954" s="70"/>
      <c r="X954" s="71"/>
      <c r="Y954" s="70"/>
      <c r="Z954" s="70"/>
    </row>
    <row r="955" spans="1:32" x14ac:dyDescent="0.2">
      <c r="A955" s="62"/>
      <c r="B955" s="62"/>
      <c r="C955" s="177"/>
      <c r="D955" s="180"/>
      <c r="E955" s="55"/>
      <c r="F955" s="90"/>
      <c r="G955" s="90"/>
      <c r="H955" s="261"/>
      <c r="I955" s="261"/>
      <c r="J955" s="90"/>
      <c r="U955" s="71"/>
      <c r="V955" s="70"/>
      <c r="W955" s="70"/>
      <c r="X955" s="71"/>
      <c r="Y955" s="70"/>
      <c r="Z955" s="70"/>
    </row>
    <row r="956" spans="1:32" x14ac:dyDescent="0.2">
      <c r="A956" s="62"/>
      <c r="B956" s="62"/>
      <c r="C956" s="177"/>
      <c r="D956" s="90"/>
      <c r="E956" s="19"/>
      <c r="F956" s="90"/>
      <c r="G956" s="90"/>
      <c r="H956" s="261"/>
      <c r="I956" s="261"/>
      <c r="J956" s="90"/>
      <c r="U956" s="71"/>
      <c r="V956" s="70"/>
      <c r="W956" s="70"/>
      <c r="X956" s="71"/>
      <c r="Y956" s="70"/>
      <c r="Z956" s="70"/>
    </row>
    <row r="957" spans="1:32" s="53" customFormat="1" x14ac:dyDescent="0.2">
      <c r="A957" s="63"/>
      <c r="B957" s="63"/>
      <c r="C957" s="176"/>
      <c r="D957" s="167"/>
      <c r="E957" s="19"/>
      <c r="F957" s="181"/>
      <c r="G957" s="181"/>
      <c r="H957" s="267"/>
      <c r="I957" s="267"/>
      <c r="J957" s="181"/>
      <c r="K957" s="167"/>
      <c r="L957" s="167"/>
      <c r="M957" s="201"/>
      <c r="N957" s="521"/>
      <c r="O957" s="521"/>
      <c r="P957" s="521"/>
      <c r="Q957" s="372"/>
      <c r="R957" s="372"/>
      <c r="S957" s="372"/>
      <c r="T957" s="372"/>
      <c r="U957" s="56"/>
      <c r="V957" s="57"/>
      <c r="W957" s="57"/>
      <c r="X957" s="56"/>
      <c r="Y957" s="57"/>
      <c r="Z957" s="57"/>
      <c r="AA957" s="299"/>
      <c r="AE957" s="42"/>
      <c r="AF957" s="42"/>
    </row>
    <row r="958" spans="1:32" s="19" customFormat="1" x14ac:dyDescent="0.2">
      <c r="A958" s="37"/>
      <c r="B958" s="37"/>
      <c r="C958" s="170"/>
      <c r="D958" s="172"/>
      <c r="F958" s="172"/>
      <c r="G958" s="172"/>
      <c r="H958" s="245"/>
      <c r="I958" s="245"/>
      <c r="J958" s="172"/>
      <c r="K958" s="172"/>
      <c r="L958" s="172"/>
      <c r="M958" s="200"/>
      <c r="N958" s="515"/>
      <c r="O958" s="515"/>
      <c r="P958" s="515"/>
      <c r="Q958" s="371"/>
      <c r="R958" s="371"/>
      <c r="S958" s="371"/>
      <c r="T958" s="371"/>
      <c r="U958" s="29"/>
      <c r="V958" s="30"/>
      <c r="W958" s="30"/>
      <c r="X958" s="29"/>
      <c r="Y958" s="30"/>
      <c r="Z958" s="30"/>
      <c r="AA958" s="299"/>
      <c r="AE958" s="42"/>
      <c r="AF958" s="42"/>
    </row>
    <row r="959" spans="1:32" s="19" customFormat="1" x14ac:dyDescent="0.2">
      <c r="A959" s="37"/>
      <c r="B959" s="37"/>
      <c r="C959" s="170"/>
      <c r="D959" s="172"/>
      <c r="F959" s="172"/>
      <c r="G959" s="172"/>
      <c r="H959" s="245"/>
      <c r="I959" s="245"/>
      <c r="J959" s="172"/>
      <c r="K959" s="172"/>
      <c r="L959" s="172"/>
      <c r="M959" s="200"/>
      <c r="N959" s="515"/>
      <c r="O959" s="515"/>
      <c r="P959" s="515"/>
      <c r="Q959" s="371"/>
      <c r="R959" s="371"/>
      <c r="S959" s="371"/>
      <c r="T959" s="371"/>
      <c r="U959" s="29"/>
      <c r="V959" s="30"/>
      <c r="W959" s="30"/>
      <c r="X959" s="29"/>
      <c r="Y959" s="30"/>
      <c r="Z959" s="30"/>
      <c r="AA959" s="299"/>
      <c r="AE959" s="42"/>
      <c r="AF959" s="42"/>
    </row>
    <row r="960" spans="1:32" s="19" customFormat="1" x14ac:dyDescent="0.2">
      <c r="A960" s="37"/>
      <c r="B960" s="37"/>
      <c r="C960" s="170"/>
      <c r="D960" s="172"/>
      <c r="F960" s="172"/>
      <c r="G960" s="172"/>
      <c r="H960" s="245"/>
      <c r="I960" s="245"/>
      <c r="J960" s="172"/>
      <c r="K960" s="172"/>
      <c r="L960" s="172"/>
      <c r="M960" s="200"/>
      <c r="N960" s="515"/>
      <c r="O960" s="515"/>
      <c r="P960" s="515"/>
      <c r="Q960" s="371"/>
      <c r="R960" s="371"/>
      <c r="S960" s="371"/>
      <c r="T960" s="371"/>
      <c r="U960" s="29"/>
      <c r="V960" s="30"/>
      <c r="W960" s="30"/>
      <c r="X960" s="29"/>
      <c r="Y960" s="30"/>
      <c r="Z960" s="30"/>
      <c r="AA960" s="299"/>
      <c r="AE960" s="42"/>
      <c r="AF960" s="42"/>
    </row>
    <row r="961" spans="1:32" s="19" customFormat="1" x14ac:dyDescent="0.2">
      <c r="A961" s="37"/>
      <c r="B961" s="37"/>
      <c r="C961" s="170"/>
      <c r="D961" s="172"/>
      <c r="F961" s="172"/>
      <c r="G961" s="172"/>
      <c r="H961" s="245"/>
      <c r="I961" s="245"/>
      <c r="J961" s="172"/>
      <c r="K961" s="172"/>
      <c r="L961" s="172"/>
      <c r="M961" s="200"/>
      <c r="N961" s="515"/>
      <c r="O961" s="515"/>
      <c r="P961" s="515"/>
      <c r="Q961" s="371"/>
      <c r="R961" s="371"/>
      <c r="S961" s="371"/>
      <c r="T961" s="371"/>
      <c r="U961" s="29"/>
      <c r="V961" s="30"/>
      <c r="W961" s="30"/>
      <c r="X961" s="29"/>
      <c r="Y961" s="30"/>
      <c r="Z961" s="30"/>
      <c r="AA961" s="299"/>
      <c r="AE961" s="42"/>
      <c r="AF961" s="42"/>
    </row>
    <row r="962" spans="1:32" s="19" customFormat="1" x14ac:dyDescent="0.2">
      <c r="A962" s="37"/>
      <c r="B962" s="37"/>
      <c r="C962" s="170"/>
      <c r="D962" s="172"/>
      <c r="F962" s="172"/>
      <c r="G962" s="172"/>
      <c r="H962" s="245"/>
      <c r="I962" s="245"/>
      <c r="J962" s="172"/>
      <c r="K962" s="172"/>
      <c r="L962" s="172"/>
      <c r="M962" s="200"/>
      <c r="N962" s="515"/>
      <c r="O962" s="515"/>
      <c r="P962" s="515"/>
      <c r="Q962" s="371"/>
      <c r="R962" s="371"/>
      <c r="S962" s="371"/>
      <c r="T962" s="371"/>
      <c r="U962" s="29"/>
      <c r="V962" s="30"/>
      <c r="W962" s="30"/>
      <c r="X962" s="29"/>
      <c r="Y962" s="30"/>
      <c r="Z962" s="30"/>
      <c r="AA962" s="299"/>
      <c r="AE962" s="42"/>
      <c r="AF962" s="42"/>
    </row>
    <row r="963" spans="1:32" s="19" customFormat="1" x14ac:dyDescent="0.2">
      <c r="A963" s="37"/>
      <c r="B963" s="37"/>
      <c r="C963" s="170"/>
      <c r="D963" s="172"/>
      <c r="F963" s="172"/>
      <c r="G963" s="172"/>
      <c r="H963" s="245"/>
      <c r="I963" s="245"/>
      <c r="J963" s="172"/>
      <c r="K963" s="172"/>
      <c r="L963" s="172"/>
      <c r="M963" s="200"/>
      <c r="N963" s="515"/>
      <c r="O963" s="515"/>
      <c r="P963" s="515"/>
      <c r="Q963" s="371"/>
      <c r="R963" s="371"/>
      <c r="S963" s="371"/>
      <c r="T963" s="371"/>
      <c r="U963" s="29"/>
      <c r="V963" s="30"/>
      <c r="W963" s="30"/>
      <c r="X963" s="29"/>
      <c r="Y963" s="30"/>
      <c r="Z963" s="30"/>
      <c r="AA963" s="299"/>
      <c r="AE963" s="42"/>
      <c r="AF963" s="42"/>
    </row>
    <row r="964" spans="1:32" s="19" customFormat="1" x14ac:dyDescent="0.2">
      <c r="A964" s="37"/>
      <c r="B964" s="37"/>
      <c r="C964" s="170"/>
      <c r="D964" s="172"/>
      <c r="F964" s="172"/>
      <c r="G964" s="172"/>
      <c r="H964" s="245"/>
      <c r="I964" s="245"/>
      <c r="J964" s="172"/>
      <c r="K964" s="172"/>
      <c r="L964" s="172"/>
      <c r="M964" s="200"/>
      <c r="N964" s="515"/>
      <c r="O964" s="515"/>
      <c r="P964" s="515"/>
      <c r="Q964" s="371"/>
      <c r="R964" s="371"/>
      <c r="S964" s="371"/>
      <c r="T964" s="371"/>
      <c r="U964" s="29"/>
      <c r="V964" s="30"/>
      <c r="W964" s="30"/>
      <c r="X964" s="29"/>
      <c r="Y964" s="30"/>
      <c r="Z964" s="30"/>
      <c r="AA964" s="299"/>
      <c r="AE964" s="42"/>
      <c r="AF964" s="42"/>
    </row>
    <row r="965" spans="1:32" s="19" customFormat="1" x14ac:dyDescent="0.2">
      <c r="A965" s="37"/>
      <c r="B965" s="37"/>
      <c r="C965" s="170"/>
      <c r="D965" s="172"/>
      <c r="F965" s="172"/>
      <c r="G965" s="172"/>
      <c r="H965" s="245"/>
      <c r="I965" s="245"/>
      <c r="J965" s="172"/>
      <c r="K965" s="172"/>
      <c r="L965" s="172"/>
      <c r="M965" s="200"/>
      <c r="N965" s="515"/>
      <c r="O965" s="515"/>
      <c r="P965" s="515"/>
      <c r="Q965" s="371"/>
      <c r="R965" s="371"/>
      <c r="S965" s="371"/>
      <c r="T965" s="371"/>
      <c r="U965" s="29"/>
      <c r="V965" s="30"/>
      <c r="W965" s="30"/>
      <c r="X965" s="29"/>
      <c r="Y965" s="30"/>
      <c r="Z965" s="30"/>
      <c r="AA965" s="299"/>
      <c r="AE965" s="42"/>
      <c r="AF965" s="42"/>
    </row>
    <row r="966" spans="1:32" s="19" customFormat="1" x14ac:dyDescent="0.2">
      <c r="A966" s="37"/>
      <c r="B966" s="37"/>
      <c r="C966" s="170"/>
      <c r="D966" s="172"/>
      <c r="F966" s="172"/>
      <c r="G966" s="172"/>
      <c r="H966" s="245"/>
      <c r="I966" s="245"/>
      <c r="J966" s="172"/>
      <c r="K966" s="172"/>
      <c r="L966" s="172"/>
      <c r="M966" s="200"/>
      <c r="N966" s="515"/>
      <c r="O966" s="515"/>
      <c r="P966" s="515"/>
      <c r="Q966" s="371"/>
      <c r="R966" s="371"/>
      <c r="S966" s="371"/>
      <c r="T966" s="371"/>
      <c r="U966" s="29"/>
      <c r="V966" s="30"/>
      <c r="W966" s="30"/>
      <c r="X966" s="29"/>
      <c r="Y966" s="30"/>
      <c r="Z966" s="30"/>
      <c r="AA966" s="299"/>
      <c r="AE966" s="42"/>
      <c r="AF966" s="42"/>
    </row>
    <row r="967" spans="1:32" s="19" customFormat="1" x14ac:dyDescent="0.2">
      <c r="A967" s="37"/>
      <c r="B967" s="37"/>
      <c r="C967" s="170"/>
      <c r="D967" s="172"/>
      <c r="F967" s="172"/>
      <c r="G967" s="172"/>
      <c r="H967" s="245"/>
      <c r="I967" s="245"/>
      <c r="J967" s="172"/>
      <c r="K967" s="172"/>
      <c r="L967" s="172"/>
      <c r="M967" s="200"/>
      <c r="N967" s="515"/>
      <c r="O967" s="515"/>
      <c r="P967" s="515"/>
      <c r="Q967" s="371"/>
      <c r="R967" s="371"/>
      <c r="S967" s="371"/>
      <c r="T967" s="371"/>
      <c r="U967" s="29"/>
      <c r="V967" s="30"/>
      <c r="W967" s="30"/>
      <c r="X967" s="29"/>
      <c r="Y967" s="30"/>
      <c r="Z967" s="30"/>
      <c r="AA967" s="299"/>
      <c r="AE967" s="42"/>
      <c r="AF967" s="42"/>
    </row>
    <row r="968" spans="1:32" s="19" customFormat="1" x14ac:dyDescent="0.2">
      <c r="A968" s="37"/>
      <c r="B968" s="37"/>
      <c r="C968" s="170"/>
      <c r="D968" s="172"/>
      <c r="F968" s="172"/>
      <c r="G968" s="172"/>
      <c r="H968" s="245"/>
      <c r="I968" s="245"/>
      <c r="J968" s="172"/>
      <c r="K968" s="172"/>
      <c r="L968" s="172"/>
      <c r="M968" s="200"/>
      <c r="N968" s="515"/>
      <c r="O968" s="515"/>
      <c r="P968" s="515"/>
      <c r="Q968" s="371"/>
      <c r="R968" s="371"/>
      <c r="S968" s="371"/>
      <c r="T968" s="371"/>
      <c r="U968" s="29"/>
      <c r="V968" s="30"/>
      <c r="W968" s="30"/>
      <c r="X968" s="29"/>
      <c r="Y968" s="30"/>
      <c r="Z968" s="30"/>
      <c r="AA968" s="299"/>
      <c r="AE968" s="42"/>
      <c r="AF968" s="42"/>
    </row>
    <row r="969" spans="1:32" s="32" customFormat="1" x14ac:dyDescent="0.2">
      <c r="A969" s="131"/>
      <c r="B969" s="131"/>
      <c r="C969" s="182"/>
      <c r="D969" s="183"/>
      <c r="E969" s="19"/>
      <c r="F969" s="183"/>
      <c r="G969" s="183"/>
      <c r="H969" s="268"/>
      <c r="I969" s="268"/>
      <c r="J969" s="183"/>
      <c r="K969" s="183"/>
      <c r="L969" s="183"/>
      <c r="M969" s="203"/>
      <c r="N969" s="520"/>
      <c r="O969" s="520"/>
      <c r="P969" s="520"/>
      <c r="Q969" s="375"/>
      <c r="R969" s="375"/>
      <c r="S969" s="375"/>
      <c r="T969" s="375"/>
      <c r="U969" s="33"/>
      <c r="V969" s="34"/>
      <c r="W969" s="34"/>
      <c r="X969" s="33"/>
      <c r="Y969" s="34"/>
      <c r="Z969" s="34"/>
      <c r="AA969" s="299"/>
      <c r="AE969" s="45"/>
      <c r="AF969" s="45"/>
    </row>
    <row r="970" spans="1:32" s="19" customFormat="1" x14ac:dyDescent="0.2">
      <c r="A970" s="37"/>
      <c r="B970" s="37"/>
      <c r="C970" s="170"/>
      <c r="D970" s="172"/>
      <c r="F970" s="172"/>
      <c r="G970" s="172"/>
      <c r="H970" s="245"/>
      <c r="I970" s="245"/>
      <c r="J970" s="172"/>
      <c r="K970" s="172"/>
      <c r="L970" s="172"/>
      <c r="M970" s="200"/>
      <c r="N970" s="515"/>
      <c r="O970" s="515"/>
      <c r="P970" s="515"/>
      <c r="Q970" s="371"/>
      <c r="R970" s="371"/>
      <c r="S970" s="371"/>
      <c r="T970" s="371"/>
      <c r="U970" s="29"/>
      <c r="V970" s="30"/>
      <c r="W970" s="30"/>
      <c r="X970" s="29"/>
      <c r="Y970" s="30"/>
      <c r="Z970" s="30"/>
      <c r="AA970" s="299"/>
      <c r="AE970" s="42"/>
      <c r="AF970" s="42"/>
    </row>
    <row r="971" spans="1:32" s="19" customFormat="1" x14ac:dyDescent="0.2">
      <c r="A971" s="37"/>
      <c r="B971" s="37"/>
      <c r="C971" s="170"/>
      <c r="D971" s="172"/>
      <c r="F971" s="172"/>
      <c r="G971" s="172"/>
      <c r="H971" s="245"/>
      <c r="I971" s="245"/>
      <c r="J971" s="172"/>
      <c r="K971" s="172"/>
      <c r="L971" s="172"/>
      <c r="M971" s="200"/>
      <c r="N971" s="515"/>
      <c r="O971" s="515"/>
      <c r="P971" s="515"/>
      <c r="Q971" s="371"/>
      <c r="R971" s="371"/>
      <c r="S971" s="371"/>
      <c r="T971" s="371"/>
      <c r="U971" s="29"/>
      <c r="V971" s="30"/>
      <c r="W971" s="30"/>
      <c r="X971" s="29"/>
      <c r="Y971" s="30"/>
      <c r="Z971" s="30"/>
      <c r="AA971" s="299"/>
      <c r="AE971" s="42"/>
      <c r="AF971" s="42"/>
    </row>
    <row r="972" spans="1:32" s="19" customFormat="1" x14ac:dyDescent="0.2">
      <c r="A972" s="37"/>
      <c r="B972" s="37"/>
      <c r="C972" s="170"/>
      <c r="D972" s="172"/>
      <c r="F972" s="172"/>
      <c r="G972" s="172"/>
      <c r="H972" s="245"/>
      <c r="I972" s="245"/>
      <c r="J972" s="172"/>
      <c r="K972" s="172"/>
      <c r="L972" s="172"/>
      <c r="M972" s="200"/>
      <c r="N972" s="515"/>
      <c r="O972" s="515"/>
      <c r="P972" s="515"/>
      <c r="Q972" s="371"/>
      <c r="R972" s="371"/>
      <c r="S972" s="371"/>
      <c r="T972" s="371"/>
      <c r="U972" s="29"/>
      <c r="V972" s="30"/>
      <c r="W972" s="30"/>
      <c r="X972" s="29"/>
      <c r="Y972" s="30"/>
      <c r="Z972" s="30"/>
      <c r="AA972" s="299"/>
      <c r="AE972" s="42"/>
      <c r="AF972" s="42"/>
    </row>
    <row r="973" spans="1:32" s="19" customFormat="1" x14ac:dyDescent="0.2">
      <c r="A973" s="37"/>
      <c r="B973" s="37"/>
      <c r="C973" s="170"/>
      <c r="D973" s="172"/>
      <c r="F973" s="172"/>
      <c r="G973" s="172"/>
      <c r="H973" s="245"/>
      <c r="I973" s="245"/>
      <c r="J973" s="172"/>
      <c r="K973" s="172"/>
      <c r="L973" s="172"/>
      <c r="M973" s="200"/>
      <c r="N973" s="515"/>
      <c r="O973" s="515"/>
      <c r="P973" s="515"/>
      <c r="Q973" s="371"/>
      <c r="R973" s="371"/>
      <c r="S973" s="371"/>
      <c r="T973" s="371"/>
      <c r="U973" s="29"/>
      <c r="V973" s="30"/>
      <c r="W973" s="30"/>
      <c r="X973" s="29"/>
      <c r="Y973" s="30"/>
      <c r="Z973" s="30"/>
      <c r="AA973" s="299"/>
      <c r="AE973" s="42"/>
      <c r="AF973" s="42"/>
    </row>
    <row r="974" spans="1:32" s="19" customFormat="1" x14ac:dyDescent="0.2">
      <c r="A974" s="37"/>
      <c r="B974" s="37"/>
      <c r="C974" s="170"/>
      <c r="D974" s="172"/>
      <c r="F974" s="172"/>
      <c r="G974" s="172"/>
      <c r="H974" s="245"/>
      <c r="I974" s="245"/>
      <c r="J974" s="172"/>
      <c r="K974" s="172"/>
      <c r="L974" s="172"/>
      <c r="M974" s="200"/>
      <c r="N974" s="515"/>
      <c r="O974" s="515"/>
      <c r="P974" s="515"/>
      <c r="Q974" s="371"/>
      <c r="R974" s="371"/>
      <c r="S974" s="371"/>
      <c r="T974" s="371"/>
      <c r="U974" s="29"/>
      <c r="V974" s="30"/>
      <c r="W974" s="30"/>
      <c r="X974" s="29"/>
      <c r="Y974" s="30"/>
      <c r="Z974" s="30"/>
      <c r="AA974" s="299"/>
      <c r="AE974" s="42"/>
      <c r="AF974" s="42"/>
    </row>
    <row r="975" spans="1:32" s="19" customFormat="1" x14ac:dyDescent="0.2">
      <c r="A975" s="37"/>
      <c r="B975" s="37"/>
      <c r="C975" s="170"/>
      <c r="D975" s="172"/>
      <c r="F975" s="172"/>
      <c r="G975" s="172"/>
      <c r="H975" s="245"/>
      <c r="I975" s="245"/>
      <c r="J975" s="172"/>
      <c r="K975" s="172"/>
      <c r="L975" s="172"/>
      <c r="M975" s="200"/>
      <c r="N975" s="515"/>
      <c r="O975" s="515"/>
      <c r="P975" s="515"/>
      <c r="Q975" s="371"/>
      <c r="R975" s="371"/>
      <c r="S975" s="371"/>
      <c r="T975" s="371"/>
      <c r="U975" s="29"/>
      <c r="V975" s="30"/>
      <c r="W975" s="30"/>
      <c r="X975" s="29"/>
      <c r="Y975" s="30"/>
      <c r="Z975" s="30"/>
      <c r="AA975" s="299"/>
      <c r="AE975" s="42"/>
      <c r="AF975" s="42"/>
    </row>
    <row r="976" spans="1:32" s="19" customFormat="1" x14ac:dyDescent="0.2">
      <c r="A976" s="37"/>
      <c r="B976" s="37"/>
      <c r="C976" s="170"/>
      <c r="D976" s="172"/>
      <c r="F976" s="172"/>
      <c r="G976" s="172"/>
      <c r="H976" s="245"/>
      <c r="I976" s="245"/>
      <c r="J976" s="172"/>
      <c r="K976" s="172"/>
      <c r="L976" s="172"/>
      <c r="M976" s="200"/>
      <c r="N976" s="515"/>
      <c r="O976" s="515"/>
      <c r="P976" s="515"/>
      <c r="Q976" s="371"/>
      <c r="R976" s="371"/>
      <c r="S976" s="371"/>
      <c r="T976" s="371"/>
      <c r="U976" s="29"/>
      <c r="V976" s="30"/>
      <c r="W976" s="30"/>
      <c r="X976" s="29"/>
      <c r="Y976" s="30"/>
      <c r="Z976" s="30"/>
      <c r="AA976" s="299"/>
      <c r="AE976" s="42"/>
      <c r="AF976" s="42"/>
    </row>
    <row r="977" spans="1:32" s="19" customFormat="1" x14ac:dyDescent="0.2">
      <c r="A977" s="37"/>
      <c r="B977" s="37"/>
      <c r="C977" s="170"/>
      <c r="D977" s="172"/>
      <c r="F977" s="172"/>
      <c r="G977" s="172"/>
      <c r="H977" s="245"/>
      <c r="I977" s="245"/>
      <c r="J977" s="172"/>
      <c r="K977" s="172"/>
      <c r="L977" s="172"/>
      <c r="M977" s="200"/>
      <c r="N977" s="515"/>
      <c r="O977" s="515"/>
      <c r="P977" s="515"/>
      <c r="Q977" s="371"/>
      <c r="R977" s="371"/>
      <c r="S977" s="371"/>
      <c r="T977" s="371"/>
      <c r="U977" s="29"/>
      <c r="V977" s="30"/>
      <c r="W977" s="30"/>
      <c r="X977" s="29"/>
      <c r="Y977" s="30"/>
      <c r="Z977" s="30"/>
      <c r="AA977" s="299"/>
      <c r="AE977" s="42"/>
      <c r="AF977" s="42"/>
    </row>
    <row r="978" spans="1:32" s="19" customFormat="1" x14ac:dyDescent="0.2">
      <c r="A978" s="37"/>
      <c r="B978" s="37"/>
      <c r="C978" s="170"/>
      <c r="D978" s="172"/>
      <c r="F978" s="172"/>
      <c r="G978" s="172"/>
      <c r="H978" s="245"/>
      <c r="I978" s="245"/>
      <c r="J978" s="172"/>
      <c r="K978" s="172"/>
      <c r="L978" s="172"/>
      <c r="M978" s="200"/>
      <c r="N978" s="515"/>
      <c r="O978" s="515"/>
      <c r="P978" s="515"/>
      <c r="Q978" s="371"/>
      <c r="R978" s="371"/>
      <c r="S978" s="371"/>
      <c r="T978" s="371"/>
      <c r="U978" s="29"/>
      <c r="V978" s="30"/>
      <c r="W978" s="30"/>
      <c r="X978" s="29"/>
      <c r="Y978" s="30"/>
      <c r="Z978" s="30"/>
      <c r="AA978" s="299"/>
      <c r="AE978" s="42"/>
      <c r="AF978" s="42"/>
    </row>
    <row r="979" spans="1:32" s="19" customFormat="1" x14ac:dyDescent="0.2">
      <c r="A979" s="37"/>
      <c r="B979" s="37"/>
      <c r="C979" s="170"/>
      <c r="D979" s="172"/>
      <c r="F979" s="172"/>
      <c r="G979" s="172"/>
      <c r="H979" s="245"/>
      <c r="I979" s="245"/>
      <c r="J979" s="172"/>
      <c r="K979" s="172"/>
      <c r="L979" s="172"/>
      <c r="M979" s="200"/>
      <c r="N979" s="515"/>
      <c r="O979" s="515"/>
      <c r="P979" s="515"/>
      <c r="Q979" s="371"/>
      <c r="R979" s="371"/>
      <c r="S979" s="371"/>
      <c r="T979" s="371"/>
      <c r="U979" s="29"/>
      <c r="V979" s="30"/>
      <c r="W979" s="30"/>
      <c r="X979" s="29"/>
      <c r="Y979" s="30"/>
      <c r="Z979" s="30"/>
      <c r="AA979" s="299"/>
      <c r="AE979" s="42"/>
      <c r="AF979" s="42"/>
    </row>
    <row r="980" spans="1:32" s="19" customFormat="1" x14ac:dyDescent="0.2">
      <c r="A980" s="37"/>
      <c r="B980" s="37"/>
      <c r="C980" s="170"/>
      <c r="D980" s="172"/>
      <c r="F980" s="172"/>
      <c r="G980" s="172"/>
      <c r="H980" s="245"/>
      <c r="I980" s="245"/>
      <c r="J980" s="172"/>
      <c r="K980" s="172"/>
      <c r="L980" s="172"/>
      <c r="M980" s="200"/>
      <c r="N980" s="515"/>
      <c r="O980" s="515"/>
      <c r="P980" s="515"/>
      <c r="Q980" s="371"/>
      <c r="R980" s="371"/>
      <c r="S980" s="371"/>
      <c r="T980" s="371"/>
      <c r="U980" s="29"/>
      <c r="V980" s="30"/>
      <c r="W980" s="30"/>
      <c r="X980" s="29"/>
      <c r="Y980" s="30"/>
      <c r="Z980" s="30"/>
      <c r="AA980" s="299"/>
      <c r="AE980" s="42"/>
      <c r="AF980" s="42"/>
    </row>
    <row r="981" spans="1:32" s="19" customFormat="1" x14ac:dyDescent="0.2">
      <c r="A981" s="37"/>
      <c r="B981" s="37"/>
      <c r="C981" s="170"/>
      <c r="D981" s="172"/>
      <c r="F981" s="172"/>
      <c r="G981" s="172"/>
      <c r="H981" s="245"/>
      <c r="I981" s="245"/>
      <c r="J981" s="172"/>
      <c r="K981" s="172"/>
      <c r="L981" s="172"/>
      <c r="M981" s="200"/>
      <c r="N981" s="515"/>
      <c r="O981" s="515"/>
      <c r="P981" s="515"/>
      <c r="Q981" s="371"/>
      <c r="R981" s="371"/>
      <c r="S981" s="371"/>
      <c r="T981" s="371"/>
      <c r="U981" s="29"/>
      <c r="V981" s="30"/>
      <c r="W981" s="30"/>
      <c r="X981" s="29"/>
      <c r="Y981" s="30"/>
      <c r="Z981" s="30"/>
      <c r="AA981" s="299"/>
      <c r="AE981" s="42"/>
      <c r="AF981" s="42"/>
    </row>
    <row r="982" spans="1:32" s="19" customFormat="1" x14ac:dyDescent="0.2">
      <c r="A982" s="37"/>
      <c r="B982" s="37"/>
      <c r="C982" s="170"/>
      <c r="D982" s="172"/>
      <c r="F982" s="172"/>
      <c r="G982" s="172"/>
      <c r="H982" s="245"/>
      <c r="I982" s="245"/>
      <c r="J982" s="172"/>
      <c r="K982" s="172"/>
      <c r="L982" s="172"/>
      <c r="M982" s="200"/>
      <c r="N982" s="515"/>
      <c r="O982" s="515"/>
      <c r="P982" s="515"/>
      <c r="Q982" s="371"/>
      <c r="R982" s="371"/>
      <c r="S982" s="371"/>
      <c r="T982" s="371"/>
      <c r="U982" s="29"/>
      <c r="V982" s="30"/>
      <c r="W982" s="30"/>
      <c r="X982" s="29"/>
      <c r="Y982" s="30"/>
      <c r="Z982" s="30"/>
      <c r="AA982" s="299"/>
      <c r="AE982" s="42"/>
      <c r="AF982" s="42"/>
    </row>
    <row r="983" spans="1:32" s="19" customFormat="1" x14ac:dyDescent="0.2">
      <c r="A983" s="37"/>
      <c r="B983" s="37"/>
      <c r="C983" s="170"/>
      <c r="D983" s="172"/>
      <c r="F983" s="172"/>
      <c r="G983" s="172"/>
      <c r="H983" s="245"/>
      <c r="I983" s="245"/>
      <c r="J983" s="172"/>
      <c r="K983" s="172"/>
      <c r="L983" s="172"/>
      <c r="M983" s="200"/>
      <c r="N983" s="515"/>
      <c r="O983" s="515"/>
      <c r="P983" s="515"/>
      <c r="Q983" s="371"/>
      <c r="R983" s="371"/>
      <c r="S983" s="371"/>
      <c r="T983" s="371"/>
      <c r="U983" s="29"/>
      <c r="V983" s="30"/>
      <c r="W983" s="30"/>
      <c r="X983" s="29"/>
      <c r="Y983" s="30"/>
      <c r="Z983" s="30"/>
      <c r="AA983" s="299"/>
      <c r="AE983" s="42"/>
      <c r="AF983" s="42"/>
    </row>
    <row r="984" spans="1:32" s="19" customFormat="1" x14ac:dyDescent="0.2">
      <c r="A984" s="37"/>
      <c r="B984" s="37"/>
      <c r="C984" s="170"/>
      <c r="D984" s="172"/>
      <c r="F984" s="172"/>
      <c r="G984" s="172"/>
      <c r="H984" s="245"/>
      <c r="I984" s="245"/>
      <c r="J984" s="172"/>
      <c r="K984" s="172"/>
      <c r="L984" s="172"/>
      <c r="M984" s="200"/>
      <c r="N984" s="515"/>
      <c r="O984" s="515"/>
      <c r="P984" s="515"/>
      <c r="Q984" s="371"/>
      <c r="R984" s="371"/>
      <c r="S984" s="371"/>
      <c r="T984" s="371"/>
      <c r="U984" s="29"/>
      <c r="V984" s="30"/>
      <c r="W984" s="30"/>
      <c r="X984" s="29"/>
      <c r="Y984" s="30"/>
      <c r="Z984" s="30"/>
      <c r="AA984" s="299"/>
      <c r="AE984" s="42"/>
      <c r="AF984" s="42"/>
    </row>
    <row r="985" spans="1:32" s="19" customFormat="1" x14ac:dyDescent="0.2">
      <c r="A985" s="37"/>
      <c r="B985" s="37"/>
      <c r="C985" s="170"/>
      <c r="D985" s="172"/>
      <c r="F985" s="172"/>
      <c r="G985" s="172"/>
      <c r="H985" s="245"/>
      <c r="I985" s="245"/>
      <c r="J985" s="172"/>
      <c r="K985" s="172"/>
      <c r="L985" s="172"/>
      <c r="M985" s="200"/>
      <c r="N985" s="515"/>
      <c r="O985" s="515"/>
      <c r="P985" s="515"/>
      <c r="Q985" s="371"/>
      <c r="R985" s="371"/>
      <c r="S985" s="371"/>
      <c r="T985" s="371"/>
      <c r="U985" s="29"/>
      <c r="V985" s="30"/>
      <c r="W985" s="30"/>
      <c r="X985" s="29"/>
      <c r="Y985" s="30"/>
      <c r="Z985" s="30"/>
      <c r="AA985" s="299"/>
      <c r="AE985" s="42"/>
      <c r="AF985" s="42"/>
    </row>
    <row r="986" spans="1:32" s="19" customFormat="1" x14ac:dyDescent="0.2">
      <c r="A986" s="37"/>
      <c r="B986" s="37"/>
      <c r="C986" s="170"/>
      <c r="D986" s="172"/>
      <c r="F986" s="172"/>
      <c r="G986" s="172"/>
      <c r="H986" s="245"/>
      <c r="I986" s="245"/>
      <c r="J986" s="172"/>
      <c r="K986" s="172"/>
      <c r="L986" s="172"/>
      <c r="M986" s="200"/>
      <c r="N986" s="515"/>
      <c r="O986" s="515"/>
      <c r="P986" s="515"/>
      <c r="Q986" s="371"/>
      <c r="R986" s="371"/>
      <c r="S986" s="371"/>
      <c r="T986" s="371"/>
      <c r="U986" s="29"/>
      <c r="V986" s="30"/>
      <c r="W986" s="30"/>
      <c r="X986" s="29"/>
      <c r="Y986" s="30"/>
      <c r="Z986" s="30"/>
      <c r="AA986" s="299"/>
      <c r="AE986" s="42"/>
      <c r="AF986" s="42"/>
    </row>
    <row r="987" spans="1:32" s="19" customFormat="1" x14ac:dyDescent="0.2">
      <c r="A987" s="37"/>
      <c r="B987" s="37"/>
      <c r="C987" s="170"/>
      <c r="D987" s="172"/>
      <c r="F987" s="172"/>
      <c r="G987" s="172"/>
      <c r="H987" s="245"/>
      <c r="I987" s="245"/>
      <c r="J987" s="172"/>
      <c r="K987" s="172"/>
      <c r="L987" s="172"/>
      <c r="M987" s="200"/>
      <c r="N987" s="515"/>
      <c r="O987" s="515"/>
      <c r="P987" s="515"/>
      <c r="Q987" s="371"/>
      <c r="R987" s="371"/>
      <c r="S987" s="371"/>
      <c r="T987" s="371"/>
      <c r="U987" s="29"/>
      <c r="V987" s="30"/>
      <c r="W987" s="30"/>
      <c r="X987" s="29"/>
      <c r="Y987" s="30"/>
      <c r="Z987" s="30"/>
      <c r="AA987" s="299"/>
      <c r="AE987" s="42"/>
      <c r="AF987" s="42"/>
    </row>
    <row r="988" spans="1:32" s="19" customFormat="1" x14ac:dyDescent="0.2">
      <c r="A988" s="37"/>
      <c r="B988" s="37"/>
      <c r="C988" s="170"/>
      <c r="D988" s="172"/>
      <c r="F988" s="172"/>
      <c r="G988" s="172"/>
      <c r="H988" s="245"/>
      <c r="I988" s="245"/>
      <c r="J988" s="172"/>
      <c r="K988" s="172"/>
      <c r="L988" s="172"/>
      <c r="M988" s="200"/>
      <c r="N988" s="515"/>
      <c r="O988" s="515"/>
      <c r="P988" s="515"/>
      <c r="Q988" s="371"/>
      <c r="R988" s="371"/>
      <c r="S988" s="371"/>
      <c r="T988" s="371"/>
      <c r="U988" s="29"/>
      <c r="V988" s="30"/>
      <c r="W988" s="30"/>
      <c r="X988" s="29"/>
      <c r="Y988" s="30"/>
      <c r="Z988" s="30"/>
      <c r="AA988" s="299"/>
      <c r="AE988" s="42"/>
      <c r="AF988" s="42"/>
    </row>
    <row r="989" spans="1:32" s="19" customFormat="1" x14ac:dyDescent="0.2">
      <c r="A989" s="37"/>
      <c r="B989" s="37"/>
      <c r="C989" s="170"/>
      <c r="D989" s="172"/>
      <c r="F989" s="172"/>
      <c r="G989" s="172"/>
      <c r="H989" s="245"/>
      <c r="I989" s="245"/>
      <c r="J989" s="172"/>
      <c r="K989" s="172"/>
      <c r="L989" s="172"/>
      <c r="M989" s="200"/>
      <c r="N989" s="515"/>
      <c r="O989" s="515"/>
      <c r="P989" s="515"/>
      <c r="Q989" s="371"/>
      <c r="R989" s="371"/>
      <c r="S989" s="371"/>
      <c r="T989" s="371"/>
      <c r="U989" s="29"/>
      <c r="V989" s="30"/>
      <c r="W989" s="30"/>
      <c r="X989" s="29"/>
      <c r="Y989" s="30"/>
      <c r="Z989" s="30"/>
      <c r="AA989" s="299"/>
      <c r="AE989" s="42"/>
      <c r="AF989" s="42"/>
    </row>
    <row r="990" spans="1:32" s="19" customFormat="1" x14ac:dyDescent="0.2">
      <c r="A990" s="37"/>
      <c r="B990" s="37"/>
      <c r="C990" s="170"/>
      <c r="D990" s="172"/>
      <c r="F990" s="172"/>
      <c r="G990" s="172"/>
      <c r="H990" s="245"/>
      <c r="I990" s="245"/>
      <c r="J990" s="172"/>
      <c r="K990" s="172"/>
      <c r="L990" s="172"/>
      <c r="M990" s="200"/>
      <c r="N990" s="515"/>
      <c r="O990" s="515"/>
      <c r="P990" s="515"/>
      <c r="Q990" s="371"/>
      <c r="R990" s="371"/>
      <c r="S990" s="371"/>
      <c r="T990" s="371"/>
      <c r="U990" s="29"/>
      <c r="V990" s="30"/>
      <c r="W990" s="30"/>
      <c r="X990" s="29"/>
      <c r="Y990" s="30"/>
      <c r="Z990" s="30"/>
      <c r="AA990" s="299"/>
      <c r="AE990" s="42"/>
      <c r="AF990" s="42"/>
    </row>
    <row r="991" spans="1:32" s="19" customFormat="1" x14ac:dyDescent="0.2">
      <c r="A991" s="37"/>
      <c r="B991" s="37"/>
      <c r="C991" s="170"/>
      <c r="D991" s="172"/>
      <c r="F991" s="172"/>
      <c r="G991" s="172"/>
      <c r="H991" s="245"/>
      <c r="I991" s="245"/>
      <c r="J991" s="172"/>
      <c r="K991" s="172"/>
      <c r="L991" s="172"/>
      <c r="M991" s="200"/>
      <c r="N991" s="515"/>
      <c r="O991" s="515"/>
      <c r="P991" s="515"/>
      <c r="Q991" s="371"/>
      <c r="R991" s="371"/>
      <c r="S991" s="371"/>
      <c r="T991" s="371"/>
      <c r="U991" s="29"/>
      <c r="V991" s="30"/>
      <c r="W991" s="30"/>
      <c r="X991" s="29"/>
      <c r="Y991" s="30"/>
      <c r="Z991" s="30"/>
      <c r="AA991" s="299"/>
      <c r="AE991" s="42"/>
      <c r="AF991" s="42"/>
    </row>
    <row r="992" spans="1:32" s="19" customFormat="1" x14ac:dyDescent="0.2">
      <c r="A992" s="37"/>
      <c r="B992" s="37"/>
      <c r="C992" s="170"/>
      <c r="D992" s="172"/>
      <c r="E992" s="1"/>
      <c r="F992" s="172"/>
      <c r="G992" s="172"/>
      <c r="H992" s="245"/>
      <c r="I992" s="245"/>
      <c r="J992" s="172"/>
      <c r="K992" s="172"/>
      <c r="L992" s="172"/>
      <c r="M992" s="200"/>
      <c r="N992" s="515"/>
      <c r="O992" s="515"/>
      <c r="P992" s="515"/>
      <c r="Q992" s="371"/>
      <c r="R992" s="371"/>
      <c r="S992" s="371"/>
      <c r="T992" s="371"/>
      <c r="U992" s="29"/>
      <c r="V992" s="30"/>
      <c r="W992" s="30"/>
      <c r="X992" s="29"/>
      <c r="Y992" s="30"/>
      <c r="Z992" s="30"/>
      <c r="AA992" s="299"/>
      <c r="AE992" s="42"/>
      <c r="AF992" s="42"/>
    </row>
    <row r="993" spans="1:32" s="19" customFormat="1" x14ac:dyDescent="0.2">
      <c r="A993" s="37"/>
      <c r="B993" s="37"/>
      <c r="C993" s="170"/>
      <c r="D993" s="172"/>
      <c r="E993" s="1"/>
      <c r="F993" s="172"/>
      <c r="G993" s="172"/>
      <c r="H993" s="245"/>
      <c r="I993" s="245"/>
      <c r="J993" s="172"/>
      <c r="K993" s="172"/>
      <c r="L993" s="172"/>
      <c r="M993" s="200"/>
      <c r="N993" s="515"/>
      <c r="O993" s="515"/>
      <c r="P993" s="515"/>
      <c r="Q993" s="371"/>
      <c r="R993" s="371"/>
      <c r="S993" s="371"/>
      <c r="T993" s="371"/>
      <c r="U993" s="29"/>
      <c r="V993" s="30"/>
      <c r="W993" s="30"/>
      <c r="X993" s="29"/>
      <c r="Y993" s="30"/>
      <c r="Z993" s="30"/>
      <c r="AA993" s="299"/>
      <c r="AE993" s="42"/>
      <c r="AF993" s="42"/>
    </row>
    <row r="994" spans="1:32" x14ac:dyDescent="0.2">
      <c r="A994" s="62"/>
      <c r="B994" s="62"/>
      <c r="C994" s="177"/>
      <c r="D994" s="90"/>
      <c r="E994" s="1"/>
      <c r="F994" s="90"/>
      <c r="G994" s="90"/>
      <c r="H994" s="261"/>
      <c r="I994" s="261"/>
      <c r="J994" s="90"/>
      <c r="U994" s="71"/>
      <c r="V994" s="70"/>
      <c r="W994" s="70"/>
      <c r="X994" s="71"/>
      <c r="Y994" s="70"/>
      <c r="Z994" s="70"/>
    </row>
    <row r="995" spans="1:32" x14ac:dyDescent="0.2">
      <c r="A995" s="62"/>
      <c r="B995" s="62"/>
      <c r="C995" s="177"/>
      <c r="D995" s="90"/>
      <c r="E995" s="1"/>
      <c r="F995" s="90"/>
      <c r="G995" s="90"/>
      <c r="H995" s="261"/>
      <c r="I995" s="261"/>
      <c r="J995" s="90"/>
      <c r="U995" s="71"/>
      <c r="V995" s="70"/>
      <c r="W995" s="70"/>
      <c r="X995" s="71"/>
      <c r="Y995" s="70"/>
      <c r="Z995" s="70"/>
    </row>
    <row r="996" spans="1:32" x14ac:dyDescent="0.2">
      <c r="A996" s="62"/>
      <c r="B996" s="62"/>
      <c r="C996" s="177"/>
      <c r="D996" s="90"/>
      <c r="E996" s="1"/>
      <c r="F996" s="90"/>
      <c r="G996" s="90"/>
      <c r="H996" s="261"/>
      <c r="I996" s="261"/>
      <c r="J996" s="90"/>
      <c r="U996" s="71"/>
      <c r="V996" s="70"/>
      <c r="W996" s="70"/>
      <c r="X996" s="71"/>
      <c r="Y996" s="70"/>
      <c r="Z996" s="70"/>
    </row>
    <row r="997" spans="1:32" x14ac:dyDescent="0.2">
      <c r="A997" s="62"/>
      <c r="B997" s="62"/>
      <c r="C997" s="177"/>
      <c r="D997" s="166"/>
      <c r="E997" s="1"/>
      <c r="F997" s="90"/>
      <c r="G997" s="90"/>
      <c r="H997" s="261"/>
      <c r="I997" s="261"/>
      <c r="J997" s="90"/>
      <c r="U997" s="71"/>
      <c r="V997" s="70"/>
      <c r="W997" s="70"/>
      <c r="X997" s="71"/>
      <c r="Y997" s="70"/>
      <c r="Z997" s="70"/>
    </row>
    <row r="998" spans="1:32" x14ac:dyDescent="0.2">
      <c r="A998" s="62"/>
      <c r="B998" s="62"/>
      <c r="C998" s="177"/>
      <c r="D998" s="166"/>
      <c r="E998" s="1"/>
      <c r="F998" s="90"/>
      <c r="G998" s="90"/>
      <c r="H998" s="261"/>
      <c r="I998" s="261"/>
      <c r="J998" s="90"/>
      <c r="U998" s="71"/>
      <c r="V998" s="70"/>
      <c r="W998" s="70"/>
      <c r="X998" s="71"/>
      <c r="Y998" s="70"/>
      <c r="Z998" s="70"/>
    </row>
    <row r="999" spans="1:32" x14ac:dyDescent="0.2">
      <c r="A999" s="62"/>
      <c r="B999" s="62"/>
      <c r="C999" s="177"/>
      <c r="D999" s="166"/>
      <c r="E999" s="134"/>
      <c r="F999" s="90"/>
      <c r="G999" s="90"/>
      <c r="H999" s="261"/>
      <c r="I999" s="261"/>
      <c r="J999" s="90"/>
      <c r="U999" s="71"/>
      <c r="V999" s="70"/>
      <c r="W999" s="70"/>
      <c r="X999" s="71"/>
      <c r="Y999" s="70"/>
      <c r="Z999" s="70"/>
    </row>
    <row r="1000" spans="1:32" x14ac:dyDescent="0.2">
      <c r="A1000" s="62"/>
      <c r="B1000" s="62"/>
      <c r="C1000" s="177"/>
      <c r="D1000" s="166"/>
      <c r="E1000" s="134"/>
      <c r="F1000" s="90"/>
      <c r="G1000" s="90"/>
      <c r="H1000" s="261"/>
      <c r="I1000" s="261"/>
      <c r="J1000" s="90"/>
      <c r="U1000" s="71"/>
      <c r="V1000" s="70"/>
      <c r="W1000" s="70"/>
      <c r="X1000" s="71"/>
      <c r="Y1000" s="70"/>
      <c r="Z1000" s="70"/>
    </row>
    <row r="1001" spans="1:32" x14ac:dyDescent="0.2">
      <c r="A1001" s="62"/>
      <c r="B1001" s="62"/>
      <c r="C1001" s="177"/>
      <c r="D1001" s="166"/>
      <c r="E1001" s="134"/>
      <c r="F1001" s="90"/>
      <c r="G1001" s="90"/>
      <c r="H1001" s="261"/>
      <c r="I1001" s="261"/>
      <c r="J1001" s="90"/>
      <c r="U1001" s="71"/>
      <c r="V1001" s="70"/>
      <c r="W1001" s="70"/>
      <c r="X1001" s="71"/>
      <c r="Y1001" s="70"/>
      <c r="Z1001" s="70"/>
    </row>
    <row r="1002" spans="1:32" x14ac:dyDescent="0.2">
      <c r="A1002" s="62"/>
      <c r="B1002" s="62"/>
      <c r="C1002" s="177"/>
      <c r="D1002" s="166"/>
      <c r="E1002" s="134"/>
      <c r="F1002" s="90"/>
      <c r="G1002" s="90"/>
      <c r="H1002" s="261"/>
      <c r="I1002" s="261"/>
      <c r="J1002" s="90"/>
      <c r="U1002" s="71"/>
      <c r="V1002" s="70"/>
      <c r="W1002" s="70"/>
      <c r="X1002" s="71"/>
      <c r="Y1002" s="70"/>
      <c r="Z1002" s="70"/>
    </row>
    <row r="1003" spans="1:32" x14ac:dyDescent="0.2">
      <c r="A1003" s="62"/>
      <c r="B1003" s="62"/>
      <c r="C1003" s="177"/>
      <c r="D1003" s="90"/>
      <c r="E1003" s="133"/>
      <c r="F1003" s="90"/>
      <c r="G1003" s="90"/>
      <c r="H1003" s="261"/>
      <c r="I1003" s="261"/>
      <c r="J1003" s="90"/>
      <c r="U1003" s="71"/>
      <c r="V1003" s="70"/>
      <c r="W1003" s="70"/>
      <c r="X1003" s="71"/>
      <c r="Y1003" s="70"/>
      <c r="Z1003" s="70"/>
    </row>
    <row r="1004" spans="1:32" x14ac:dyDescent="0.2">
      <c r="A1004" s="62"/>
      <c r="B1004" s="62"/>
      <c r="C1004" s="177"/>
      <c r="D1004" s="90"/>
      <c r="E1004" s="133"/>
      <c r="F1004" s="90"/>
      <c r="G1004" s="90"/>
      <c r="H1004" s="261"/>
      <c r="I1004" s="261"/>
      <c r="J1004" s="90"/>
      <c r="U1004" s="71"/>
      <c r="V1004" s="70"/>
      <c r="W1004" s="70"/>
      <c r="X1004" s="71"/>
      <c r="Y1004" s="70"/>
      <c r="Z1004" s="70"/>
    </row>
    <row r="1005" spans="1:32" x14ac:dyDescent="0.2">
      <c r="A1005" s="62"/>
      <c r="B1005" s="62"/>
      <c r="C1005" s="177"/>
      <c r="D1005" s="90"/>
      <c r="E1005" s="133"/>
      <c r="F1005" s="90"/>
      <c r="G1005" s="90"/>
      <c r="H1005" s="261"/>
      <c r="I1005" s="261"/>
      <c r="J1005" s="90"/>
      <c r="U1005" s="71"/>
      <c r="V1005" s="70"/>
      <c r="W1005" s="70"/>
      <c r="X1005" s="71"/>
      <c r="Y1005" s="70"/>
      <c r="Z1005" s="70"/>
    </row>
    <row r="1006" spans="1:32" x14ac:dyDescent="0.2">
      <c r="A1006" s="62"/>
      <c r="B1006" s="62"/>
      <c r="C1006" s="177"/>
      <c r="D1006" s="90"/>
      <c r="E1006" s="133"/>
      <c r="F1006" s="90"/>
      <c r="G1006" s="90"/>
      <c r="H1006" s="261"/>
      <c r="I1006" s="261"/>
      <c r="J1006" s="90"/>
      <c r="U1006" s="71"/>
      <c r="V1006" s="70"/>
      <c r="W1006" s="70"/>
      <c r="X1006" s="71"/>
      <c r="Y1006" s="70"/>
      <c r="Z1006" s="70"/>
    </row>
    <row r="1007" spans="1:32" x14ac:dyDescent="0.2">
      <c r="A1007" s="62"/>
      <c r="B1007" s="62"/>
      <c r="C1007" s="177"/>
      <c r="D1007" s="90"/>
      <c r="E1007" s="133"/>
      <c r="F1007" s="90"/>
      <c r="G1007" s="90"/>
      <c r="H1007" s="261"/>
      <c r="I1007" s="261"/>
      <c r="J1007" s="90"/>
      <c r="U1007" s="71"/>
      <c r="V1007" s="70"/>
      <c r="W1007" s="70"/>
      <c r="X1007" s="71"/>
      <c r="Y1007" s="70"/>
      <c r="Z1007" s="70"/>
    </row>
    <row r="1008" spans="1:32" x14ac:dyDescent="0.2">
      <c r="A1008" s="62"/>
      <c r="B1008" s="62"/>
      <c r="C1008" s="177"/>
      <c r="D1008" s="90"/>
      <c r="E1008" s="133"/>
      <c r="F1008" s="90"/>
      <c r="G1008" s="90"/>
      <c r="H1008" s="261"/>
      <c r="I1008" s="261"/>
      <c r="J1008" s="90"/>
      <c r="U1008" s="71"/>
      <c r="V1008" s="70"/>
      <c r="W1008" s="70"/>
      <c r="X1008" s="71"/>
      <c r="Y1008" s="70"/>
      <c r="Z1008" s="70"/>
    </row>
    <row r="1009" spans="1:32" x14ac:dyDescent="0.2">
      <c r="A1009" s="62"/>
      <c r="B1009" s="62"/>
      <c r="C1009" s="177"/>
      <c r="D1009" s="90"/>
      <c r="E1009" s="133"/>
      <c r="F1009" s="90"/>
      <c r="G1009" s="90"/>
      <c r="H1009" s="261"/>
      <c r="I1009" s="261"/>
      <c r="J1009" s="90"/>
      <c r="U1009" s="71"/>
      <c r="V1009" s="70"/>
      <c r="W1009" s="70"/>
      <c r="X1009" s="71"/>
      <c r="Y1009" s="70"/>
      <c r="Z1009" s="70"/>
    </row>
    <row r="1010" spans="1:32" x14ac:dyDescent="0.2">
      <c r="A1010" s="62"/>
      <c r="B1010" s="62"/>
      <c r="C1010" s="177"/>
      <c r="D1010" s="90"/>
      <c r="E1010" s="133"/>
      <c r="F1010" s="90"/>
      <c r="G1010" s="90"/>
      <c r="H1010" s="261"/>
      <c r="I1010" s="261"/>
      <c r="J1010" s="90"/>
      <c r="U1010" s="71"/>
      <c r="V1010" s="70"/>
      <c r="W1010" s="70"/>
      <c r="X1010" s="71"/>
      <c r="Y1010" s="70"/>
      <c r="Z1010" s="70"/>
    </row>
    <row r="1011" spans="1:32" x14ac:dyDescent="0.2">
      <c r="A1011" s="62"/>
      <c r="B1011" s="62"/>
      <c r="C1011" s="177"/>
      <c r="D1011" s="90"/>
      <c r="E1011" s="133"/>
      <c r="F1011" s="90"/>
      <c r="G1011" s="90"/>
      <c r="H1011" s="261"/>
      <c r="I1011" s="261"/>
      <c r="J1011" s="90"/>
      <c r="U1011" s="71"/>
      <c r="V1011" s="70"/>
      <c r="W1011" s="70"/>
      <c r="X1011" s="71"/>
      <c r="Y1011" s="70"/>
      <c r="Z1011" s="70"/>
    </row>
    <row r="1012" spans="1:32" x14ac:dyDescent="0.2">
      <c r="A1012" s="62"/>
      <c r="B1012" s="62"/>
      <c r="C1012" s="177"/>
      <c r="D1012" s="90"/>
      <c r="E1012" s="133"/>
      <c r="F1012" s="90"/>
      <c r="G1012" s="90"/>
      <c r="H1012" s="261"/>
      <c r="I1012" s="261"/>
      <c r="J1012" s="90"/>
      <c r="U1012" s="71"/>
      <c r="V1012" s="70"/>
      <c r="W1012" s="70"/>
      <c r="X1012" s="71"/>
      <c r="Y1012" s="70"/>
      <c r="Z1012" s="70"/>
    </row>
    <row r="1013" spans="1:32" x14ac:dyDescent="0.2">
      <c r="A1013" s="62"/>
      <c r="B1013" s="62"/>
      <c r="C1013" s="177"/>
      <c r="D1013" s="90"/>
      <c r="E1013" s="133"/>
      <c r="F1013" s="90"/>
      <c r="G1013" s="90"/>
      <c r="H1013" s="261"/>
      <c r="I1013" s="261"/>
      <c r="J1013" s="90"/>
      <c r="U1013" s="71"/>
      <c r="V1013" s="70"/>
      <c r="W1013" s="70"/>
      <c r="X1013" s="71"/>
      <c r="Y1013" s="70"/>
      <c r="Z1013" s="70"/>
    </row>
    <row r="1014" spans="1:32" x14ac:dyDescent="0.2">
      <c r="A1014" s="62"/>
      <c r="B1014" s="62"/>
      <c r="C1014" s="177"/>
      <c r="D1014" s="90"/>
      <c r="E1014" s="133"/>
      <c r="F1014" s="90"/>
      <c r="G1014" s="90"/>
      <c r="H1014" s="261"/>
      <c r="I1014" s="261"/>
      <c r="J1014" s="90"/>
      <c r="U1014" s="71"/>
      <c r="V1014" s="70"/>
      <c r="W1014" s="70"/>
      <c r="X1014" s="71"/>
      <c r="Y1014" s="70"/>
      <c r="Z1014" s="70"/>
    </row>
    <row r="1015" spans="1:32" s="53" customFormat="1" x14ac:dyDescent="0.2">
      <c r="A1015" s="63"/>
      <c r="B1015" s="63"/>
      <c r="C1015" s="176"/>
      <c r="D1015" s="167"/>
      <c r="E1015" s="133"/>
      <c r="F1015" s="167"/>
      <c r="G1015" s="167"/>
      <c r="H1015" s="259"/>
      <c r="I1015" s="259"/>
      <c r="J1015" s="167"/>
      <c r="K1015" s="167"/>
      <c r="L1015" s="167"/>
      <c r="M1015" s="201"/>
      <c r="N1015" s="521"/>
      <c r="O1015" s="521"/>
      <c r="P1015" s="521"/>
      <c r="Q1015" s="372"/>
      <c r="R1015" s="372"/>
      <c r="S1015" s="372"/>
      <c r="T1015" s="372"/>
      <c r="U1015" s="56"/>
      <c r="V1015" s="57"/>
      <c r="W1015" s="57"/>
      <c r="X1015" s="56"/>
      <c r="Y1015" s="57"/>
      <c r="Z1015" s="57"/>
      <c r="AA1015" s="299"/>
      <c r="AE1015" s="59"/>
      <c r="AF1015" s="59"/>
    </row>
    <row r="1016" spans="1:32" s="19" customFormat="1" x14ac:dyDescent="0.2">
      <c r="A1016" s="37"/>
      <c r="B1016" s="37"/>
      <c r="C1016" s="170"/>
      <c r="D1016" s="172"/>
      <c r="E1016" s="133"/>
      <c r="F1016" s="172"/>
      <c r="G1016" s="172"/>
      <c r="H1016" s="245"/>
      <c r="I1016" s="245"/>
      <c r="J1016" s="172"/>
      <c r="K1016" s="172"/>
      <c r="L1016" s="172"/>
      <c r="M1016" s="200"/>
      <c r="N1016" s="515"/>
      <c r="O1016" s="515"/>
      <c r="P1016" s="515"/>
      <c r="Q1016" s="371"/>
      <c r="R1016" s="371"/>
      <c r="S1016" s="371"/>
      <c r="T1016" s="371"/>
      <c r="U1016" s="29"/>
      <c r="V1016" s="30"/>
      <c r="W1016" s="30"/>
      <c r="X1016" s="29"/>
      <c r="Y1016" s="30"/>
      <c r="Z1016" s="30"/>
      <c r="AA1016" s="299"/>
      <c r="AE1016" s="42"/>
      <c r="AF1016" s="42"/>
    </row>
    <row r="1017" spans="1:32" s="19" customFormat="1" x14ac:dyDescent="0.2">
      <c r="A1017" s="37"/>
      <c r="B1017" s="37"/>
      <c r="C1017" s="170"/>
      <c r="D1017" s="172"/>
      <c r="E1017" s="133"/>
      <c r="F1017" s="172"/>
      <c r="G1017" s="172"/>
      <c r="H1017" s="245"/>
      <c r="I1017" s="245"/>
      <c r="J1017" s="172"/>
      <c r="K1017" s="172"/>
      <c r="L1017" s="172"/>
      <c r="M1017" s="200"/>
      <c r="N1017" s="515"/>
      <c r="O1017" s="515"/>
      <c r="P1017" s="515"/>
      <c r="Q1017" s="371"/>
      <c r="R1017" s="371"/>
      <c r="S1017" s="371"/>
      <c r="T1017" s="371"/>
      <c r="U1017" s="29"/>
      <c r="V1017" s="30"/>
      <c r="W1017" s="30"/>
      <c r="X1017" s="29"/>
      <c r="Y1017" s="30"/>
      <c r="Z1017" s="30"/>
      <c r="AA1017" s="299"/>
      <c r="AE1017" s="42"/>
      <c r="AF1017" s="42"/>
    </row>
    <row r="1018" spans="1:32" s="19" customFormat="1" x14ac:dyDescent="0.2">
      <c r="A1018" s="37"/>
      <c r="B1018" s="37"/>
      <c r="C1018" s="170"/>
      <c r="D1018" s="172"/>
      <c r="E1018" s="133"/>
      <c r="F1018" s="172"/>
      <c r="G1018" s="172"/>
      <c r="H1018" s="245"/>
      <c r="I1018" s="245"/>
      <c r="J1018" s="172"/>
      <c r="K1018" s="172"/>
      <c r="L1018" s="172"/>
      <c r="M1018" s="200"/>
      <c r="N1018" s="515"/>
      <c r="O1018" s="515"/>
      <c r="P1018" s="515"/>
      <c r="Q1018" s="371"/>
      <c r="R1018" s="371"/>
      <c r="S1018" s="371"/>
      <c r="T1018" s="371"/>
      <c r="U1018" s="29"/>
      <c r="V1018" s="30"/>
      <c r="W1018" s="30"/>
      <c r="X1018" s="29"/>
      <c r="Y1018" s="30"/>
      <c r="Z1018" s="30"/>
      <c r="AA1018" s="299"/>
      <c r="AE1018" s="42"/>
      <c r="AF1018" s="42"/>
    </row>
    <row r="1019" spans="1:32" s="19" customFormat="1" x14ac:dyDescent="0.2">
      <c r="A1019" s="37"/>
      <c r="B1019" s="37"/>
      <c r="C1019" s="170"/>
      <c r="D1019" s="172"/>
      <c r="E1019" s="133"/>
      <c r="F1019" s="172"/>
      <c r="G1019" s="172"/>
      <c r="H1019" s="245"/>
      <c r="I1019" s="245"/>
      <c r="J1019" s="172"/>
      <c r="K1019" s="172"/>
      <c r="L1019" s="172"/>
      <c r="M1019" s="200"/>
      <c r="N1019" s="515"/>
      <c r="O1019" s="515"/>
      <c r="P1019" s="515"/>
      <c r="Q1019" s="371"/>
      <c r="R1019" s="371"/>
      <c r="S1019" s="371"/>
      <c r="T1019" s="371"/>
      <c r="U1019" s="29"/>
      <c r="V1019" s="30"/>
      <c r="W1019" s="30"/>
      <c r="X1019" s="29"/>
      <c r="Y1019" s="30"/>
      <c r="Z1019" s="30"/>
      <c r="AA1019" s="299"/>
      <c r="AE1019" s="42"/>
      <c r="AF1019" s="42"/>
    </row>
    <row r="1020" spans="1:32" s="19" customFormat="1" x14ac:dyDescent="0.2">
      <c r="A1020" s="37"/>
      <c r="B1020" s="37"/>
      <c r="C1020" s="170"/>
      <c r="D1020" s="172"/>
      <c r="E1020" s="133"/>
      <c r="F1020" s="172"/>
      <c r="G1020" s="172"/>
      <c r="H1020" s="245"/>
      <c r="I1020" s="245"/>
      <c r="J1020" s="172"/>
      <c r="K1020" s="172"/>
      <c r="L1020" s="172"/>
      <c r="M1020" s="200"/>
      <c r="N1020" s="515"/>
      <c r="O1020" s="515"/>
      <c r="P1020" s="515"/>
      <c r="Q1020" s="371"/>
      <c r="R1020" s="371"/>
      <c r="S1020" s="371"/>
      <c r="T1020" s="371"/>
      <c r="U1020" s="29"/>
      <c r="V1020" s="30"/>
      <c r="W1020" s="30"/>
      <c r="X1020" s="29"/>
      <c r="Y1020" s="30"/>
      <c r="Z1020" s="30"/>
      <c r="AA1020" s="299"/>
      <c r="AE1020" s="42"/>
      <c r="AF1020" s="42"/>
    </row>
    <row r="1021" spans="1:32" s="19" customFormat="1" x14ac:dyDescent="0.2">
      <c r="A1021" s="37"/>
      <c r="B1021" s="37"/>
      <c r="C1021" s="170"/>
      <c r="D1021" s="172"/>
      <c r="E1021" s="133"/>
      <c r="F1021" s="172"/>
      <c r="G1021" s="172"/>
      <c r="H1021" s="245"/>
      <c r="I1021" s="245"/>
      <c r="J1021" s="172"/>
      <c r="K1021" s="172"/>
      <c r="L1021" s="172"/>
      <c r="M1021" s="200"/>
      <c r="N1021" s="515"/>
      <c r="O1021" s="515"/>
      <c r="P1021" s="515"/>
      <c r="Q1021" s="371"/>
      <c r="R1021" s="371"/>
      <c r="S1021" s="371"/>
      <c r="T1021" s="371"/>
      <c r="U1021" s="29"/>
      <c r="V1021" s="30"/>
      <c r="W1021" s="30"/>
      <c r="X1021" s="29"/>
      <c r="Y1021" s="30"/>
      <c r="Z1021" s="30"/>
      <c r="AA1021" s="299"/>
      <c r="AE1021" s="42"/>
      <c r="AF1021" s="42"/>
    </row>
    <row r="1022" spans="1:32" s="19" customFormat="1" x14ac:dyDescent="0.2">
      <c r="A1022" s="37"/>
      <c r="B1022" s="37"/>
      <c r="C1022" s="170"/>
      <c r="D1022" s="172"/>
      <c r="E1022" s="133"/>
      <c r="F1022" s="172"/>
      <c r="G1022" s="172"/>
      <c r="H1022" s="245"/>
      <c r="I1022" s="245"/>
      <c r="J1022" s="172"/>
      <c r="K1022" s="172"/>
      <c r="L1022" s="172"/>
      <c r="M1022" s="200"/>
      <c r="N1022" s="515"/>
      <c r="O1022" s="515"/>
      <c r="P1022" s="515"/>
      <c r="Q1022" s="371"/>
      <c r="R1022" s="371"/>
      <c r="S1022" s="371"/>
      <c r="T1022" s="371"/>
      <c r="U1022" s="29"/>
      <c r="V1022" s="30"/>
      <c r="W1022" s="30"/>
      <c r="X1022" s="29"/>
      <c r="Y1022" s="30"/>
      <c r="Z1022" s="30"/>
      <c r="AA1022" s="299"/>
      <c r="AE1022" s="42"/>
      <c r="AF1022" s="42"/>
    </row>
    <row r="1023" spans="1:32" x14ac:dyDescent="0.2">
      <c r="A1023" s="62"/>
      <c r="B1023" s="62"/>
      <c r="C1023" s="177"/>
      <c r="D1023" s="90"/>
      <c r="E1023" s="133"/>
      <c r="F1023" s="90"/>
      <c r="G1023" s="90"/>
      <c r="H1023" s="261"/>
      <c r="I1023" s="261"/>
      <c r="J1023" s="90"/>
      <c r="U1023" s="71"/>
      <c r="V1023" s="70"/>
      <c r="W1023" s="70"/>
      <c r="X1023" s="71"/>
      <c r="Y1023" s="70"/>
      <c r="Z1023" s="70"/>
    </row>
    <row r="1024" spans="1:32" x14ac:dyDescent="0.2">
      <c r="A1024" s="62"/>
      <c r="B1024" s="62"/>
      <c r="C1024" s="177"/>
      <c r="D1024" s="90"/>
      <c r="E1024" s="133"/>
      <c r="F1024" s="90"/>
      <c r="G1024" s="90"/>
      <c r="H1024" s="261"/>
      <c r="I1024" s="261"/>
      <c r="J1024" s="90"/>
      <c r="U1024" s="71"/>
      <c r="V1024" s="70"/>
      <c r="W1024" s="70"/>
      <c r="X1024" s="71"/>
      <c r="Y1024" s="70"/>
      <c r="Z1024" s="70"/>
    </row>
    <row r="1025" spans="1:32" x14ac:dyDescent="0.2">
      <c r="A1025" s="62"/>
      <c r="B1025" s="62"/>
      <c r="C1025" s="177"/>
      <c r="D1025" s="90"/>
      <c r="E1025" s="133"/>
      <c r="F1025" s="90"/>
      <c r="G1025" s="90"/>
      <c r="H1025" s="261"/>
      <c r="I1025" s="261"/>
      <c r="J1025" s="90"/>
      <c r="U1025" s="71"/>
      <c r="V1025" s="70"/>
      <c r="W1025" s="70"/>
      <c r="X1025" s="71"/>
      <c r="Y1025" s="70"/>
      <c r="Z1025" s="70"/>
    </row>
    <row r="1026" spans="1:32" x14ac:dyDescent="0.2">
      <c r="A1026" s="62"/>
      <c r="B1026" s="62"/>
      <c r="C1026" s="177"/>
      <c r="D1026" s="90"/>
      <c r="E1026" s="235"/>
      <c r="F1026" s="90"/>
      <c r="G1026" s="90"/>
      <c r="H1026" s="261"/>
      <c r="I1026" s="261"/>
      <c r="J1026" s="90"/>
      <c r="U1026" s="71"/>
      <c r="V1026" s="70"/>
      <c r="W1026" s="70"/>
      <c r="X1026" s="71"/>
      <c r="Y1026" s="70"/>
      <c r="Z1026" s="70"/>
    </row>
    <row r="1027" spans="1:32" x14ac:dyDescent="0.2">
      <c r="A1027" s="62"/>
      <c r="B1027" s="62"/>
      <c r="C1027" s="177"/>
      <c r="D1027" s="90"/>
      <c r="E1027" s="1"/>
      <c r="F1027" s="90"/>
      <c r="G1027" s="90"/>
      <c r="H1027" s="261"/>
      <c r="I1027" s="261"/>
      <c r="J1027" s="90"/>
      <c r="U1027" s="71"/>
      <c r="V1027" s="70"/>
      <c r="W1027" s="70"/>
      <c r="X1027" s="71"/>
      <c r="Y1027" s="70"/>
      <c r="Z1027" s="70"/>
    </row>
    <row r="1028" spans="1:32" x14ac:dyDescent="0.2">
      <c r="A1028" s="62"/>
      <c r="B1028" s="62"/>
      <c r="C1028" s="177"/>
      <c r="D1028" s="90"/>
      <c r="E1028" s="1"/>
      <c r="F1028" s="90"/>
      <c r="G1028" s="90"/>
      <c r="H1028" s="261"/>
      <c r="I1028" s="261"/>
      <c r="J1028" s="90"/>
      <c r="U1028" s="71"/>
      <c r="V1028" s="70"/>
      <c r="W1028" s="70"/>
      <c r="X1028" s="71"/>
      <c r="Y1028" s="70"/>
      <c r="Z1028" s="70"/>
    </row>
    <row r="1029" spans="1:32" x14ac:dyDescent="0.2">
      <c r="A1029" s="62"/>
      <c r="B1029" s="62"/>
      <c r="C1029" s="177"/>
      <c r="D1029" s="90"/>
      <c r="E1029" s="19"/>
      <c r="F1029" s="90"/>
      <c r="G1029" s="90"/>
      <c r="H1029" s="261"/>
      <c r="I1029" s="261"/>
      <c r="J1029" s="90"/>
      <c r="U1029" s="71"/>
      <c r="V1029" s="70"/>
      <c r="W1029" s="70"/>
      <c r="X1029" s="71"/>
      <c r="Y1029" s="70"/>
      <c r="Z1029" s="70"/>
    </row>
    <row r="1030" spans="1:32" x14ac:dyDescent="0.2">
      <c r="A1030" s="62"/>
      <c r="B1030" s="62"/>
      <c r="C1030" s="177"/>
      <c r="D1030" s="90"/>
      <c r="E1030" s="1"/>
      <c r="F1030" s="90"/>
      <c r="G1030" s="90"/>
      <c r="H1030" s="261"/>
      <c r="I1030" s="261"/>
      <c r="J1030" s="90"/>
      <c r="U1030" s="71"/>
      <c r="V1030" s="70"/>
      <c r="W1030" s="70"/>
      <c r="X1030" s="71"/>
      <c r="Y1030" s="70"/>
      <c r="Z1030" s="70"/>
    </row>
    <row r="1031" spans="1:32" s="19" customFormat="1" x14ac:dyDescent="0.2">
      <c r="A1031" s="37"/>
      <c r="B1031" s="37"/>
      <c r="C1031" s="170"/>
      <c r="D1031" s="172"/>
      <c r="E1031" s="1"/>
      <c r="F1031" s="172"/>
      <c r="G1031" s="172"/>
      <c r="H1031" s="245"/>
      <c r="I1031" s="245"/>
      <c r="J1031" s="172"/>
      <c r="K1031" s="172"/>
      <c r="L1031" s="172"/>
      <c r="M1031" s="200"/>
      <c r="N1031" s="515"/>
      <c r="O1031" s="515"/>
      <c r="P1031" s="515"/>
      <c r="Q1031" s="371"/>
      <c r="R1031" s="371"/>
      <c r="S1031" s="371"/>
      <c r="T1031" s="371"/>
      <c r="U1031" s="29"/>
      <c r="V1031" s="30"/>
      <c r="W1031" s="30"/>
      <c r="X1031" s="29"/>
      <c r="Y1031" s="30"/>
      <c r="Z1031" s="30"/>
      <c r="AA1031" s="299"/>
      <c r="AE1031" s="42"/>
      <c r="AF1031" s="42"/>
    </row>
    <row r="1032" spans="1:32" x14ac:dyDescent="0.2">
      <c r="A1032" s="62"/>
      <c r="B1032" s="62"/>
      <c r="C1032" s="177"/>
      <c r="D1032" s="90"/>
      <c r="E1032" s="1"/>
      <c r="F1032" s="90"/>
      <c r="G1032" s="90"/>
      <c r="H1032" s="261"/>
      <c r="I1032" s="261"/>
      <c r="J1032" s="90"/>
      <c r="U1032" s="71"/>
      <c r="V1032" s="70"/>
      <c r="W1032" s="70"/>
      <c r="X1032" s="71"/>
      <c r="Y1032" s="70"/>
      <c r="Z1032" s="70"/>
    </row>
    <row r="1033" spans="1:32" x14ac:dyDescent="0.2">
      <c r="A1033" s="62"/>
      <c r="B1033" s="62"/>
      <c r="C1033" s="177"/>
      <c r="D1033" s="90"/>
      <c r="E1033" s="1"/>
      <c r="F1033" s="90"/>
      <c r="G1033" s="90"/>
      <c r="H1033" s="261"/>
      <c r="I1033" s="261"/>
      <c r="J1033" s="90"/>
      <c r="U1033" s="71"/>
      <c r="V1033" s="70"/>
      <c r="W1033" s="70"/>
      <c r="X1033" s="71"/>
      <c r="Y1033" s="70"/>
      <c r="Z1033" s="70"/>
    </row>
    <row r="1034" spans="1:32" x14ac:dyDescent="0.2">
      <c r="A1034" s="62"/>
      <c r="B1034" s="62"/>
      <c r="C1034" s="177"/>
      <c r="D1034" s="90"/>
      <c r="E1034" s="1"/>
      <c r="F1034" s="90"/>
      <c r="G1034" s="90"/>
      <c r="H1034" s="261"/>
      <c r="I1034" s="261"/>
      <c r="J1034" s="90"/>
      <c r="U1034" s="71"/>
      <c r="V1034" s="70"/>
      <c r="W1034" s="70"/>
      <c r="X1034" s="71"/>
      <c r="Y1034" s="70"/>
      <c r="Z1034" s="70"/>
    </row>
    <row r="1035" spans="1:32" x14ac:dyDescent="0.2">
      <c r="A1035" s="62"/>
      <c r="B1035" s="62"/>
      <c r="C1035" s="177"/>
      <c r="D1035" s="90"/>
      <c r="E1035" s="1"/>
      <c r="F1035" s="90"/>
      <c r="G1035" s="90"/>
      <c r="H1035" s="261"/>
      <c r="I1035" s="261"/>
      <c r="J1035" s="90"/>
      <c r="U1035" s="71"/>
      <c r="V1035" s="70"/>
      <c r="W1035" s="70"/>
      <c r="X1035" s="71"/>
      <c r="Y1035" s="70"/>
      <c r="Z1035" s="70"/>
    </row>
    <row r="1036" spans="1:32" x14ac:dyDescent="0.2">
      <c r="A1036" s="62"/>
      <c r="B1036" s="62"/>
      <c r="C1036" s="177"/>
      <c r="D1036" s="90"/>
      <c r="E1036" s="1"/>
      <c r="F1036" s="90"/>
      <c r="G1036" s="90"/>
      <c r="H1036" s="261"/>
      <c r="I1036" s="261"/>
      <c r="J1036" s="90"/>
      <c r="U1036" s="71"/>
      <c r="V1036" s="70"/>
      <c r="W1036" s="70"/>
      <c r="X1036" s="71"/>
      <c r="Y1036" s="70"/>
      <c r="Z1036" s="70"/>
    </row>
    <row r="1037" spans="1:32" x14ac:dyDescent="0.2">
      <c r="A1037" s="62"/>
      <c r="B1037" s="62"/>
      <c r="C1037" s="177"/>
      <c r="D1037" s="90"/>
      <c r="E1037" s="19"/>
      <c r="F1037" s="90"/>
      <c r="G1037" s="90"/>
      <c r="H1037" s="261"/>
      <c r="I1037" s="261"/>
      <c r="J1037" s="90"/>
      <c r="U1037" s="71"/>
      <c r="V1037" s="70"/>
      <c r="W1037" s="70"/>
      <c r="X1037" s="71"/>
      <c r="Y1037" s="70"/>
      <c r="Z1037" s="70"/>
    </row>
    <row r="1038" spans="1:32" x14ac:dyDescent="0.2">
      <c r="A1038" s="62"/>
      <c r="B1038" s="62"/>
      <c r="C1038" s="177"/>
      <c r="D1038" s="90"/>
      <c r="E1038" s="19"/>
      <c r="F1038" s="90"/>
      <c r="G1038" s="90"/>
      <c r="H1038" s="261"/>
      <c r="I1038" s="261"/>
      <c r="J1038" s="90"/>
      <c r="U1038" s="71"/>
      <c r="V1038" s="70"/>
      <c r="W1038" s="70"/>
      <c r="X1038" s="71"/>
      <c r="Y1038" s="70"/>
      <c r="Z1038" s="70"/>
    </row>
    <row r="1039" spans="1:32" s="19" customFormat="1" x14ac:dyDescent="0.2">
      <c r="A1039" s="37"/>
      <c r="B1039" s="37"/>
      <c r="C1039" s="170"/>
      <c r="D1039" s="172"/>
      <c r="F1039" s="172"/>
      <c r="G1039" s="172"/>
      <c r="H1039" s="245"/>
      <c r="I1039" s="245"/>
      <c r="J1039" s="172"/>
      <c r="K1039" s="172"/>
      <c r="L1039" s="172"/>
      <c r="M1039" s="200"/>
      <c r="N1039" s="515"/>
      <c r="O1039" s="515"/>
      <c r="P1039" s="515"/>
      <c r="Q1039" s="371"/>
      <c r="R1039" s="371"/>
      <c r="S1039" s="371"/>
      <c r="T1039" s="371"/>
      <c r="U1039" s="29"/>
      <c r="V1039" s="30"/>
      <c r="W1039" s="30"/>
      <c r="X1039" s="29"/>
      <c r="Y1039" s="30"/>
      <c r="Z1039" s="30"/>
      <c r="AA1039" s="299"/>
      <c r="AE1039" s="42"/>
      <c r="AF1039" s="42"/>
    </row>
    <row r="1040" spans="1:32" s="19" customFormat="1" x14ac:dyDescent="0.2">
      <c r="A1040" s="37"/>
      <c r="B1040" s="37"/>
      <c r="C1040" s="170"/>
      <c r="D1040" s="172"/>
      <c r="F1040" s="172"/>
      <c r="G1040" s="172"/>
      <c r="H1040" s="245"/>
      <c r="I1040" s="245"/>
      <c r="J1040" s="172"/>
      <c r="K1040" s="172"/>
      <c r="L1040" s="172"/>
      <c r="M1040" s="200"/>
      <c r="N1040" s="515"/>
      <c r="O1040" s="515"/>
      <c r="P1040" s="515"/>
      <c r="Q1040" s="371"/>
      <c r="R1040" s="371"/>
      <c r="S1040" s="371"/>
      <c r="T1040" s="371"/>
      <c r="U1040" s="29"/>
      <c r="V1040" s="30"/>
      <c r="W1040" s="30"/>
      <c r="X1040" s="29"/>
      <c r="Y1040" s="30"/>
      <c r="Z1040" s="30"/>
      <c r="AA1040" s="299"/>
      <c r="AE1040" s="42"/>
      <c r="AF1040" s="42"/>
    </row>
    <row r="1041" spans="1:32" s="19" customFormat="1" x14ac:dyDescent="0.2">
      <c r="A1041" s="37"/>
      <c r="B1041" s="37"/>
      <c r="C1041" s="170"/>
      <c r="D1041" s="174"/>
      <c r="F1041" s="172"/>
      <c r="G1041" s="172"/>
      <c r="H1041" s="245"/>
      <c r="I1041" s="245"/>
      <c r="J1041" s="172"/>
      <c r="K1041" s="172"/>
      <c r="L1041" s="172"/>
      <c r="M1041" s="200"/>
      <c r="N1041" s="515"/>
      <c r="O1041" s="515"/>
      <c r="P1041" s="515"/>
      <c r="Q1041" s="371"/>
      <c r="R1041" s="371"/>
      <c r="S1041" s="371"/>
      <c r="T1041" s="371"/>
      <c r="U1041" s="29"/>
      <c r="V1041" s="30"/>
      <c r="W1041" s="30"/>
      <c r="X1041" s="29"/>
      <c r="Y1041" s="30"/>
      <c r="Z1041" s="30"/>
      <c r="AA1041" s="299"/>
      <c r="AE1041" s="42"/>
      <c r="AF1041" s="42"/>
    </row>
    <row r="1042" spans="1:32" s="19" customFormat="1" x14ac:dyDescent="0.2">
      <c r="A1042" s="37"/>
      <c r="B1042" s="37"/>
      <c r="C1042" s="170"/>
      <c r="D1042" s="174"/>
      <c r="F1042" s="172"/>
      <c r="G1042" s="172"/>
      <c r="H1042" s="245"/>
      <c r="I1042" s="245"/>
      <c r="J1042" s="172"/>
      <c r="K1042" s="172"/>
      <c r="L1042" s="172"/>
      <c r="M1042" s="200"/>
      <c r="N1042" s="515"/>
      <c r="O1042" s="515"/>
      <c r="P1042" s="515"/>
      <c r="Q1042" s="371"/>
      <c r="R1042" s="371"/>
      <c r="S1042" s="371"/>
      <c r="T1042" s="371"/>
      <c r="U1042" s="29"/>
      <c r="V1042" s="30"/>
      <c r="W1042" s="30"/>
      <c r="X1042" s="29"/>
      <c r="Y1042" s="30"/>
      <c r="Z1042" s="30"/>
      <c r="AA1042" s="299"/>
      <c r="AE1042" s="42"/>
      <c r="AF1042" s="42"/>
    </row>
    <row r="1043" spans="1:32" s="19" customFormat="1" x14ac:dyDescent="0.2">
      <c r="A1043" s="37"/>
      <c r="B1043" s="37"/>
      <c r="C1043" s="170"/>
      <c r="D1043" s="174"/>
      <c r="F1043" s="172"/>
      <c r="G1043" s="172"/>
      <c r="H1043" s="245"/>
      <c r="I1043" s="245"/>
      <c r="J1043" s="172"/>
      <c r="K1043" s="172"/>
      <c r="L1043" s="172"/>
      <c r="M1043" s="200"/>
      <c r="N1043" s="515"/>
      <c r="O1043" s="515"/>
      <c r="P1043" s="515"/>
      <c r="Q1043" s="371"/>
      <c r="R1043" s="371"/>
      <c r="S1043" s="371"/>
      <c r="T1043" s="371"/>
      <c r="U1043" s="29"/>
      <c r="V1043" s="30"/>
      <c r="W1043" s="30"/>
      <c r="X1043" s="29"/>
      <c r="Y1043" s="30"/>
      <c r="Z1043" s="30"/>
      <c r="AA1043" s="299"/>
      <c r="AE1043" s="42"/>
      <c r="AF1043" s="42"/>
    </row>
    <row r="1044" spans="1:32" s="19" customFormat="1" x14ac:dyDescent="0.2">
      <c r="A1044" s="37"/>
      <c r="B1044" s="37"/>
      <c r="C1044" s="170"/>
      <c r="D1044" s="172"/>
      <c r="F1044" s="172"/>
      <c r="G1044" s="172"/>
      <c r="H1044" s="245"/>
      <c r="I1044" s="245"/>
      <c r="J1044" s="172"/>
      <c r="K1044" s="172"/>
      <c r="L1044" s="172"/>
      <c r="M1044" s="200"/>
      <c r="N1044" s="515"/>
      <c r="O1044" s="515"/>
      <c r="P1044" s="515"/>
      <c r="Q1044" s="371"/>
      <c r="R1044" s="371"/>
      <c r="S1044" s="371"/>
      <c r="T1044" s="371"/>
      <c r="U1044" s="29"/>
      <c r="V1044" s="30"/>
      <c r="W1044" s="30"/>
      <c r="X1044" s="29"/>
      <c r="Y1044" s="30"/>
      <c r="Z1044" s="30"/>
      <c r="AA1044" s="299"/>
      <c r="AE1044" s="42"/>
      <c r="AF1044" s="42"/>
    </row>
    <row r="1045" spans="1:32" s="19" customFormat="1" x14ac:dyDescent="0.2">
      <c r="A1045" s="37"/>
      <c r="B1045" s="37"/>
      <c r="C1045" s="170"/>
      <c r="D1045" s="172"/>
      <c r="F1045" s="172"/>
      <c r="G1045" s="172"/>
      <c r="H1045" s="245"/>
      <c r="I1045" s="245"/>
      <c r="J1045" s="172"/>
      <c r="K1045" s="172"/>
      <c r="L1045" s="172"/>
      <c r="M1045" s="200"/>
      <c r="N1045" s="515"/>
      <c r="O1045" s="515"/>
      <c r="P1045" s="515"/>
      <c r="Q1045" s="371"/>
      <c r="R1045" s="371"/>
      <c r="S1045" s="371"/>
      <c r="T1045" s="371"/>
      <c r="U1045" s="29"/>
      <c r="V1045" s="30"/>
      <c r="W1045" s="30"/>
      <c r="X1045" s="29"/>
      <c r="Y1045" s="30"/>
      <c r="Z1045" s="30"/>
      <c r="AA1045" s="299"/>
      <c r="AE1045" s="42"/>
      <c r="AF1045" s="42"/>
    </row>
    <row r="1046" spans="1:32" s="19" customFormat="1" x14ac:dyDescent="0.2">
      <c r="A1046" s="37"/>
      <c r="B1046" s="37"/>
      <c r="C1046" s="170"/>
      <c r="D1046" s="172"/>
      <c r="F1046" s="172"/>
      <c r="G1046" s="172"/>
      <c r="H1046" s="245"/>
      <c r="I1046" s="245"/>
      <c r="J1046" s="172"/>
      <c r="K1046" s="172"/>
      <c r="L1046" s="172"/>
      <c r="M1046" s="200"/>
      <c r="N1046" s="515"/>
      <c r="O1046" s="515"/>
      <c r="P1046" s="515"/>
      <c r="Q1046" s="371"/>
      <c r="R1046" s="371"/>
      <c r="S1046" s="371"/>
      <c r="T1046" s="371"/>
      <c r="U1046" s="29"/>
      <c r="V1046" s="30"/>
      <c r="W1046" s="30"/>
      <c r="X1046" s="29"/>
      <c r="Y1046" s="30"/>
      <c r="Z1046" s="30"/>
      <c r="AA1046" s="299"/>
      <c r="AE1046" s="42"/>
      <c r="AF1046" s="42"/>
    </row>
    <row r="1047" spans="1:32" s="19" customFormat="1" x14ac:dyDescent="0.2">
      <c r="A1047" s="37"/>
      <c r="B1047" s="37"/>
      <c r="C1047" s="170"/>
      <c r="D1047" s="172"/>
      <c r="F1047" s="172"/>
      <c r="G1047" s="172"/>
      <c r="H1047" s="245"/>
      <c r="I1047" s="245"/>
      <c r="J1047" s="172"/>
      <c r="K1047" s="172"/>
      <c r="L1047" s="172"/>
      <c r="M1047" s="200"/>
      <c r="N1047" s="515"/>
      <c r="O1047" s="515"/>
      <c r="P1047" s="515"/>
      <c r="Q1047" s="371"/>
      <c r="R1047" s="371"/>
      <c r="S1047" s="371"/>
      <c r="T1047" s="371"/>
      <c r="U1047" s="29"/>
      <c r="V1047" s="30"/>
      <c r="W1047" s="30"/>
      <c r="X1047" s="29"/>
      <c r="Y1047" s="30"/>
      <c r="Z1047" s="30"/>
      <c r="AA1047" s="299"/>
      <c r="AE1047" s="42"/>
      <c r="AF1047" s="42"/>
    </row>
    <row r="1048" spans="1:32" s="19" customFormat="1" x14ac:dyDescent="0.2">
      <c r="A1048" s="37"/>
      <c r="B1048" s="37"/>
      <c r="C1048" s="170"/>
      <c r="D1048" s="172"/>
      <c r="F1048" s="172"/>
      <c r="G1048" s="172"/>
      <c r="H1048" s="245"/>
      <c r="I1048" s="245"/>
      <c r="J1048" s="172"/>
      <c r="K1048" s="172"/>
      <c r="L1048" s="172"/>
      <c r="M1048" s="200"/>
      <c r="N1048" s="515"/>
      <c r="O1048" s="515"/>
      <c r="P1048" s="515"/>
      <c r="Q1048" s="371"/>
      <c r="R1048" s="371"/>
      <c r="S1048" s="371"/>
      <c r="T1048" s="371"/>
      <c r="U1048" s="29"/>
      <c r="V1048" s="30"/>
      <c r="W1048" s="30"/>
      <c r="X1048" s="29"/>
      <c r="Y1048" s="30"/>
      <c r="Z1048" s="30"/>
      <c r="AA1048" s="299"/>
      <c r="AE1048" s="42"/>
      <c r="AF1048" s="42"/>
    </row>
    <row r="1049" spans="1:32" s="19" customFormat="1" x14ac:dyDescent="0.2">
      <c r="A1049" s="37"/>
      <c r="B1049" s="37"/>
      <c r="C1049" s="170"/>
      <c r="D1049" s="172"/>
      <c r="F1049" s="172"/>
      <c r="G1049" s="172"/>
      <c r="H1049" s="245"/>
      <c r="I1049" s="245"/>
      <c r="J1049" s="172"/>
      <c r="K1049" s="172"/>
      <c r="L1049" s="172"/>
      <c r="M1049" s="200"/>
      <c r="N1049" s="515"/>
      <c r="O1049" s="515"/>
      <c r="P1049" s="515"/>
      <c r="Q1049" s="371"/>
      <c r="R1049" s="371"/>
      <c r="S1049" s="371"/>
      <c r="T1049" s="371"/>
      <c r="U1049" s="29"/>
      <c r="V1049" s="30"/>
      <c r="W1049" s="30"/>
      <c r="X1049" s="29"/>
      <c r="Y1049" s="30"/>
      <c r="Z1049" s="30"/>
      <c r="AA1049" s="299"/>
      <c r="AE1049" s="42"/>
      <c r="AF1049" s="42"/>
    </row>
    <row r="1050" spans="1:32" s="19" customFormat="1" x14ac:dyDescent="0.2">
      <c r="A1050" s="37"/>
      <c r="B1050" s="37"/>
      <c r="C1050" s="170"/>
      <c r="D1050" s="172"/>
      <c r="F1050" s="172"/>
      <c r="G1050" s="172"/>
      <c r="H1050" s="245"/>
      <c r="I1050" s="245"/>
      <c r="J1050" s="172"/>
      <c r="K1050" s="172"/>
      <c r="L1050" s="172"/>
      <c r="M1050" s="200"/>
      <c r="N1050" s="515"/>
      <c r="O1050" s="515"/>
      <c r="P1050" s="515"/>
      <c r="Q1050" s="371"/>
      <c r="R1050" s="371"/>
      <c r="S1050" s="371"/>
      <c r="T1050" s="371"/>
      <c r="U1050" s="29"/>
      <c r="V1050" s="30"/>
      <c r="W1050" s="30"/>
      <c r="X1050" s="29"/>
      <c r="Y1050" s="30"/>
      <c r="Z1050" s="30"/>
      <c r="AA1050" s="299"/>
      <c r="AE1050" s="42"/>
      <c r="AF1050" s="42"/>
    </row>
    <row r="1051" spans="1:32" s="19" customFormat="1" x14ac:dyDescent="0.2">
      <c r="A1051" s="37"/>
      <c r="B1051" s="37"/>
      <c r="C1051" s="170"/>
      <c r="D1051" s="172"/>
      <c r="F1051" s="172"/>
      <c r="G1051" s="172"/>
      <c r="H1051" s="245"/>
      <c r="I1051" s="245"/>
      <c r="J1051" s="172"/>
      <c r="K1051" s="172"/>
      <c r="L1051" s="172"/>
      <c r="M1051" s="200"/>
      <c r="N1051" s="515"/>
      <c r="O1051" s="515"/>
      <c r="P1051" s="515"/>
      <c r="Q1051" s="371"/>
      <c r="R1051" s="371"/>
      <c r="S1051" s="371"/>
      <c r="T1051" s="371"/>
      <c r="U1051" s="29"/>
      <c r="V1051" s="30"/>
      <c r="W1051" s="30"/>
      <c r="X1051" s="29"/>
      <c r="Y1051" s="30"/>
      <c r="Z1051" s="30"/>
      <c r="AA1051" s="299"/>
      <c r="AE1051" s="42"/>
      <c r="AF1051" s="42"/>
    </row>
    <row r="1052" spans="1:32" s="19" customFormat="1" x14ac:dyDescent="0.2">
      <c r="A1052" s="37"/>
      <c r="B1052" s="37"/>
      <c r="C1052" s="170"/>
      <c r="D1052" s="172"/>
      <c r="E1052" s="1"/>
      <c r="F1052" s="172"/>
      <c r="G1052" s="172"/>
      <c r="H1052" s="245"/>
      <c r="I1052" s="245"/>
      <c r="J1052" s="172"/>
      <c r="K1052" s="172"/>
      <c r="L1052" s="172"/>
      <c r="M1052" s="200"/>
      <c r="N1052" s="515"/>
      <c r="O1052" s="515"/>
      <c r="P1052" s="515"/>
      <c r="Q1052" s="371"/>
      <c r="R1052" s="371"/>
      <c r="S1052" s="371"/>
      <c r="T1052" s="371"/>
      <c r="U1052" s="29"/>
      <c r="V1052" s="30"/>
      <c r="W1052" s="30"/>
      <c r="X1052" s="29"/>
      <c r="Y1052" s="30"/>
      <c r="Z1052" s="30"/>
      <c r="AA1052" s="299"/>
      <c r="AE1052" s="42"/>
      <c r="AF1052" s="42"/>
    </row>
    <row r="1053" spans="1:32" s="19" customFormat="1" x14ac:dyDescent="0.2">
      <c r="A1053" s="37"/>
      <c r="B1053" s="37"/>
      <c r="C1053" s="170"/>
      <c r="D1053" s="172"/>
      <c r="E1053" s="1"/>
      <c r="F1053" s="172"/>
      <c r="G1053" s="172"/>
      <c r="H1053" s="245"/>
      <c r="I1053" s="245"/>
      <c r="J1053" s="172"/>
      <c r="K1053" s="172"/>
      <c r="L1053" s="172"/>
      <c r="M1053" s="200"/>
      <c r="N1053" s="515"/>
      <c r="O1053" s="515"/>
      <c r="P1053" s="515"/>
      <c r="Q1053" s="371"/>
      <c r="R1053" s="371"/>
      <c r="S1053" s="371"/>
      <c r="T1053" s="371"/>
      <c r="U1053" s="29"/>
      <c r="V1053" s="30"/>
      <c r="W1053" s="30"/>
      <c r="X1053" s="29"/>
      <c r="Y1053" s="30"/>
      <c r="Z1053" s="30"/>
      <c r="AA1053" s="299"/>
      <c r="AE1053" s="42"/>
      <c r="AF1053" s="42"/>
    </row>
    <row r="1054" spans="1:32" x14ac:dyDescent="0.2">
      <c r="A1054" s="62"/>
      <c r="B1054" s="62"/>
      <c r="C1054" s="177"/>
      <c r="D1054" s="90"/>
      <c r="E1054" s="1"/>
      <c r="F1054" s="90"/>
      <c r="G1054" s="90"/>
      <c r="H1054" s="261"/>
      <c r="I1054" s="261"/>
      <c r="J1054" s="90"/>
      <c r="U1054" s="71"/>
      <c r="V1054" s="70"/>
      <c r="W1054" s="70"/>
      <c r="X1054" s="71"/>
      <c r="Y1054" s="70"/>
      <c r="Z1054" s="70"/>
    </row>
    <row r="1055" spans="1:32" x14ac:dyDescent="0.2">
      <c r="A1055" s="62"/>
      <c r="B1055" s="62"/>
      <c r="C1055" s="177"/>
      <c r="D1055" s="90"/>
      <c r="E1055" s="1"/>
      <c r="F1055" s="90"/>
      <c r="G1055" s="90"/>
      <c r="H1055" s="261"/>
      <c r="I1055" s="261"/>
      <c r="J1055" s="90"/>
      <c r="U1055" s="71"/>
      <c r="V1055" s="70"/>
      <c r="W1055" s="70"/>
      <c r="X1055" s="71"/>
      <c r="Y1055" s="70"/>
      <c r="Z1055" s="70"/>
    </row>
    <row r="1056" spans="1:32" x14ac:dyDescent="0.2">
      <c r="A1056" s="62"/>
      <c r="B1056" s="62"/>
      <c r="C1056" s="177"/>
      <c r="D1056" s="90"/>
      <c r="E1056" s="1"/>
      <c r="F1056" s="90"/>
      <c r="G1056" s="90"/>
      <c r="H1056" s="261"/>
      <c r="I1056" s="261"/>
      <c r="J1056" s="90"/>
      <c r="U1056" s="71"/>
      <c r="V1056" s="70"/>
      <c r="W1056" s="70"/>
      <c r="X1056" s="71"/>
      <c r="Y1056" s="70"/>
      <c r="Z1056" s="70"/>
    </row>
    <row r="1057" spans="1:32" x14ac:dyDescent="0.2">
      <c r="A1057" s="62"/>
      <c r="B1057" s="62"/>
      <c r="C1057" s="177"/>
      <c r="D1057" s="90"/>
      <c r="E1057" s="1"/>
      <c r="F1057" s="90"/>
      <c r="G1057" s="90"/>
      <c r="H1057" s="261"/>
      <c r="I1057" s="261"/>
      <c r="J1057" s="90"/>
      <c r="U1057" s="71"/>
      <c r="V1057" s="70"/>
      <c r="W1057" s="70"/>
      <c r="X1057" s="71"/>
      <c r="Y1057" s="70"/>
      <c r="Z1057" s="70"/>
    </row>
    <row r="1058" spans="1:32" x14ac:dyDescent="0.2">
      <c r="A1058" s="62"/>
      <c r="B1058" s="62"/>
      <c r="C1058" s="177"/>
      <c r="D1058" s="90"/>
      <c r="E1058" s="1"/>
      <c r="F1058" s="90"/>
      <c r="G1058" s="90"/>
      <c r="H1058" s="261"/>
      <c r="I1058" s="261"/>
      <c r="J1058" s="90"/>
      <c r="U1058" s="71"/>
      <c r="V1058" s="70"/>
      <c r="W1058" s="70"/>
      <c r="X1058" s="71"/>
      <c r="Y1058" s="70"/>
      <c r="Z1058" s="70"/>
    </row>
    <row r="1059" spans="1:32" x14ac:dyDescent="0.2">
      <c r="A1059" s="62"/>
      <c r="B1059" s="62"/>
      <c r="C1059" s="177"/>
      <c r="D1059" s="90"/>
      <c r="E1059" s="19"/>
      <c r="F1059" s="90"/>
      <c r="G1059" s="90"/>
      <c r="H1059" s="261"/>
      <c r="I1059" s="261"/>
      <c r="J1059" s="90"/>
      <c r="U1059" s="71"/>
      <c r="V1059" s="70"/>
      <c r="W1059" s="70"/>
      <c r="X1059" s="71"/>
      <c r="Y1059" s="70"/>
      <c r="Z1059" s="70"/>
    </row>
    <row r="1060" spans="1:32" x14ac:dyDescent="0.2">
      <c r="A1060" s="62"/>
      <c r="B1060" s="62"/>
      <c r="C1060" s="177"/>
      <c r="D1060" s="90"/>
      <c r="E1060" s="19"/>
      <c r="F1060" s="90"/>
      <c r="G1060" s="90"/>
      <c r="H1060" s="261"/>
      <c r="I1060" s="261"/>
      <c r="J1060" s="90"/>
      <c r="U1060" s="71"/>
      <c r="V1060" s="70"/>
      <c r="W1060" s="70"/>
      <c r="X1060" s="71"/>
      <c r="Y1060" s="70"/>
      <c r="Z1060" s="70"/>
    </row>
    <row r="1061" spans="1:32" s="19" customFormat="1" x14ac:dyDescent="0.2">
      <c r="A1061" s="37"/>
      <c r="B1061" s="37"/>
      <c r="C1061" s="170"/>
      <c r="D1061" s="172"/>
      <c r="F1061" s="172"/>
      <c r="G1061" s="172"/>
      <c r="H1061" s="245"/>
      <c r="I1061" s="245"/>
      <c r="J1061" s="172"/>
      <c r="K1061" s="170"/>
      <c r="L1061" s="170"/>
      <c r="M1061" s="200"/>
      <c r="N1061" s="515"/>
      <c r="O1061" s="515"/>
      <c r="P1061" s="515"/>
      <c r="Q1061" s="371"/>
      <c r="R1061" s="371"/>
      <c r="S1061" s="371"/>
      <c r="T1061" s="371"/>
      <c r="U1061" s="29"/>
      <c r="V1061" s="30"/>
      <c r="W1061" s="30"/>
      <c r="X1061" s="29"/>
      <c r="Y1061" s="30"/>
      <c r="Z1061" s="30"/>
      <c r="AA1061" s="299"/>
      <c r="AE1061" s="42"/>
      <c r="AF1061" s="42"/>
    </row>
    <row r="1062" spans="1:32" s="19" customFormat="1" x14ac:dyDescent="0.2">
      <c r="A1062" s="37"/>
      <c r="B1062" s="37"/>
      <c r="C1062" s="170"/>
      <c r="D1062" s="172"/>
      <c r="F1062" s="172"/>
      <c r="G1062" s="172"/>
      <c r="H1062" s="245"/>
      <c r="I1062" s="245"/>
      <c r="J1062" s="172"/>
      <c r="K1062" s="170"/>
      <c r="L1062" s="170"/>
      <c r="M1062" s="200"/>
      <c r="N1062" s="515"/>
      <c r="O1062" s="515"/>
      <c r="P1062" s="515"/>
      <c r="Q1062" s="371"/>
      <c r="R1062" s="371"/>
      <c r="S1062" s="371"/>
      <c r="T1062" s="371"/>
      <c r="U1062" s="29"/>
      <c r="V1062" s="30"/>
      <c r="W1062" s="30"/>
      <c r="X1062" s="29"/>
      <c r="Y1062" s="30"/>
      <c r="Z1062" s="30"/>
      <c r="AA1062" s="299"/>
      <c r="AE1062" s="42"/>
      <c r="AF1062" s="42"/>
    </row>
    <row r="1063" spans="1:32" s="19" customFormat="1" x14ac:dyDescent="0.2">
      <c r="A1063" s="37"/>
      <c r="B1063" s="37"/>
      <c r="C1063" s="170"/>
      <c r="D1063" s="172"/>
      <c r="F1063" s="172"/>
      <c r="G1063" s="172"/>
      <c r="H1063" s="245"/>
      <c r="I1063" s="245"/>
      <c r="J1063" s="172"/>
      <c r="K1063" s="172"/>
      <c r="L1063" s="172"/>
      <c r="M1063" s="200"/>
      <c r="N1063" s="515"/>
      <c r="O1063" s="515"/>
      <c r="P1063" s="515"/>
      <c r="Q1063" s="371"/>
      <c r="R1063" s="371"/>
      <c r="S1063" s="371"/>
      <c r="T1063" s="371"/>
      <c r="U1063" s="29"/>
      <c r="V1063" s="30"/>
      <c r="W1063" s="30"/>
      <c r="X1063" s="29"/>
      <c r="Y1063" s="30"/>
      <c r="Z1063" s="30"/>
      <c r="AA1063" s="299"/>
      <c r="AE1063" s="42"/>
      <c r="AF1063" s="42"/>
    </row>
    <row r="1064" spans="1:32" s="19" customFormat="1" x14ac:dyDescent="0.2">
      <c r="A1064" s="37"/>
      <c r="B1064" s="37"/>
      <c r="C1064" s="170"/>
      <c r="D1064" s="172"/>
      <c r="F1064" s="172"/>
      <c r="G1064" s="172"/>
      <c r="H1064" s="245"/>
      <c r="I1064" s="245"/>
      <c r="J1064" s="172"/>
      <c r="K1064" s="172"/>
      <c r="L1064" s="172"/>
      <c r="M1064" s="200"/>
      <c r="N1064" s="515"/>
      <c r="O1064" s="515"/>
      <c r="P1064" s="515"/>
      <c r="Q1064" s="371"/>
      <c r="R1064" s="371"/>
      <c r="S1064" s="371"/>
      <c r="T1064" s="371"/>
      <c r="U1064" s="29"/>
      <c r="V1064" s="30"/>
      <c r="W1064" s="30"/>
      <c r="X1064" s="29"/>
      <c r="Y1064" s="30"/>
      <c r="Z1064" s="30"/>
      <c r="AA1064" s="299"/>
      <c r="AE1064" s="42"/>
      <c r="AF1064" s="42"/>
    </row>
    <row r="1065" spans="1:32" s="19" customFormat="1" x14ac:dyDescent="0.2">
      <c r="A1065" s="37"/>
      <c r="B1065" s="37"/>
      <c r="C1065" s="170"/>
      <c r="D1065" s="172"/>
      <c r="E1065" s="1"/>
      <c r="F1065" s="172"/>
      <c r="G1065" s="172"/>
      <c r="H1065" s="245"/>
      <c r="I1065" s="245"/>
      <c r="J1065" s="172"/>
      <c r="K1065" s="172"/>
      <c r="L1065" s="172"/>
      <c r="M1065" s="200"/>
      <c r="N1065" s="515"/>
      <c r="O1065" s="515"/>
      <c r="P1065" s="515"/>
      <c r="Q1065" s="371"/>
      <c r="R1065" s="371"/>
      <c r="S1065" s="371"/>
      <c r="T1065" s="371"/>
      <c r="U1065" s="29"/>
      <c r="V1065" s="30"/>
      <c r="W1065" s="30"/>
      <c r="X1065" s="29"/>
      <c r="Y1065" s="30"/>
      <c r="Z1065" s="30"/>
      <c r="AA1065" s="299"/>
      <c r="AE1065" s="42"/>
      <c r="AF1065" s="42"/>
    </row>
    <row r="1066" spans="1:32" s="19" customFormat="1" x14ac:dyDescent="0.2">
      <c r="A1066" s="37"/>
      <c r="B1066" s="37"/>
      <c r="C1066" s="170"/>
      <c r="D1066" s="172"/>
      <c r="E1066" s="1"/>
      <c r="F1066" s="172"/>
      <c r="G1066" s="172"/>
      <c r="H1066" s="245"/>
      <c r="I1066" s="245"/>
      <c r="J1066" s="172"/>
      <c r="K1066" s="172"/>
      <c r="L1066" s="172"/>
      <c r="M1066" s="200"/>
      <c r="N1066" s="515"/>
      <c r="O1066" s="515"/>
      <c r="P1066" s="515"/>
      <c r="Q1066" s="371"/>
      <c r="R1066" s="371"/>
      <c r="S1066" s="371"/>
      <c r="T1066" s="371"/>
      <c r="U1066" s="29"/>
      <c r="V1066" s="30"/>
      <c r="W1066" s="30"/>
      <c r="X1066" s="29"/>
      <c r="Y1066" s="30"/>
      <c r="Z1066" s="30"/>
      <c r="AA1066" s="299"/>
      <c r="AE1066" s="42"/>
      <c r="AF1066" s="42"/>
    </row>
    <row r="1067" spans="1:32" x14ac:dyDescent="0.2">
      <c r="A1067" s="37"/>
      <c r="B1067" s="62"/>
      <c r="C1067" s="177"/>
      <c r="D1067" s="90"/>
      <c r="E1067" s="1"/>
      <c r="F1067" s="90"/>
      <c r="G1067" s="90"/>
      <c r="H1067" s="261"/>
      <c r="I1067" s="261"/>
      <c r="J1067" s="90"/>
      <c r="U1067" s="71"/>
      <c r="V1067" s="70"/>
      <c r="W1067" s="70"/>
      <c r="X1067" s="71"/>
      <c r="Y1067" s="70"/>
      <c r="Z1067" s="70"/>
    </row>
    <row r="1068" spans="1:32" x14ac:dyDescent="0.2">
      <c r="A1068" s="37"/>
      <c r="B1068" s="62"/>
      <c r="C1068" s="177"/>
      <c r="D1068" s="90"/>
      <c r="E1068" s="1"/>
      <c r="F1068" s="90"/>
      <c r="G1068" s="90"/>
      <c r="H1068" s="261"/>
      <c r="I1068" s="261"/>
      <c r="J1068" s="90"/>
      <c r="U1068" s="71"/>
      <c r="V1068" s="70"/>
      <c r="W1068" s="70"/>
      <c r="X1068" s="71"/>
      <c r="Y1068" s="70"/>
      <c r="Z1068" s="70"/>
    </row>
    <row r="1069" spans="1:32" x14ac:dyDescent="0.2">
      <c r="A1069" s="37"/>
      <c r="B1069" s="62"/>
      <c r="C1069" s="177"/>
      <c r="D1069" s="90"/>
      <c r="E1069" s="1"/>
      <c r="F1069" s="90"/>
      <c r="G1069" s="90"/>
      <c r="H1069" s="261"/>
      <c r="I1069" s="261"/>
      <c r="J1069" s="90"/>
      <c r="U1069" s="71"/>
      <c r="V1069" s="70"/>
      <c r="W1069" s="70"/>
      <c r="X1069" s="71"/>
      <c r="Y1069" s="70"/>
      <c r="Z1069" s="70"/>
    </row>
    <row r="1070" spans="1:32" x14ac:dyDescent="0.2">
      <c r="A1070" s="37"/>
      <c r="B1070" s="62"/>
      <c r="C1070" s="177"/>
      <c r="D1070" s="90"/>
      <c r="E1070" s="1"/>
      <c r="F1070" s="90"/>
      <c r="G1070" s="90"/>
      <c r="H1070" s="261"/>
      <c r="I1070" s="261"/>
      <c r="J1070" s="90"/>
      <c r="U1070" s="71"/>
      <c r="V1070" s="70"/>
      <c r="W1070" s="70"/>
      <c r="X1070" s="71"/>
      <c r="Y1070" s="70"/>
      <c r="Z1070" s="70"/>
    </row>
    <row r="1071" spans="1:32" x14ac:dyDescent="0.2">
      <c r="A1071" s="37"/>
      <c r="B1071" s="62"/>
      <c r="C1071" s="177"/>
      <c r="D1071" s="90"/>
      <c r="E1071" s="1"/>
      <c r="F1071" s="90"/>
      <c r="G1071" s="90"/>
      <c r="H1071" s="261"/>
      <c r="I1071" s="261"/>
      <c r="J1071" s="90"/>
      <c r="U1071" s="71"/>
      <c r="V1071" s="70"/>
      <c r="W1071" s="70"/>
      <c r="X1071" s="71"/>
      <c r="Y1071" s="70"/>
      <c r="Z1071" s="70"/>
    </row>
    <row r="1072" spans="1:32" x14ac:dyDescent="0.2">
      <c r="A1072" s="37"/>
      <c r="B1072" s="62"/>
      <c r="C1072" s="177"/>
      <c r="D1072" s="90"/>
      <c r="E1072" s="1"/>
      <c r="F1072" s="90"/>
      <c r="G1072" s="90"/>
      <c r="H1072" s="261"/>
      <c r="I1072" s="261"/>
      <c r="J1072" s="90"/>
      <c r="U1072" s="71"/>
      <c r="V1072" s="70"/>
      <c r="W1072" s="70"/>
      <c r="X1072" s="71"/>
      <c r="Y1072" s="70"/>
      <c r="Z1072" s="70"/>
    </row>
    <row r="1073" spans="1:32" x14ac:dyDescent="0.2">
      <c r="A1073" s="37"/>
      <c r="B1073" s="62"/>
      <c r="C1073" s="177"/>
      <c r="D1073" s="90"/>
      <c r="E1073" s="1"/>
      <c r="F1073" s="90"/>
      <c r="G1073" s="90"/>
      <c r="H1073" s="261"/>
      <c r="I1073" s="261"/>
      <c r="J1073" s="90"/>
      <c r="U1073" s="71"/>
      <c r="V1073" s="70"/>
      <c r="W1073" s="70"/>
      <c r="X1073" s="71"/>
      <c r="Y1073" s="70"/>
      <c r="Z1073" s="70"/>
    </row>
    <row r="1074" spans="1:32" x14ac:dyDescent="0.2">
      <c r="A1074" s="37"/>
      <c r="B1074" s="62"/>
      <c r="C1074" s="177"/>
      <c r="D1074" s="90"/>
      <c r="E1074" s="1"/>
      <c r="F1074" s="90"/>
      <c r="G1074" s="90"/>
      <c r="H1074" s="261"/>
      <c r="I1074" s="261"/>
      <c r="J1074" s="90"/>
      <c r="U1074" s="71"/>
      <c r="V1074" s="70"/>
      <c r="W1074" s="70"/>
      <c r="X1074" s="71"/>
      <c r="Y1074" s="70"/>
      <c r="Z1074" s="70"/>
    </row>
    <row r="1075" spans="1:32" x14ac:dyDescent="0.2">
      <c r="A1075" s="37"/>
      <c r="B1075" s="62"/>
      <c r="C1075" s="177"/>
      <c r="D1075" s="90"/>
      <c r="E1075" s="19"/>
      <c r="F1075" s="90"/>
      <c r="G1075" s="90"/>
      <c r="H1075" s="261"/>
      <c r="I1075" s="261"/>
      <c r="J1075" s="90"/>
      <c r="U1075" s="71"/>
      <c r="V1075" s="70"/>
      <c r="W1075" s="70"/>
      <c r="X1075" s="71"/>
      <c r="Y1075" s="70"/>
      <c r="Z1075" s="70"/>
    </row>
    <row r="1076" spans="1:32" x14ac:dyDescent="0.2">
      <c r="A1076" s="37"/>
      <c r="B1076" s="62"/>
      <c r="C1076" s="177"/>
      <c r="D1076" s="90"/>
      <c r="E1076" s="19"/>
      <c r="F1076" s="90"/>
      <c r="G1076" s="90"/>
      <c r="H1076" s="261"/>
      <c r="I1076" s="261"/>
      <c r="J1076" s="90"/>
      <c r="U1076" s="71"/>
      <c r="V1076" s="70"/>
      <c r="W1076" s="70"/>
      <c r="X1076" s="71"/>
      <c r="Y1076" s="70"/>
      <c r="Z1076" s="70"/>
    </row>
    <row r="1077" spans="1:32" s="19" customFormat="1" x14ac:dyDescent="0.2">
      <c r="A1077" s="37"/>
      <c r="B1077" s="37"/>
      <c r="C1077" s="170"/>
      <c r="D1077" s="172"/>
      <c r="F1077" s="172"/>
      <c r="G1077" s="172"/>
      <c r="H1077" s="245"/>
      <c r="I1077" s="245"/>
      <c r="J1077" s="172"/>
      <c r="K1077" s="172"/>
      <c r="L1077" s="172"/>
      <c r="M1077" s="200"/>
      <c r="N1077" s="515"/>
      <c r="O1077" s="515"/>
      <c r="P1077" s="515"/>
      <c r="Q1077" s="371"/>
      <c r="R1077" s="371"/>
      <c r="S1077" s="371"/>
      <c r="T1077" s="371"/>
      <c r="U1077" s="29"/>
      <c r="V1077" s="30"/>
      <c r="W1077" s="30"/>
      <c r="X1077" s="29"/>
      <c r="Y1077" s="30"/>
      <c r="Z1077" s="30"/>
      <c r="AA1077" s="299"/>
      <c r="AE1077" s="42"/>
      <c r="AF1077" s="42"/>
    </row>
    <row r="1078" spans="1:32" s="19" customFormat="1" x14ac:dyDescent="0.2">
      <c r="A1078" s="37"/>
      <c r="B1078" s="37"/>
      <c r="C1078" s="170"/>
      <c r="D1078" s="172"/>
      <c r="F1078" s="172"/>
      <c r="G1078" s="172"/>
      <c r="H1078" s="245"/>
      <c r="I1078" s="245"/>
      <c r="J1078" s="172"/>
      <c r="K1078" s="172"/>
      <c r="L1078" s="172"/>
      <c r="M1078" s="200"/>
      <c r="N1078" s="515"/>
      <c r="O1078" s="515"/>
      <c r="P1078" s="515"/>
      <c r="Q1078" s="371"/>
      <c r="R1078" s="371"/>
      <c r="S1078" s="371"/>
      <c r="T1078" s="371"/>
      <c r="U1078" s="29"/>
      <c r="V1078" s="30"/>
      <c r="W1078" s="30"/>
      <c r="X1078" s="29"/>
      <c r="Y1078" s="30"/>
      <c r="Z1078" s="30"/>
      <c r="AA1078" s="299"/>
      <c r="AE1078" s="42"/>
      <c r="AF1078" s="42"/>
    </row>
    <row r="1079" spans="1:32" s="19" customFormat="1" x14ac:dyDescent="0.2">
      <c r="A1079" s="37"/>
      <c r="B1079" s="37"/>
      <c r="C1079" s="170"/>
      <c r="D1079" s="184"/>
      <c r="F1079" s="172"/>
      <c r="G1079" s="172"/>
      <c r="H1079" s="245"/>
      <c r="I1079" s="245"/>
      <c r="J1079" s="172"/>
      <c r="K1079" s="172"/>
      <c r="L1079" s="172"/>
      <c r="M1079" s="200"/>
      <c r="N1079" s="515"/>
      <c r="O1079" s="515"/>
      <c r="P1079" s="515"/>
      <c r="Q1079" s="371"/>
      <c r="R1079" s="371"/>
      <c r="S1079" s="371"/>
      <c r="T1079" s="371"/>
      <c r="U1079" s="29"/>
      <c r="V1079" s="30"/>
      <c r="W1079" s="30"/>
      <c r="X1079" s="29"/>
      <c r="Y1079" s="30"/>
      <c r="Z1079" s="30"/>
      <c r="AA1079" s="299"/>
      <c r="AE1079" s="42"/>
      <c r="AF1079" s="42"/>
    </row>
    <row r="1080" spans="1:32" s="19" customFormat="1" x14ac:dyDescent="0.2">
      <c r="A1080" s="37"/>
      <c r="B1080" s="37"/>
      <c r="C1080" s="170"/>
      <c r="D1080" s="184"/>
      <c r="F1080" s="172"/>
      <c r="G1080" s="172"/>
      <c r="H1080" s="245"/>
      <c r="I1080" s="245"/>
      <c r="J1080" s="172"/>
      <c r="K1080" s="172"/>
      <c r="L1080" s="172"/>
      <c r="M1080" s="200"/>
      <c r="N1080" s="515"/>
      <c r="O1080" s="515"/>
      <c r="P1080" s="515"/>
      <c r="Q1080" s="371"/>
      <c r="R1080" s="371"/>
      <c r="S1080" s="371"/>
      <c r="T1080" s="371"/>
      <c r="U1080" s="29"/>
      <c r="V1080" s="30"/>
      <c r="W1080" s="30"/>
      <c r="X1080" s="29"/>
      <c r="Y1080" s="30"/>
      <c r="Z1080" s="30"/>
      <c r="AA1080" s="299"/>
      <c r="AE1080" s="42"/>
      <c r="AF1080" s="42"/>
    </row>
    <row r="1081" spans="1:32" s="19" customFormat="1" x14ac:dyDescent="0.2">
      <c r="A1081" s="37"/>
      <c r="B1081" s="37"/>
      <c r="C1081" s="170"/>
      <c r="D1081" s="172"/>
      <c r="E1081" s="19">
        <v>0</v>
      </c>
      <c r="F1081" s="172"/>
      <c r="G1081" s="172"/>
      <c r="H1081" s="245"/>
      <c r="I1081" s="245"/>
      <c r="J1081" s="172"/>
      <c r="K1081" s="172"/>
      <c r="L1081" s="172"/>
      <c r="M1081" s="200"/>
      <c r="N1081" s="515"/>
      <c r="O1081" s="515"/>
      <c r="P1081" s="515"/>
      <c r="Q1081" s="371"/>
      <c r="R1081" s="371"/>
      <c r="S1081" s="371"/>
      <c r="T1081" s="371"/>
      <c r="U1081" s="29"/>
      <c r="V1081" s="30"/>
      <c r="W1081" s="30"/>
      <c r="X1081" s="29"/>
      <c r="Y1081" s="30"/>
      <c r="Z1081" s="30"/>
      <c r="AA1081" s="299"/>
      <c r="AE1081" s="42"/>
      <c r="AF1081" s="42"/>
    </row>
    <row r="1082" spans="1:32" s="19" customFormat="1" x14ac:dyDescent="0.2">
      <c r="A1082" s="37"/>
      <c r="B1082" s="37"/>
      <c r="C1082" s="170"/>
      <c r="D1082" s="172"/>
      <c r="F1082" s="172"/>
      <c r="G1082" s="172"/>
      <c r="H1082" s="245"/>
      <c r="I1082" s="245"/>
      <c r="J1082" s="172"/>
      <c r="K1082" s="172"/>
      <c r="L1082" s="172"/>
      <c r="M1082" s="200"/>
      <c r="N1082" s="515"/>
      <c r="O1082" s="515"/>
      <c r="P1082" s="515"/>
      <c r="Q1082" s="371"/>
      <c r="R1082" s="371"/>
      <c r="S1082" s="371"/>
      <c r="T1082" s="371"/>
      <c r="U1082" s="29"/>
      <c r="V1082" s="30"/>
      <c r="W1082" s="30"/>
      <c r="X1082" s="29"/>
      <c r="Y1082" s="30"/>
      <c r="Z1082" s="30"/>
      <c r="AA1082" s="299"/>
      <c r="AE1082" s="42"/>
      <c r="AF1082" s="42"/>
    </row>
    <row r="1083" spans="1:32" s="19" customFormat="1" x14ac:dyDescent="0.2">
      <c r="A1083" s="37"/>
      <c r="B1083" s="37"/>
      <c r="C1083" s="170"/>
      <c r="D1083" s="172"/>
      <c r="F1083" s="172"/>
      <c r="G1083" s="172"/>
      <c r="H1083" s="245"/>
      <c r="I1083" s="245"/>
      <c r="J1083" s="172"/>
      <c r="K1083" s="172"/>
      <c r="L1083" s="172"/>
      <c r="M1083" s="200"/>
      <c r="N1083" s="515"/>
      <c r="O1083" s="515"/>
      <c r="P1083" s="515"/>
      <c r="Q1083" s="371"/>
      <c r="R1083" s="371"/>
      <c r="S1083" s="371"/>
      <c r="T1083" s="371"/>
      <c r="U1083" s="29"/>
      <c r="V1083" s="30"/>
      <c r="W1083" s="30"/>
      <c r="X1083" s="29"/>
      <c r="Y1083" s="30"/>
      <c r="Z1083" s="30"/>
      <c r="AA1083" s="299"/>
      <c r="AE1083" s="42"/>
      <c r="AF1083" s="42"/>
    </row>
    <row r="1084" spans="1:32" s="19" customFormat="1" x14ac:dyDescent="0.2">
      <c r="A1084" s="37"/>
      <c r="B1084" s="37"/>
      <c r="C1084" s="170"/>
      <c r="D1084" s="172"/>
      <c r="F1084" s="172"/>
      <c r="G1084" s="172"/>
      <c r="H1084" s="245"/>
      <c r="I1084" s="245"/>
      <c r="J1084" s="172"/>
      <c r="K1084" s="172"/>
      <c r="L1084" s="172"/>
      <c r="M1084" s="200"/>
      <c r="N1084" s="515"/>
      <c r="O1084" s="515"/>
      <c r="P1084" s="515"/>
      <c r="Q1084" s="371"/>
      <c r="R1084" s="371"/>
      <c r="S1084" s="371"/>
      <c r="T1084" s="371"/>
      <c r="U1084" s="29"/>
      <c r="V1084" s="30"/>
      <c r="W1084" s="30"/>
      <c r="X1084" s="29"/>
      <c r="Y1084" s="30"/>
      <c r="Z1084" s="30"/>
      <c r="AA1084" s="299"/>
      <c r="AE1084" s="42"/>
      <c r="AF1084" s="42"/>
    </row>
    <row r="1085" spans="1:32" s="19" customFormat="1" x14ac:dyDescent="0.2">
      <c r="A1085" s="37"/>
      <c r="B1085" s="37"/>
      <c r="C1085" s="170"/>
      <c r="D1085" s="172"/>
      <c r="F1085" s="172"/>
      <c r="G1085" s="172"/>
      <c r="H1085" s="245"/>
      <c r="I1085" s="245"/>
      <c r="J1085" s="172"/>
      <c r="K1085" s="172"/>
      <c r="L1085" s="172"/>
      <c r="M1085" s="200"/>
      <c r="N1085" s="515"/>
      <c r="O1085" s="515"/>
      <c r="P1085" s="515"/>
      <c r="Q1085" s="371"/>
      <c r="R1085" s="371"/>
      <c r="S1085" s="371"/>
      <c r="T1085" s="371"/>
      <c r="U1085" s="29"/>
      <c r="V1085" s="30"/>
      <c r="W1085" s="30"/>
      <c r="X1085" s="29"/>
      <c r="Y1085" s="30"/>
      <c r="Z1085" s="30"/>
      <c r="AA1085" s="299"/>
      <c r="AE1085" s="42"/>
      <c r="AF1085" s="42"/>
    </row>
    <row r="1086" spans="1:32" s="19" customFormat="1" x14ac:dyDescent="0.2">
      <c r="A1086" s="37"/>
      <c r="B1086" s="37"/>
      <c r="C1086" s="170"/>
      <c r="D1086" s="172"/>
      <c r="F1086" s="172"/>
      <c r="G1086" s="172"/>
      <c r="H1086" s="245"/>
      <c r="I1086" s="245"/>
      <c r="J1086" s="172"/>
      <c r="K1086" s="172"/>
      <c r="L1086" s="172"/>
      <c r="M1086" s="200"/>
      <c r="N1086" s="515"/>
      <c r="O1086" s="515"/>
      <c r="P1086" s="515"/>
      <c r="Q1086" s="371"/>
      <c r="R1086" s="371"/>
      <c r="S1086" s="371"/>
      <c r="T1086" s="371"/>
      <c r="U1086" s="29"/>
      <c r="V1086" s="30"/>
      <c r="W1086" s="30"/>
      <c r="X1086" s="29"/>
      <c r="Y1086" s="30"/>
      <c r="Z1086" s="30"/>
      <c r="AA1086" s="299"/>
      <c r="AE1086" s="42"/>
      <c r="AF1086" s="42"/>
    </row>
    <row r="1087" spans="1:32" s="19" customFormat="1" x14ac:dyDescent="0.2">
      <c r="A1087" s="37"/>
      <c r="B1087" s="37"/>
      <c r="C1087" s="170"/>
      <c r="D1087" s="172"/>
      <c r="F1087" s="172"/>
      <c r="G1087" s="172"/>
      <c r="H1087" s="245"/>
      <c r="I1087" s="245"/>
      <c r="J1087" s="172"/>
      <c r="K1087" s="172"/>
      <c r="L1087" s="172"/>
      <c r="M1087" s="200"/>
      <c r="N1087" s="515"/>
      <c r="O1087" s="515"/>
      <c r="P1087" s="515"/>
      <c r="Q1087" s="371"/>
      <c r="R1087" s="371"/>
      <c r="S1087" s="371"/>
      <c r="T1087" s="371"/>
      <c r="U1087" s="29"/>
      <c r="V1087" s="30"/>
      <c r="W1087" s="30"/>
      <c r="X1087" s="29"/>
      <c r="Y1087" s="30"/>
      <c r="Z1087" s="30"/>
      <c r="AA1087" s="299"/>
      <c r="AE1087" s="42"/>
      <c r="AF1087" s="42"/>
    </row>
    <row r="1088" spans="1:32" s="19" customFormat="1" x14ac:dyDescent="0.2">
      <c r="A1088" s="37"/>
      <c r="B1088" s="37"/>
      <c r="C1088" s="170"/>
      <c r="D1088" s="172"/>
      <c r="F1088" s="172"/>
      <c r="G1088" s="172"/>
      <c r="H1088" s="245"/>
      <c r="I1088" s="245"/>
      <c r="J1088" s="172"/>
      <c r="K1088" s="172"/>
      <c r="L1088" s="172"/>
      <c r="M1088" s="200"/>
      <c r="N1088" s="515"/>
      <c r="O1088" s="515"/>
      <c r="P1088" s="515"/>
      <c r="Q1088" s="371"/>
      <c r="R1088" s="371"/>
      <c r="S1088" s="371"/>
      <c r="T1088" s="371"/>
      <c r="U1088" s="29"/>
      <c r="V1088" s="30"/>
      <c r="W1088" s="30"/>
      <c r="X1088" s="29"/>
      <c r="Y1088" s="30"/>
      <c r="Z1088" s="30"/>
      <c r="AA1088" s="299"/>
      <c r="AE1088" s="42"/>
      <c r="AF1088" s="42"/>
    </row>
    <row r="1089" spans="1:32" s="19" customFormat="1" x14ac:dyDescent="0.2">
      <c r="A1089" s="37"/>
      <c r="B1089" s="37"/>
      <c r="C1089" s="170"/>
      <c r="D1089" s="172"/>
      <c r="F1089" s="172"/>
      <c r="G1089" s="172"/>
      <c r="H1089" s="245"/>
      <c r="I1089" s="245"/>
      <c r="J1089" s="172"/>
      <c r="K1089" s="172"/>
      <c r="L1089" s="172"/>
      <c r="M1089" s="200"/>
      <c r="N1089" s="515"/>
      <c r="O1089" s="515"/>
      <c r="P1089" s="515"/>
      <c r="Q1089" s="371"/>
      <c r="R1089" s="371"/>
      <c r="S1089" s="371"/>
      <c r="T1089" s="371"/>
      <c r="U1089" s="29"/>
      <c r="V1089" s="30"/>
      <c r="W1089" s="30"/>
      <c r="X1089" s="29"/>
      <c r="Y1089" s="30"/>
      <c r="Z1089" s="30"/>
      <c r="AA1089" s="299"/>
      <c r="AE1089" s="42"/>
      <c r="AF1089" s="42"/>
    </row>
    <row r="1090" spans="1:32" s="19" customFormat="1" x14ac:dyDescent="0.2">
      <c r="A1090" s="37"/>
      <c r="B1090" s="37"/>
      <c r="C1090" s="170"/>
      <c r="D1090" s="172"/>
      <c r="F1090" s="172"/>
      <c r="G1090" s="172"/>
      <c r="H1090" s="245"/>
      <c r="I1090" s="245"/>
      <c r="J1090" s="172"/>
      <c r="K1090" s="172"/>
      <c r="L1090" s="172"/>
      <c r="M1090" s="200"/>
      <c r="N1090" s="515"/>
      <c r="O1090" s="515"/>
      <c r="P1090" s="515"/>
      <c r="Q1090" s="371"/>
      <c r="R1090" s="371"/>
      <c r="S1090" s="371"/>
      <c r="T1090" s="371"/>
      <c r="U1090" s="29"/>
      <c r="V1090" s="30"/>
      <c r="W1090" s="30"/>
      <c r="X1090" s="29"/>
      <c r="Y1090" s="30"/>
      <c r="Z1090" s="30"/>
      <c r="AA1090" s="299"/>
      <c r="AE1090" s="42"/>
      <c r="AF1090" s="42"/>
    </row>
    <row r="1091" spans="1:32" s="19" customFormat="1" x14ac:dyDescent="0.2">
      <c r="A1091" s="37"/>
      <c r="B1091" s="37"/>
      <c r="C1091" s="170"/>
      <c r="D1091" s="172"/>
      <c r="E1091" s="233"/>
      <c r="F1091" s="172"/>
      <c r="G1091" s="172"/>
      <c r="H1091" s="245"/>
      <c r="I1091" s="245"/>
      <c r="J1091" s="172"/>
      <c r="K1091" s="172"/>
      <c r="L1091" s="172"/>
      <c r="M1091" s="200"/>
      <c r="N1091" s="515"/>
      <c r="O1091" s="515"/>
      <c r="P1091" s="515"/>
      <c r="Q1091" s="371"/>
      <c r="R1091" s="371"/>
      <c r="S1091" s="371"/>
      <c r="T1091" s="371"/>
      <c r="U1091" s="29"/>
      <c r="V1091" s="30"/>
      <c r="W1091" s="30"/>
      <c r="X1091" s="29"/>
      <c r="Y1091" s="30"/>
      <c r="Z1091" s="30"/>
      <c r="AA1091" s="299"/>
      <c r="AE1091" s="42"/>
      <c r="AF1091" s="42"/>
    </row>
    <row r="1092" spans="1:32" s="19" customFormat="1" x14ac:dyDescent="0.2">
      <c r="A1092" s="37"/>
      <c r="B1092" s="37"/>
      <c r="C1092" s="170"/>
      <c r="D1092" s="172"/>
      <c r="F1092" s="172"/>
      <c r="G1092" s="172"/>
      <c r="H1092" s="245"/>
      <c r="I1092" s="245"/>
      <c r="J1092" s="172"/>
      <c r="K1092" s="172"/>
      <c r="L1092" s="172"/>
      <c r="M1092" s="200"/>
      <c r="N1092" s="515"/>
      <c r="O1092" s="515"/>
      <c r="P1092" s="515"/>
      <c r="Q1092" s="371"/>
      <c r="R1092" s="371"/>
      <c r="S1092" s="371"/>
      <c r="T1092" s="371"/>
      <c r="U1092" s="29"/>
      <c r="V1092" s="30"/>
      <c r="W1092" s="30"/>
      <c r="X1092" s="29"/>
      <c r="Y1092" s="30"/>
      <c r="Z1092" s="30"/>
      <c r="AA1092" s="299"/>
      <c r="AE1092" s="42"/>
      <c r="AF1092" s="42"/>
    </row>
    <row r="1093" spans="1:32" s="19" customFormat="1" x14ac:dyDescent="0.2">
      <c r="A1093" s="37"/>
      <c r="B1093" s="37"/>
      <c r="C1093" s="170"/>
      <c r="D1093" s="172"/>
      <c r="F1093" s="172"/>
      <c r="G1093" s="172"/>
      <c r="H1093" s="245"/>
      <c r="I1093" s="245"/>
      <c r="J1093" s="172"/>
      <c r="K1093" s="172"/>
      <c r="L1093" s="172"/>
      <c r="M1093" s="200"/>
      <c r="N1093" s="515"/>
      <c r="O1093" s="515"/>
      <c r="P1093" s="515"/>
      <c r="Q1093" s="371"/>
      <c r="R1093" s="371"/>
      <c r="S1093" s="371"/>
      <c r="T1093" s="371"/>
      <c r="U1093" s="29"/>
      <c r="V1093" s="30"/>
      <c r="W1093" s="30"/>
      <c r="X1093" s="29"/>
      <c r="Y1093" s="30"/>
      <c r="Z1093" s="30"/>
      <c r="AA1093" s="299"/>
      <c r="AE1093" s="42"/>
      <c r="AF1093" s="42"/>
    </row>
    <row r="1094" spans="1:32" s="19" customFormat="1" x14ac:dyDescent="0.2">
      <c r="A1094" s="37"/>
      <c r="B1094" s="37"/>
      <c r="C1094" s="170"/>
      <c r="D1094" s="172"/>
      <c r="F1094" s="172"/>
      <c r="G1094" s="172"/>
      <c r="H1094" s="245"/>
      <c r="I1094" s="245"/>
      <c r="J1094" s="172"/>
      <c r="K1094" s="172"/>
      <c r="L1094" s="172"/>
      <c r="M1094" s="200"/>
      <c r="N1094" s="515"/>
      <c r="O1094" s="515"/>
      <c r="P1094" s="515"/>
      <c r="Q1094" s="371"/>
      <c r="R1094" s="371"/>
      <c r="S1094" s="371"/>
      <c r="T1094" s="371"/>
      <c r="U1094" s="29"/>
      <c r="V1094" s="30"/>
      <c r="W1094" s="30"/>
      <c r="X1094" s="29"/>
      <c r="Y1094" s="30"/>
      <c r="Z1094" s="30"/>
      <c r="AA1094" s="299"/>
      <c r="AE1094" s="42"/>
      <c r="AF1094" s="42"/>
    </row>
    <row r="1095" spans="1:32" s="19" customFormat="1" x14ac:dyDescent="0.2">
      <c r="A1095" s="37"/>
      <c r="B1095" s="37"/>
      <c r="C1095" s="170"/>
      <c r="D1095" s="172"/>
      <c r="E1095" s="37"/>
      <c r="F1095" s="172"/>
      <c r="G1095" s="172"/>
      <c r="H1095" s="245"/>
      <c r="I1095" s="245"/>
      <c r="J1095" s="172"/>
      <c r="K1095" s="172"/>
      <c r="L1095" s="172"/>
      <c r="M1095" s="200"/>
      <c r="N1095" s="515"/>
      <c r="O1095" s="515"/>
      <c r="P1095" s="515"/>
      <c r="Q1095" s="371"/>
      <c r="R1095" s="371"/>
      <c r="S1095" s="371"/>
      <c r="T1095" s="371"/>
      <c r="U1095" s="29"/>
      <c r="V1095" s="30"/>
      <c r="W1095" s="30"/>
      <c r="X1095" s="29"/>
      <c r="Y1095" s="30"/>
      <c r="Z1095" s="30"/>
      <c r="AA1095" s="299"/>
      <c r="AE1095" s="42"/>
      <c r="AF1095" s="42"/>
    </row>
    <row r="1096" spans="1:32" s="53" customFormat="1" x14ac:dyDescent="0.2">
      <c r="A1096" s="63"/>
      <c r="B1096" s="63"/>
      <c r="C1096" s="176"/>
      <c r="D1096" s="167"/>
      <c r="E1096" s="37"/>
      <c r="F1096" s="167"/>
      <c r="G1096" s="167"/>
      <c r="H1096" s="259"/>
      <c r="I1096" s="259"/>
      <c r="J1096" s="167"/>
      <c r="K1096" s="167"/>
      <c r="L1096" s="167"/>
      <c r="M1096" s="201"/>
      <c r="N1096" s="521"/>
      <c r="O1096" s="521"/>
      <c r="P1096" s="521"/>
      <c r="Q1096" s="372"/>
      <c r="R1096" s="372"/>
      <c r="S1096" s="372"/>
      <c r="T1096" s="372"/>
      <c r="U1096" s="56"/>
      <c r="V1096" s="57"/>
      <c r="W1096" s="57"/>
      <c r="X1096" s="56"/>
      <c r="Y1096" s="57"/>
      <c r="Z1096" s="57"/>
      <c r="AA1096" s="299"/>
      <c r="AE1096" s="54"/>
      <c r="AF1096" s="54"/>
    </row>
    <row r="1097" spans="1:32" s="63" customFormat="1" x14ac:dyDescent="0.2">
      <c r="C1097" s="176"/>
      <c r="D1097" s="176"/>
      <c r="E1097" s="37"/>
      <c r="F1097" s="176"/>
      <c r="G1097" s="176"/>
      <c r="H1097" s="269"/>
      <c r="I1097" s="269"/>
      <c r="J1097" s="176"/>
      <c r="K1097" s="176"/>
      <c r="L1097" s="176"/>
      <c r="M1097" s="201"/>
      <c r="N1097" s="521"/>
      <c r="O1097" s="521"/>
      <c r="P1097" s="521"/>
      <c r="Q1097" s="372"/>
      <c r="R1097" s="372"/>
      <c r="S1097" s="372"/>
      <c r="T1097" s="372"/>
      <c r="U1097" s="121"/>
      <c r="V1097" s="122"/>
      <c r="W1097" s="122"/>
      <c r="X1097" s="121"/>
      <c r="Y1097" s="122"/>
      <c r="Z1097" s="122"/>
      <c r="AA1097" s="299"/>
      <c r="AE1097" s="120"/>
      <c r="AF1097" s="120"/>
    </row>
    <row r="1098" spans="1:32" s="63" customFormat="1" x14ac:dyDescent="0.2">
      <c r="C1098" s="176"/>
      <c r="D1098" s="176"/>
      <c r="E1098" s="37"/>
      <c r="F1098" s="176"/>
      <c r="G1098" s="176"/>
      <c r="H1098" s="269"/>
      <c r="I1098" s="269"/>
      <c r="J1098" s="176"/>
      <c r="K1098" s="176"/>
      <c r="L1098" s="176"/>
      <c r="M1098" s="201"/>
      <c r="N1098" s="521"/>
      <c r="O1098" s="521"/>
      <c r="P1098" s="521"/>
      <c r="Q1098" s="372"/>
      <c r="R1098" s="372"/>
      <c r="S1098" s="372"/>
      <c r="T1098" s="372"/>
      <c r="U1098" s="121"/>
      <c r="V1098" s="122"/>
      <c r="W1098" s="122"/>
      <c r="X1098" s="121"/>
      <c r="Y1098" s="122"/>
      <c r="Z1098" s="122"/>
      <c r="AA1098" s="299"/>
      <c r="AE1098" s="120"/>
      <c r="AF1098" s="120"/>
    </row>
    <row r="1099" spans="1:32" s="63" customFormat="1" x14ac:dyDescent="0.2">
      <c r="C1099" s="176"/>
      <c r="D1099" s="176"/>
      <c r="E1099" s="37"/>
      <c r="F1099" s="176"/>
      <c r="G1099" s="176"/>
      <c r="H1099" s="269"/>
      <c r="I1099" s="269"/>
      <c r="J1099" s="176"/>
      <c r="K1099" s="176"/>
      <c r="L1099" s="176"/>
      <c r="M1099" s="201"/>
      <c r="N1099" s="521"/>
      <c r="O1099" s="521"/>
      <c r="P1099" s="521"/>
      <c r="Q1099" s="372"/>
      <c r="R1099" s="372"/>
      <c r="S1099" s="372"/>
      <c r="T1099" s="372"/>
      <c r="U1099" s="121"/>
      <c r="V1099" s="122"/>
      <c r="W1099" s="122"/>
      <c r="X1099" s="121"/>
      <c r="Y1099" s="122"/>
      <c r="Z1099" s="122"/>
      <c r="AA1099" s="299"/>
      <c r="AE1099" s="120"/>
      <c r="AF1099" s="120"/>
    </row>
    <row r="1100" spans="1:32" s="63" customFormat="1" x14ac:dyDescent="0.2">
      <c r="C1100" s="176"/>
      <c r="D1100" s="176"/>
      <c r="E1100" s="19"/>
      <c r="F1100" s="176"/>
      <c r="G1100" s="176"/>
      <c r="H1100" s="269"/>
      <c r="I1100" s="269"/>
      <c r="J1100" s="176"/>
      <c r="K1100" s="176"/>
      <c r="L1100" s="176"/>
      <c r="M1100" s="201"/>
      <c r="N1100" s="521"/>
      <c r="O1100" s="521"/>
      <c r="P1100" s="521"/>
      <c r="Q1100" s="372"/>
      <c r="R1100" s="372"/>
      <c r="S1100" s="372"/>
      <c r="T1100" s="372"/>
      <c r="U1100" s="121"/>
      <c r="V1100" s="122"/>
      <c r="W1100" s="122"/>
      <c r="X1100" s="121"/>
      <c r="Y1100" s="122"/>
      <c r="Z1100" s="122"/>
      <c r="AA1100" s="299"/>
      <c r="AE1100" s="120"/>
      <c r="AF1100" s="120"/>
    </row>
    <row r="1101" spans="1:32" s="63" customFormat="1" x14ac:dyDescent="0.2">
      <c r="C1101" s="176"/>
      <c r="D1101" s="176"/>
      <c r="E1101" s="19"/>
      <c r="F1101" s="176"/>
      <c r="G1101" s="176"/>
      <c r="H1101" s="269"/>
      <c r="I1101" s="269"/>
      <c r="J1101" s="176"/>
      <c r="K1101" s="176"/>
      <c r="L1101" s="176"/>
      <c r="M1101" s="201"/>
      <c r="N1101" s="521"/>
      <c r="O1101" s="521"/>
      <c r="P1101" s="521"/>
      <c r="Q1101" s="372"/>
      <c r="R1101" s="372"/>
      <c r="S1101" s="372"/>
      <c r="T1101" s="372"/>
      <c r="U1101" s="121"/>
      <c r="V1101" s="122"/>
      <c r="W1101" s="122"/>
      <c r="X1101" s="121"/>
      <c r="Y1101" s="122"/>
      <c r="Z1101" s="122"/>
      <c r="AA1101" s="299"/>
      <c r="AE1101" s="120"/>
      <c r="AF1101" s="120"/>
    </row>
    <row r="1102" spans="1:32" s="26" customFormat="1" x14ac:dyDescent="0.2">
      <c r="A1102" s="63"/>
      <c r="B1102" s="63"/>
      <c r="C1102" s="176"/>
      <c r="D1102" s="185"/>
      <c r="E1102" s="19"/>
      <c r="F1102" s="185"/>
      <c r="G1102" s="185"/>
      <c r="H1102" s="270"/>
      <c r="I1102" s="270"/>
      <c r="J1102" s="185"/>
      <c r="K1102" s="185"/>
      <c r="L1102" s="185"/>
      <c r="M1102" s="201"/>
      <c r="N1102" s="521"/>
      <c r="O1102" s="521"/>
      <c r="P1102" s="521"/>
      <c r="Q1102" s="372"/>
      <c r="R1102" s="372"/>
      <c r="S1102" s="372"/>
      <c r="T1102" s="372"/>
      <c r="U1102" s="27"/>
      <c r="V1102" s="28"/>
      <c r="W1102" s="28"/>
      <c r="X1102" s="27"/>
      <c r="Y1102" s="28"/>
      <c r="Z1102" s="28"/>
      <c r="AA1102" s="299"/>
      <c r="AE1102" s="43"/>
      <c r="AF1102" s="43"/>
    </row>
    <row r="1103" spans="1:32" s="26" customFormat="1" x14ac:dyDescent="0.2">
      <c r="A1103" s="63"/>
      <c r="B1103" s="63"/>
      <c r="C1103" s="176"/>
      <c r="D1103" s="185"/>
      <c r="E1103" s="19"/>
      <c r="F1103" s="185"/>
      <c r="G1103" s="185"/>
      <c r="H1103" s="270"/>
      <c r="I1103" s="270"/>
      <c r="J1103" s="185"/>
      <c r="K1103" s="185"/>
      <c r="L1103" s="185"/>
      <c r="M1103" s="201"/>
      <c r="N1103" s="521"/>
      <c r="O1103" s="521"/>
      <c r="P1103" s="521"/>
      <c r="Q1103" s="372"/>
      <c r="R1103" s="372"/>
      <c r="S1103" s="372"/>
      <c r="T1103" s="372"/>
      <c r="U1103" s="27"/>
      <c r="V1103" s="28"/>
      <c r="W1103" s="28"/>
      <c r="X1103" s="27"/>
      <c r="Y1103" s="28"/>
      <c r="Z1103" s="28"/>
      <c r="AA1103" s="299"/>
      <c r="AE1103" s="43"/>
      <c r="AF1103" s="43"/>
    </row>
    <row r="1104" spans="1:32" s="26" customFormat="1" x14ac:dyDescent="0.2">
      <c r="A1104" s="63"/>
      <c r="B1104" s="63"/>
      <c r="C1104" s="176"/>
      <c r="D1104" s="185"/>
      <c r="E1104" s="19"/>
      <c r="F1104" s="185"/>
      <c r="G1104" s="185"/>
      <c r="H1104" s="270"/>
      <c r="I1104" s="270"/>
      <c r="J1104" s="185"/>
      <c r="K1104" s="185"/>
      <c r="L1104" s="185"/>
      <c r="M1104" s="201"/>
      <c r="N1104" s="521"/>
      <c r="O1104" s="521"/>
      <c r="P1104" s="521"/>
      <c r="Q1104" s="372"/>
      <c r="R1104" s="372"/>
      <c r="S1104" s="372"/>
      <c r="T1104" s="372"/>
      <c r="U1104" s="27"/>
      <c r="V1104" s="28"/>
      <c r="W1104" s="28"/>
      <c r="X1104" s="27"/>
      <c r="Y1104" s="28"/>
      <c r="Z1104" s="28"/>
      <c r="AA1104" s="299"/>
      <c r="AE1104" s="43"/>
      <c r="AF1104" s="43"/>
    </row>
    <row r="1105" spans="1:32" s="26" customFormat="1" x14ac:dyDescent="0.2">
      <c r="A1105" s="63"/>
      <c r="B1105" s="63"/>
      <c r="C1105" s="176"/>
      <c r="D1105" s="185"/>
      <c r="E1105" s="19"/>
      <c r="F1105" s="185"/>
      <c r="G1105" s="185"/>
      <c r="H1105" s="270"/>
      <c r="I1105" s="270"/>
      <c r="J1105" s="185"/>
      <c r="K1105" s="185"/>
      <c r="L1105" s="185"/>
      <c r="M1105" s="201"/>
      <c r="N1105" s="521"/>
      <c r="O1105" s="521"/>
      <c r="P1105" s="521"/>
      <c r="Q1105" s="372"/>
      <c r="R1105" s="372"/>
      <c r="S1105" s="372"/>
      <c r="T1105" s="372"/>
      <c r="U1105" s="27"/>
      <c r="V1105" s="28"/>
      <c r="W1105" s="28"/>
      <c r="X1105" s="27"/>
      <c r="Y1105" s="28"/>
      <c r="Z1105" s="28"/>
      <c r="AA1105" s="299"/>
      <c r="AE1105" s="43"/>
      <c r="AF1105" s="43"/>
    </row>
    <row r="1106" spans="1:32" s="26" customFormat="1" x14ac:dyDescent="0.2">
      <c r="A1106" s="63"/>
      <c r="B1106" s="63"/>
      <c r="C1106" s="176"/>
      <c r="D1106" s="185"/>
      <c r="E1106" s="19"/>
      <c r="F1106" s="185"/>
      <c r="G1106" s="185"/>
      <c r="H1106" s="270"/>
      <c r="I1106" s="270"/>
      <c r="J1106" s="185"/>
      <c r="K1106" s="185"/>
      <c r="L1106" s="185"/>
      <c r="M1106" s="201"/>
      <c r="N1106" s="521"/>
      <c r="O1106" s="521"/>
      <c r="P1106" s="521"/>
      <c r="Q1106" s="372"/>
      <c r="R1106" s="372"/>
      <c r="S1106" s="372"/>
      <c r="T1106" s="372"/>
      <c r="U1106" s="27"/>
      <c r="V1106" s="28"/>
      <c r="W1106" s="28"/>
      <c r="X1106" s="27"/>
      <c r="Y1106" s="28"/>
      <c r="Z1106" s="28"/>
      <c r="AA1106" s="299"/>
      <c r="AE1106" s="43"/>
      <c r="AF1106" s="43"/>
    </row>
    <row r="1107" spans="1:32" s="26" customFormat="1" x14ac:dyDescent="0.2">
      <c r="A1107" s="63"/>
      <c r="B1107" s="63"/>
      <c r="C1107" s="176"/>
      <c r="D1107" s="185"/>
      <c r="E1107" s="19"/>
      <c r="F1107" s="185"/>
      <c r="G1107" s="185"/>
      <c r="H1107" s="270"/>
      <c r="I1107" s="270"/>
      <c r="J1107" s="185"/>
      <c r="K1107" s="185"/>
      <c r="L1107" s="185"/>
      <c r="M1107" s="201"/>
      <c r="N1107" s="521"/>
      <c r="O1107" s="521"/>
      <c r="P1107" s="521"/>
      <c r="Q1107" s="372"/>
      <c r="R1107" s="372"/>
      <c r="S1107" s="372"/>
      <c r="T1107" s="372"/>
      <c r="U1107" s="27"/>
      <c r="V1107" s="28"/>
      <c r="W1107" s="28"/>
      <c r="X1107" s="27"/>
      <c r="Y1107" s="28"/>
      <c r="Z1107" s="28"/>
      <c r="AA1107" s="299"/>
      <c r="AE1107" s="43"/>
      <c r="AF1107" s="43"/>
    </row>
    <row r="1108" spans="1:32" s="26" customFormat="1" x14ac:dyDescent="0.2">
      <c r="A1108" s="63"/>
      <c r="B1108" s="63"/>
      <c r="C1108" s="176"/>
      <c r="D1108" s="185"/>
      <c r="E1108" s="19"/>
      <c r="F1108" s="185"/>
      <c r="G1108" s="185"/>
      <c r="H1108" s="270"/>
      <c r="I1108" s="270"/>
      <c r="J1108" s="185"/>
      <c r="K1108" s="185"/>
      <c r="L1108" s="185"/>
      <c r="M1108" s="201"/>
      <c r="N1108" s="521"/>
      <c r="O1108" s="521"/>
      <c r="P1108" s="521"/>
      <c r="Q1108" s="372"/>
      <c r="R1108" s="372"/>
      <c r="S1108" s="372"/>
      <c r="T1108" s="372"/>
      <c r="U1108" s="27"/>
      <c r="V1108" s="28"/>
      <c r="W1108" s="28"/>
      <c r="X1108" s="27"/>
      <c r="Y1108" s="28"/>
      <c r="Z1108" s="28"/>
      <c r="AA1108" s="299"/>
      <c r="AE1108" s="43"/>
      <c r="AF1108" s="43"/>
    </row>
    <row r="1109" spans="1:32" s="26" customFormat="1" x14ac:dyDescent="0.2">
      <c r="A1109" s="63"/>
      <c r="B1109" s="63"/>
      <c r="C1109" s="176"/>
      <c r="D1109" s="185"/>
      <c r="E1109" s="19"/>
      <c r="F1109" s="185"/>
      <c r="G1109" s="185"/>
      <c r="H1109" s="270"/>
      <c r="I1109" s="270"/>
      <c r="J1109" s="185"/>
      <c r="K1109" s="185"/>
      <c r="L1109" s="185"/>
      <c r="M1109" s="201"/>
      <c r="N1109" s="521"/>
      <c r="O1109" s="521"/>
      <c r="P1109" s="521"/>
      <c r="Q1109" s="372"/>
      <c r="R1109" s="372"/>
      <c r="S1109" s="372"/>
      <c r="T1109" s="372"/>
      <c r="U1109" s="27"/>
      <c r="V1109" s="28"/>
      <c r="W1109" s="28"/>
      <c r="X1109" s="27"/>
      <c r="Y1109" s="28"/>
      <c r="Z1109" s="28"/>
      <c r="AA1109" s="299"/>
      <c r="AE1109" s="43"/>
      <c r="AF1109" s="43"/>
    </row>
    <row r="1110" spans="1:32" s="26" customFormat="1" x14ac:dyDescent="0.2">
      <c r="A1110" s="63"/>
      <c r="B1110" s="63"/>
      <c r="C1110" s="176"/>
      <c r="D1110" s="185"/>
      <c r="E1110" s="19"/>
      <c r="F1110" s="185"/>
      <c r="G1110" s="185"/>
      <c r="H1110" s="270"/>
      <c r="I1110" s="270"/>
      <c r="J1110" s="185"/>
      <c r="K1110" s="185"/>
      <c r="L1110" s="185"/>
      <c r="M1110" s="201"/>
      <c r="N1110" s="521"/>
      <c r="O1110" s="521"/>
      <c r="P1110" s="521"/>
      <c r="Q1110" s="372"/>
      <c r="R1110" s="372"/>
      <c r="S1110" s="372"/>
      <c r="T1110" s="372"/>
      <c r="U1110" s="27"/>
      <c r="V1110" s="28"/>
      <c r="W1110" s="28"/>
      <c r="X1110" s="27"/>
      <c r="Y1110" s="28"/>
      <c r="Z1110" s="28"/>
      <c r="AA1110" s="299"/>
      <c r="AE1110" s="43"/>
      <c r="AF1110" s="43"/>
    </row>
    <row r="1111" spans="1:32" s="26" customFormat="1" x14ac:dyDescent="0.2">
      <c r="A1111" s="63"/>
      <c r="B1111" s="63"/>
      <c r="C1111" s="176"/>
      <c r="D1111" s="185"/>
      <c r="E1111" s="19"/>
      <c r="F1111" s="185"/>
      <c r="G1111" s="185"/>
      <c r="H1111" s="270"/>
      <c r="I1111" s="270"/>
      <c r="J1111" s="185"/>
      <c r="K1111" s="185"/>
      <c r="L1111" s="185"/>
      <c r="M1111" s="201"/>
      <c r="N1111" s="521"/>
      <c r="O1111" s="521"/>
      <c r="P1111" s="521"/>
      <c r="Q1111" s="372"/>
      <c r="R1111" s="372"/>
      <c r="S1111" s="372"/>
      <c r="T1111" s="372"/>
      <c r="U1111" s="27"/>
      <c r="V1111" s="28"/>
      <c r="W1111" s="28"/>
      <c r="X1111" s="27"/>
      <c r="Y1111" s="28"/>
      <c r="Z1111" s="28"/>
      <c r="AA1111" s="299"/>
      <c r="AE1111" s="43"/>
      <c r="AF1111" s="43"/>
    </row>
    <row r="1112" spans="1:32" s="26" customFormat="1" x14ac:dyDescent="0.2">
      <c r="A1112" s="63"/>
      <c r="B1112" s="63"/>
      <c r="C1112" s="176"/>
      <c r="D1112" s="185"/>
      <c r="E1112" s="19"/>
      <c r="F1112" s="185"/>
      <c r="G1112" s="185"/>
      <c r="H1112" s="270"/>
      <c r="I1112" s="270"/>
      <c r="J1112" s="185"/>
      <c r="K1112" s="185"/>
      <c r="L1112" s="185"/>
      <c r="M1112" s="201"/>
      <c r="N1112" s="521"/>
      <c r="O1112" s="521"/>
      <c r="P1112" s="521"/>
      <c r="Q1112" s="372"/>
      <c r="R1112" s="372"/>
      <c r="S1112" s="372"/>
      <c r="T1112" s="372"/>
      <c r="U1112" s="27"/>
      <c r="V1112" s="28"/>
      <c r="W1112" s="28"/>
      <c r="X1112" s="27"/>
      <c r="Y1112" s="28"/>
      <c r="Z1112" s="28"/>
      <c r="AA1112" s="299"/>
      <c r="AE1112" s="43"/>
      <c r="AF1112" s="43"/>
    </row>
    <row r="1113" spans="1:32" s="26" customFormat="1" x14ac:dyDescent="0.2">
      <c r="A1113" s="63"/>
      <c r="B1113" s="63"/>
      <c r="C1113" s="176"/>
      <c r="D1113" s="185"/>
      <c r="E1113" s="19"/>
      <c r="F1113" s="185"/>
      <c r="G1113" s="185"/>
      <c r="H1113" s="270"/>
      <c r="I1113" s="270"/>
      <c r="J1113" s="185"/>
      <c r="K1113" s="185"/>
      <c r="L1113" s="185"/>
      <c r="M1113" s="201"/>
      <c r="N1113" s="521"/>
      <c r="O1113" s="521"/>
      <c r="P1113" s="521"/>
      <c r="Q1113" s="372"/>
      <c r="R1113" s="372"/>
      <c r="S1113" s="372"/>
      <c r="T1113" s="372"/>
      <c r="U1113" s="27"/>
      <c r="V1113" s="28"/>
      <c r="W1113" s="28"/>
      <c r="X1113" s="27"/>
      <c r="Y1113" s="28"/>
      <c r="Z1113" s="28"/>
      <c r="AA1113" s="299"/>
      <c r="AE1113" s="43"/>
      <c r="AF1113" s="43"/>
    </row>
    <row r="1114" spans="1:32" s="26" customFormat="1" x14ac:dyDescent="0.2">
      <c r="A1114" s="63"/>
      <c r="B1114" s="63"/>
      <c r="C1114" s="176"/>
      <c r="D1114" s="185"/>
      <c r="E1114" s="19"/>
      <c r="F1114" s="185"/>
      <c r="G1114" s="185"/>
      <c r="H1114" s="270"/>
      <c r="I1114" s="270"/>
      <c r="J1114" s="185"/>
      <c r="K1114" s="185"/>
      <c r="L1114" s="185"/>
      <c r="M1114" s="201"/>
      <c r="N1114" s="521"/>
      <c r="O1114" s="521"/>
      <c r="P1114" s="521"/>
      <c r="Q1114" s="372"/>
      <c r="R1114" s="372"/>
      <c r="S1114" s="372"/>
      <c r="T1114" s="372"/>
      <c r="U1114" s="27"/>
      <c r="V1114" s="28"/>
      <c r="W1114" s="28"/>
      <c r="X1114" s="27"/>
      <c r="Y1114" s="28"/>
      <c r="Z1114" s="28"/>
      <c r="AA1114" s="299"/>
      <c r="AE1114" s="43"/>
      <c r="AF1114" s="43"/>
    </row>
    <row r="1115" spans="1:32" s="26" customFormat="1" x14ac:dyDescent="0.2">
      <c r="A1115" s="63"/>
      <c r="B1115" s="63"/>
      <c r="C1115" s="176"/>
      <c r="D1115" s="185"/>
      <c r="E1115" s="19"/>
      <c r="F1115" s="185"/>
      <c r="G1115" s="185"/>
      <c r="H1115" s="270"/>
      <c r="I1115" s="270"/>
      <c r="J1115" s="185"/>
      <c r="K1115" s="185"/>
      <c r="L1115" s="185"/>
      <c r="M1115" s="201"/>
      <c r="N1115" s="521"/>
      <c r="O1115" s="521"/>
      <c r="P1115" s="521"/>
      <c r="Q1115" s="372"/>
      <c r="R1115" s="372"/>
      <c r="S1115" s="372"/>
      <c r="T1115" s="372"/>
      <c r="U1115" s="27"/>
      <c r="V1115" s="28"/>
      <c r="W1115" s="28"/>
      <c r="X1115" s="27"/>
      <c r="Y1115" s="28"/>
      <c r="Z1115" s="28"/>
      <c r="AA1115" s="299"/>
      <c r="AE1115" s="43"/>
      <c r="AF1115" s="43"/>
    </row>
    <row r="1116" spans="1:32" s="26" customFormat="1" x14ac:dyDescent="0.2">
      <c r="A1116" s="63"/>
      <c r="B1116" s="63"/>
      <c r="C1116" s="176"/>
      <c r="D1116" s="185"/>
      <c r="E1116" s="19"/>
      <c r="F1116" s="185"/>
      <c r="G1116" s="185"/>
      <c r="H1116" s="270"/>
      <c r="I1116" s="270"/>
      <c r="J1116" s="185"/>
      <c r="K1116" s="185"/>
      <c r="L1116" s="185"/>
      <c r="M1116" s="201"/>
      <c r="N1116" s="521"/>
      <c r="O1116" s="521"/>
      <c r="P1116" s="521"/>
      <c r="Q1116" s="372"/>
      <c r="R1116" s="372"/>
      <c r="S1116" s="372"/>
      <c r="T1116" s="372"/>
      <c r="U1116" s="27"/>
      <c r="V1116" s="28"/>
      <c r="W1116" s="28"/>
      <c r="X1116" s="27"/>
      <c r="Y1116" s="28"/>
      <c r="Z1116" s="28"/>
      <c r="AA1116" s="299"/>
      <c r="AE1116" s="43"/>
      <c r="AF1116" s="43"/>
    </row>
    <row r="1117" spans="1:32" s="26" customFormat="1" x14ac:dyDescent="0.2">
      <c r="A1117" s="63"/>
      <c r="B1117" s="63"/>
      <c r="C1117" s="176"/>
      <c r="D1117" s="185"/>
      <c r="E1117" s="19"/>
      <c r="F1117" s="185"/>
      <c r="G1117" s="185"/>
      <c r="H1117" s="270"/>
      <c r="I1117" s="270"/>
      <c r="J1117" s="185"/>
      <c r="K1117" s="185"/>
      <c r="L1117" s="185"/>
      <c r="M1117" s="201"/>
      <c r="N1117" s="521"/>
      <c r="O1117" s="521"/>
      <c r="P1117" s="521"/>
      <c r="Q1117" s="372"/>
      <c r="R1117" s="372"/>
      <c r="S1117" s="372"/>
      <c r="T1117" s="372"/>
      <c r="U1117" s="27"/>
      <c r="V1117" s="28"/>
      <c r="W1117" s="28"/>
      <c r="X1117" s="27"/>
      <c r="Y1117" s="28"/>
      <c r="Z1117" s="28"/>
      <c r="AA1117" s="299"/>
      <c r="AE1117" s="43"/>
      <c r="AF1117" s="43"/>
    </row>
    <row r="1118" spans="1:32" s="26" customFormat="1" x14ac:dyDescent="0.2">
      <c r="A1118" s="63"/>
      <c r="B1118" s="63"/>
      <c r="C1118" s="176"/>
      <c r="D1118" s="185"/>
      <c r="E1118" s="19"/>
      <c r="F1118" s="185"/>
      <c r="G1118" s="185"/>
      <c r="H1118" s="270"/>
      <c r="I1118" s="270"/>
      <c r="J1118" s="185"/>
      <c r="K1118" s="185"/>
      <c r="L1118" s="185"/>
      <c r="M1118" s="201"/>
      <c r="N1118" s="521"/>
      <c r="O1118" s="521"/>
      <c r="P1118" s="521"/>
      <c r="Q1118" s="372"/>
      <c r="R1118" s="372"/>
      <c r="S1118" s="372"/>
      <c r="T1118" s="372"/>
      <c r="U1118" s="27"/>
      <c r="V1118" s="28"/>
      <c r="W1118" s="28"/>
      <c r="X1118" s="27"/>
      <c r="Y1118" s="28"/>
      <c r="Z1118" s="28"/>
      <c r="AA1118" s="299"/>
      <c r="AE1118" s="43"/>
      <c r="AF1118" s="43"/>
    </row>
    <row r="1119" spans="1:32" s="26" customFormat="1" x14ac:dyDescent="0.2">
      <c r="A1119" s="63"/>
      <c r="B1119" s="63"/>
      <c r="C1119" s="176"/>
      <c r="D1119" s="185"/>
      <c r="E1119" s="19"/>
      <c r="F1119" s="185"/>
      <c r="G1119" s="185"/>
      <c r="H1119" s="270"/>
      <c r="I1119" s="270"/>
      <c r="J1119" s="185"/>
      <c r="K1119" s="185"/>
      <c r="L1119" s="185"/>
      <c r="M1119" s="201"/>
      <c r="N1119" s="521"/>
      <c r="O1119" s="521"/>
      <c r="P1119" s="521"/>
      <c r="Q1119" s="372"/>
      <c r="R1119" s="372"/>
      <c r="S1119" s="372"/>
      <c r="T1119" s="372"/>
      <c r="U1119" s="27"/>
      <c r="V1119" s="28"/>
      <c r="W1119" s="28"/>
      <c r="X1119" s="27"/>
      <c r="Y1119" s="28"/>
      <c r="Z1119" s="28"/>
      <c r="AA1119" s="299"/>
      <c r="AE1119" s="43"/>
      <c r="AF1119" s="43"/>
    </row>
    <row r="1120" spans="1:32" s="26" customFormat="1" x14ac:dyDescent="0.2">
      <c r="A1120" s="63"/>
      <c r="B1120" s="63"/>
      <c r="C1120" s="176"/>
      <c r="D1120" s="185"/>
      <c r="E1120" s="19"/>
      <c r="F1120" s="185"/>
      <c r="G1120" s="185"/>
      <c r="H1120" s="270"/>
      <c r="I1120" s="270"/>
      <c r="J1120" s="185"/>
      <c r="K1120" s="185"/>
      <c r="L1120" s="185"/>
      <c r="M1120" s="201"/>
      <c r="N1120" s="521"/>
      <c r="O1120" s="521"/>
      <c r="P1120" s="521"/>
      <c r="Q1120" s="372"/>
      <c r="R1120" s="372"/>
      <c r="S1120" s="372"/>
      <c r="T1120" s="372"/>
      <c r="U1120" s="27"/>
      <c r="V1120" s="28"/>
      <c r="W1120" s="28"/>
      <c r="X1120" s="27"/>
      <c r="Y1120" s="28"/>
      <c r="Z1120" s="28"/>
      <c r="AA1120" s="299"/>
      <c r="AE1120" s="43"/>
      <c r="AF1120" s="43"/>
    </row>
    <row r="1121" spans="1:32" s="26" customFormat="1" x14ac:dyDescent="0.2">
      <c r="A1121" s="63"/>
      <c r="B1121" s="63"/>
      <c r="C1121" s="176"/>
      <c r="D1121" s="185"/>
      <c r="E1121" s="19"/>
      <c r="F1121" s="185"/>
      <c r="G1121" s="185"/>
      <c r="H1121" s="270"/>
      <c r="I1121" s="270"/>
      <c r="J1121" s="185"/>
      <c r="K1121" s="185"/>
      <c r="L1121" s="185"/>
      <c r="M1121" s="201"/>
      <c r="N1121" s="521"/>
      <c r="O1121" s="521"/>
      <c r="P1121" s="521"/>
      <c r="Q1121" s="372"/>
      <c r="R1121" s="372"/>
      <c r="S1121" s="372"/>
      <c r="T1121" s="372"/>
      <c r="U1121" s="27"/>
      <c r="V1121" s="28"/>
      <c r="W1121" s="28"/>
      <c r="X1121" s="27"/>
      <c r="Y1121" s="28"/>
      <c r="Z1121" s="28"/>
      <c r="AA1121" s="299"/>
      <c r="AE1121" s="43"/>
      <c r="AF1121" s="43"/>
    </row>
    <row r="1122" spans="1:32" s="26" customFormat="1" x14ac:dyDescent="0.2">
      <c r="A1122" s="63"/>
      <c r="B1122" s="63"/>
      <c r="C1122" s="176"/>
      <c r="D1122" s="185"/>
      <c r="E1122" s="19"/>
      <c r="F1122" s="185"/>
      <c r="G1122" s="185"/>
      <c r="H1122" s="270"/>
      <c r="I1122" s="270"/>
      <c r="J1122" s="185"/>
      <c r="K1122" s="185"/>
      <c r="L1122" s="185"/>
      <c r="M1122" s="201"/>
      <c r="N1122" s="521"/>
      <c r="O1122" s="521"/>
      <c r="P1122" s="521"/>
      <c r="Q1122" s="372"/>
      <c r="R1122" s="372"/>
      <c r="S1122" s="372"/>
      <c r="T1122" s="372"/>
      <c r="U1122" s="27"/>
      <c r="V1122" s="28"/>
      <c r="W1122" s="28"/>
      <c r="X1122" s="27"/>
      <c r="Y1122" s="28"/>
      <c r="Z1122" s="28"/>
      <c r="AA1122" s="299"/>
      <c r="AE1122" s="43"/>
      <c r="AF1122" s="43"/>
    </row>
    <row r="1123" spans="1:32" s="26" customFormat="1" x14ac:dyDescent="0.2">
      <c r="A1123" s="63"/>
      <c r="B1123" s="63"/>
      <c r="C1123" s="176"/>
      <c r="D1123" s="185"/>
      <c r="E1123" s="19"/>
      <c r="F1123" s="185"/>
      <c r="G1123" s="185"/>
      <c r="H1123" s="270"/>
      <c r="I1123" s="270"/>
      <c r="J1123" s="185"/>
      <c r="K1123" s="185"/>
      <c r="L1123" s="185"/>
      <c r="M1123" s="201"/>
      <c r="N1123" s="521"/>
      <c r="O1123" s="521"/>
      <c r="P1123" s="521"/>
      <c r="Q1123" s="372"/>
      <c r="R1123" s="372"/>
      <c r="S1123" s="372"/>
      <c r="T1123" s="372"/>
      <c r="U1123" s="27"/>
      <c r="V1123" s="28"/>
      <c r="W1123" s="28"/>
      <c r="X1123" s="27"/>
      <c r="Y1123" s="28"/>
      <c r="Z1123" s="28"/>
      <c r="AA1123" s="299"/>
      <c r="AE1123" s="43"/>
      <c r="AF1123" s="43"/>
    </row>
    <row r="1124" spans="1:32" s="26" customFormat="1" x14ac:dyDescent="0.2">
      <c r="A1124" s="63"/>
      <c r="B1124" s="63"/>
      <c r="C1124" s="176"/>
      <c r="D1124" s="185"/>
      <c r="E1124" s="19"/>
      <c r="F1124" s="185"/>
      <c r="G1124" s="185"/>
      <c r="H1124" s="270"/>
      <c r="I1124" s="270"/>
      <c r="J1124" s="185"/>
      <c r="K1124" s="185"/>
      <c r="L1124" s="185"/>
      <c r="M1124" s="201"/>
      <c r="N1124" s="521"/>
      <c r="O1124" s="521"/>
      <c r="P1124" s="521"/>
      <c r="Q1124" s="372"/>
      <c r="R1124" s="372"/>
      <c r="S1124" s="372"/>
      <c r="T1124" s="372"/>
      <c r="U1124" s="27"/>
      <c r="V1124" s="28"/>
      <c r="W1124" s="28"/>
      <c r="X1124" s="27"/>
      <c r="Y1124" s="28"/>
      <c r="Z1124" s="28"/>
      <c r="AA1124" s="299"/>
      <c r="AE1124" s="43"/>
      <c r="AF1124" s="43"/>
    </row>
    <row r="1125" spans="1:32" s="26" customFormat="1" x14ac:dyDescent="0.2">
      <c r="A1125" s="63"/>
      <c r="B1125" s="63"/>
      <c r="C1125" s="176"/>
      <c r="D1125" s="185"/>
      <c r="E1125" s="19"/>
      <c r="F1125" s="185"/>
      <c r="G1125" s="185"/>
      <c r="H1125" s="270"/>
      <c r="I1125" s="270"/>
      <c r="J1125" s="185"/>
      <c r="K1125" s="185"/>
      <c r="L1125" s="185"/>
      <c r="M1125" s="201"/>
      <c r="N1125" s="521"/>
      <c r="O1125" s="521"/>
      <c r="P1125" s="521"/>
      <c r="Q1125" s="372"/>
      <c r="R1125" s="372"/>
      <c r="S1125" s="372"/>
      <c r="T1125" s="372"/>
      <c r="U1125" s="27"/>
      <c r="V1125" s="28"/>
      <c r="W1125" s="28"/>
      <c r="X1125" s="27"/>
      <c r="Y1125" s="28"/>
      <c r="Z1125" s="28"/>
      <c r="AA1125" s="299"/>
      <c r="AE1125" s="43"/>
      <c r="AF1125" s="43"/>
    </row>
    <row r="1126" spans="1:32" s="26" customFormat="1" x14ac:dyDescent="0.2">
      <c r="A1126" s="63"/>
      <c r="B1126" s="63"/>
      <c r="C1126" s="176"/>
      <c r="D1126" s="185"/>
      <c r="E1126" s="19"/>
      <c r="F1126" s="185"/>
      <c r="G1126" s="185"/>
      <c r="H1126" s="270"/>
      <c r="I1126" s="270"/>
      <c r="J1126" s="185"/>
      <c r="K1126" s="185"/>
      <c r="L1126" s="185"/>
      <c r="M1126" s="201"/>
      <c r="N1126" s="521"/>
      <c r="O1126" s="521"/>
      <c r="P1126" s="521"/>
      <c r="Q1126" s="372"/>
      <c r="R1126" s="372"/>
      <c r="S1126" s="372"/>
      <c r="T1126" s="372"/>
      <c r="U1126" s="27"/>
      <c r="V1126" s="28"/>
      <c r="W1126" s="28"/>
      <c r="X1126" s="27"/>
      <c r="Y1126" s="28"/>
      <c r="Z1126" s="28"/>
      <c r="AA1126" s="299"/>
      <c r="AE1126" s="43"/>
      <c r="AF1126" s="43"/>
    </row>
    <row r="1127" spans="1:32" s="26" customFormat="1" x14ac:dyDescent="0.2">
      <c r="A1127" s="63"/>
      <c r="B1127" s="63"/>
      <c r="C1127" s="176"/>
      <c r="D1127" s="185"/>
      <c r="E1127" s="19"/>
      <c r="F1127" s="185"/>
      <c r="G1127" s="185"/>
      <c r="H1127" s="270"/>
      <c r="I1127" s="270"/>
      <c r="J1127" s="185"/>
      <c r="K1127" s="185"/>
      <c r="L1127" s="185"/>
      <c r="M1127" s="201"/>
      <c r="N1127" s="521"/>
      <c r="O1127" s="521"/>
      <c r="P1127" s="521"/>
      <c r="Q1127" s="372"/>
      <c r="R1127" s="372"/>
      <c r="S1127" s="372"/>
      <c r="T1127" s="372"/>
      <c r="U1127" s="27"/>
      <c r="V1127" s="28"/>
      <c r="W1127" s="28"/>
      <c r="X1127" s="27"/>
      <c r="Y1127" s="28"/>
      <c r="Z1127" s="28"/>
      <c r="AA1127" s="299"/>
      <c r="AE1127" s="43"/>
      <c r="AF1127" s="43"/>
    </row>
    <row r="1128" spans="1:32" s="26" customFormat="1" x14ac:dyDescent="0.2">
      <c r="A1128" s="63"/>
      <c r="B1128" s="63"/>
      <c r="C1128" s="176"/>
      <c r="D1128" s="185"/>
      <c r="E1128" s="19"/>
      <c r="F1128" s="185"/>
      <c r="G1128" s="185"/>
      <c r="H1128" s="270"/>
      <c r="I1128" s="270"/>
      <c r="J1128" s="185"/>
      <c r="K1128" s="185"/>
      <c r="L1128" s="185"/>
      <c r="M1128" s="201"/>
      <c r="N1128" s="521"/>
      <c r="O1128" s="521"/>
      <c r="P1128" s="521"/>
      <c r="Q1128" s="372"/>
      <c r="R1128" s="372"/>
      <c r="S1128" s="372"/>
      <c r="T1128" s="372"/>
      <c r="U1128" s="27"/>
      <c r="V1128" s="28"/>
      <c r="W1128" s="28"/>
      <c r="X1128" s="27"/>
      <c r="Y1128" s="28"/>
      <c r="Z1128" s="28"/>
      <c r="AA1128" s="299"/>
      <c r="AE1128" s="43"/>
      <c r="AF1128" s="43"/>
    </row>
    <row r="1129" spans="1:32" s="26" customFormat="1" x14ac:dyDescent="0.2">
      <c r="A1129" s="63"/>
      <c r="B1129" s="63"/>
      <c r="C1129" s="176"/>
      <c r="D1129" s="185"/>
      <c r="E1129" s="19"/>
      <c r="F1129" s="185"/>
      <c r="G1129" s="185"/>
      <c r="H1129" s="270"/>
      <c r="I1129" s="270"/>
      <c r="J1129" s="185"/>
      <c r="K1129" s="185"/>
      <c r="L1129" s="185"/>
      <c r="M1129" s="201"/>
      <c r="N1129" s="521"/>
      <c r="O1129" s="521"/>
      <c r="P1129" s="521"/>
      <c r="Q1129" s="372"/>
      <c r="R1129" s="372"/>
      <c r="S1129" s="372"/>
      <c r="T1129" s="372"/>
      <c r="U1129" s="27"/>
      <c r="V1129" s="28"/>
      <c r="W1129" s="28"/>
      <c r="X1129" s="27"/>
      <c r="Y1129" s="28"/>
      <c r="Z1129" s="28"/>
      <c r="AA1129" s="299"/>
      <c r="AE1129" s="43"/>
      <c r="AF1129" s="43"/>
    </row>
    <row r="1130" spans="1:32" s="26" customFormat="1" x14ac:dyDescent="0.2">
      <c r="A1130" s="63"/>
      <c r="B1130" s="63"/>
      <c r="C1130" s="176"/>
      <c r="D1130" s="185"/>
      <c r="E1130" s="19"/>
      <c r="F1130" s="185"/>
      <c r="G1130" s="185"/>
      <c r="H1130" s="270"/>
      <c r="I1130" s="270"/>
      <c r="J1130" s="185"/>
      <c r="K1130" s="185"/>
      <c r="L1130" s="185"/>
      <c r="M1130" s="201"/>
      <c r="N1130" s="521"/>
      <c r="O1130" s="521"/>
      <c r="P1130" s="521"/>
      <c r="Q1130" s="372"/>
      <c r="R1130" s="372"/>
      <c r="S1130" s="372"/>
      <c r="T1130" s="372"/>
      <c r="U1130" s="27"/>
      <c r="V1130" s="28"/>
      <c r="W1130" s="28"/>
      <c r="X1130" s="27"/>
      <c r="Y1130" s="28"/>
      <c r="Z1130" s="28"/>
      <c r="AA1130" s="299"/>
      <c r="AE1130" s="43"/>
      <c r="AF1130" s="43"/>
    </row>
    <row r="1131" spans="1:32" s="26" customFormat="1" x14ac:dyDescent="0.2">
      <c r="A1131" s="63"/>
      <c r="B1131" s="63"/>
      <c r="C1131" s="176"/>
      <c r="D1131" s="185"/>
      <c r="E1131" s="19"/>
      <c r="F1131" s="185"/>
      <c r="G1131" s="185"/>
      <c r="H1131" s="270"/>
      <c r="I1131" s="270"/>
      <c r="J1131" s="185"/>
      <c r="K1131" s="185"/>
      <c r="L1131" s="185"/>
      <c r="M1131" s="201"/>
      <c r="N1131" s="521"/>
      <c r="O1131" s="521"/>
      <c r="P1131" s="521"/>
      <c r="Q1131" s="372"/>
      <c r="R1131" s="372"/>
      <c r="S1131" s="372"/>
      <c r="T1131" s="372"/>
      <c r="U1131" s="27"/>
      <c r="V1131" s="28"/>
      <c r="W1131" s="28"/>
      <c r="X1131" s="27"/>
      <c r="Y1131" s="28"/>
      <c r="Z1131" s="28"/>
      <c r="AA1131" s="299"/>
      <c r="AE1131" s="43"/>
      <c r="AF1131" s="43"/>
    </row>
    <row r="1132" spans="1:32" s="26" customFormat="1" x14ac:dyDescent="0.2">
      <c r="A1132" s="63"/>
      <c r="B1132" s="63"/>
      <c r="C1132" s="176"/>
      <c r="D1132" s="185"/>
      <c r="E1132" s="19"/>
      <c r="F1132" s="185"/>
      <c r="G1132" s="185"/>
      <c r="H1132" s="270"/>
      <c r="I1132" s="270"/>
      <c r="J1132" s="185"/>
      <c r="K1132" s="185"/>
      <c r="L1132" s="185"/>
      <c r="M1132" s="201"/>
      <c r="N1132" s="521"/>
      <c r="O1132" s="521"/>
      <c r="P1132" s="521"/>
      <c r="Q1132" s="372"/>
      <c r="R1132" s="372"/>
      <c r="S1132" s="372"/>
      <c r="T1132" s="372"/>
      <c r="U1132" s="27"/>
      <c r="V1132" s="28"/>
      <c r="W1132" s="28"/>
      <c r="X1132" s="27"/>
      <c r="Y1132" s="28"/>
      <c r="Z1132" s="28"/>
      <c r="AA1132" s="299"/>
      <c r="AE1132" s="43"/>
      <c r="AF1132" s="43"/>
    </row>
    <row r="1133" spans="1:32" s="26" customFormat="1" x14ac:dyDescent="0.2">
      <c r="A1133" s="63"/>
      <c r="B1133" s="63"/>
      <c r="C1133" s="176"/>
      <c r="D1133" s="185"/>
      <c r="E1133" s="19"/>
      <c r="F1133" s="185"/>
      <c r="G1133" s="185"/>
      <c r="H1133" s="270"/>
      <c r="I1133" s="270"/>
      <c r="J1133" s="185"/>
      <c r="K1133" s="185"/>
      <c r="L1133" s="185"/>
      <c r="M1133" s="201"/>
      <c r="N1133" s="521"/>
      <c r="O1133" s="521"/>
      <c r="P1133" s="521"/>
      <c r="Q1133" s="372"/>
      <c r="R1133" s="372"/>
      <c r="S1133" s="372"/>
      <c r="T1133" s="372"/>
      <c r="U1133" s="27"/>
      <c r="V1133" s="28"/>
      <c r="W1133" s="28"/>
      <c r="X1133" s="27"/>
      <c r="Y1133" s="28"/>
      <c r="Z1133" s="28"/>
      <c r="AA1133" s="299"/>
      <c r="AE1133" s="43"/>
      <c r="AF1133" s="43"/>
    </row>
    <row r="1134" spans="1:32" s="26" customFormat="1" x14ac:dyDescent="0.2">
      <c r="A1134" s="63"/>
      <c r="B1134" s="63"/>
      <c r="C1134" s="176"/>
      <c r="D1134" s="185"/>
      <c r="E1134" s="19"/>
      <c r="F1134" s="185"/>
      <c r="G1134" s="185"/>
      <c r="H1134" s="270"/>
      <c r="I1134" s="270"/>
      <c r="J1134" s="185"/>
      <c r="K1134" s="185"/>
      <c r="L1134" s="185"/>
      <c r="M1134" s="201"/>
      <c r="N1134" s="521"/>
      <c r="O1134" s="521"/>
      <c r="P1134" s="521"/>
      <c r="Q1134" s="372"/>
      <c r="R1134" s="372"/>
      <c r="S1134" s="372"/>
      <c r="T1134" s="372"/>
      <c r="U1134" s="27"/>
      <c r="V1134" s="28"/>
      <c r="W1134" s="28"/>
      <c r="X1134" s="27"/>
      <c r="Y1134" s="28"/>
      <c r="Z1134" s="28"/>
      <c r="AA1134" s="299"/>
      <c r="AE1134" s="43"/>
      <c r="AF1134" s="43"/>
    </row>
    <row r="1135" spans="1:32" s="26" customFormat="1" x14ac:dyDescent="0.2">
      <c r="A1135" s="63"/>
      <c r="B1135" s="63"/>
      <c r="C1135" s="176"/>
      <c r="D1135" s="185"/>
      <c r="E1135" s="19"/>
      <c r="F1135" s="185"/>
      <c r="G1135" s="185"/>
      <c r="H1135" s="270"/>
      <c r="I1135" s="270"/>
      <c r="J1135" s="185"/>
      <c r="K1135" s="185"/>
      <c r="L1135" s="185"/>
      <c r="M1135" s="201"/>
      <c r="N1135" s="521"/>
      <c r="O1135" s="521"/>
      <c r="P1135" s="521"/>
      <c r="Q1135" s="372"/>
      <c r="R1135" s="372"/>
      <c r="S1135" s="372"/>
      <c r="T1135" s="372"/>
      <c r="U1135" s="27"/>
      <c r="V1135" s="28"/>
      <c r="W1135" s="28"/>
      <c r="X1135" s="27"/>
      <c r="Y1135" s="28"/>
      <c r="Z1135" s="28"/>
      <c r="AA1135" s="299"/>
      <c r="AE1135" s="43"/>
      <c r="AF1135" s="43"/>
    </row>
    <row r="1136" spans="1:32" s="26" customFormat="1" x14ac:dyDescent="0.2">
      <c r="A1136" s="63"/>
      <c r="B1136" s="63"/>
      <c r="C1136" s="176"/>
      <c r="D1136" s="185"/>
      <c r="E1136" s="19"/>
      <c r="F1136" s="185"/>
      <c r="G1136" s="185"/>
      <c r="H1136" s="270"/>
      <c r="I1136" s="270"/>
      <c r="J1136" s="185"/>
      <c r="K1136" s="185"/>
      <c r="L1136" s="185"/>
      <c r="M1136" s="201"/>
      <c r="N1136" s="521"/>
      <c r="O1136" s="521"/>
      <c r="P1136" s="521"/>
      <c r="Q1136" s="372"/>
      <c r="R1136" s="372"/>
      <c r="S1136" s="372"/>
      <c r="T1136" s="372"/>
      <c r="U1136" s="27"/>
      <c r="V1136" s="28"/>
      <c r="W1136" s="28"/>
      <c r="X1136" s="27"/>
      <c r="Y1136" s="28"/>
      <c r="Z1136" s="28"/>
      <c r="AA1136" s="299"/>
      <c r="AE1136" s="43"/>
      <c r="AF1136" s="43"/>
    </row>
    <row r="1137" spans="1:32" s="26" customFormat="1" x14ac:dyDescent="0.2">
      <c r="A1137" s="63"/>
      <c r="B1137" s="63"/>
      <c r="C1137" s="176"/>
      <c r="D1137" s="185"/>
      <c r="E1137" s="19"/>
      <c r="F1137" s="185"/>
      <c r="G1137" s="185"/>
      <c r="H1137" s="270"/>
      <c r="I1137" s="270"/>
      <c r="J1137" s="185"/>
      <c r="K1137" s="185"/>
      <c r="L1137" s="185"/>
      <c r="M1137" s="201"/>
      <c r="N1137" s="521"/>
      <c r="O1137" s="521"/>
      <c r="P1137" s="521"/>
      <c r="Q1137" s="372"/>
      <c r="R1137" s="372"/>
      <c r="S1137" s="372"/>
      <c r="T1137" s="372"/>
      <c r="U1137" s="27"/>
      <c r="V1137" s="28"/>
      <c r="W1137" s="28"/>
      <c r="X1137" s="27"/>
      <c r="Y1137" s="28"/>
      <c r="Z1137" s="28"/>
      <c r="AA1137" s="299"/>
      <c r="AE1137" s="43"/>
      <c r="AF1137" s="43"/>
    </row>
    <row r="1138" spans="1:32" s="26" customFormat="1" x14ac:dyDescent="0.2">
      <c r="A1138" s="63"/>
      <c r="B1138" s="63"/>
      <c r="C1138" s="176"/>
      <c r="D1138" s="185"/>
      <c r="E1138" s="19"/>
      <c r="F1138" s="185"/>
      <c r="G1138" s="185"/>
      <c r="H1138" s="270"/>
      <c r="I1138" s="270"/>
      <c r="J1138" s="185"/>
      <c r="K1138" s="185"/>
      <c r="L1138" s="185"/>
      <c r="M1138" s="201"/>
      <c r="N1138" s="521"/>
      <c r="O1138" s="521"/>
      <c r="P1138" s="521"/>
      <c r="Q1138" s="372"/>
      <c r="R1138" s="372"/>
      <c r="S1138" s="372"/>
      <c r="T1138" s="372"/>
      <c r="U1138" s="27"/>
      <c r="V1138" s="28"/>
      <c r="W1138" s="28"/>
      <c r="X1138" s="27"/>
      <c r="Y1138" s="28"/>
      <c r="Z1138" s="28"/>
      <c r="AA1138" s="299"/>
      <c r="AE1138" s="43"/>
      <c r="AF1138" s="43"/>
    </row>
    <row r="1139" spans="1:32" s="26" customFormat="1" x14ac:dyDescent="0.2">
      <c r="A1139" s="63"/>
      <c r="B1139" s="63"/>
      <c r="C1139" s="176"/>
      <c r="D1139" s="185"/>
      <c r="E1139" s="19"/>
      <c r="F1139" s="185"/>
      <c r="G1139" s="185"/>
      <c r="H1139" s="270"/>
      <c r="I1139" s="270"/>
      <c r="J1139" s="185"/>
      <c r="K1139" s="185"/>
      <c r="L1139" s="185"/>
      <c r="M1139" s="201"/>
      <c r="N1139" s="521"/>
      <c r="O1139" s="521"/>
      <c r="P1139" s="521"/>
      <c r="Q1139" s="372"/>
      <c r="R1139" s="372"/>
      <c r="S1139" s="372"/>
      <c r="T1139" s="372"/>
      <c r="U1139" s="27"/>
      <c r="V1139" s="28"/>
      <c r="W1139" s="28"/>
      <c r="X1139" s="27"/>
      <c r="Y1139" s="28"/>
      <c r="Z1139" s="28"/>
      <c r="AA1139" s="299"/>
      <c r="AE1139" s="43"/>
      <c r="AF1139" s="43"/>
    </row>
    <row r="1140" spans="1:32" s="26" customFormat="1" x14ac:dyDescent="0.2">
      <c r="A1140" s="63"/>
      <c r="B1140" s="63"/>
      <c r="C1140" s="176"/>
      <c r="D1140" s="185"/>
      <c r="E1140" s="19"/>
      <c r="F1140" s="185"/>
      <c r="G1140" s="185"/>
      <c r="H1140" s="270"/>
      <c r="I1140" s="270"/>
      <c r="J1140" s="185"/>
      <c r="K1140" s="185"/>
      <c r="L1140" s="185"/>
      <c r="M1140" s="201"/>
      <c r="N1140" s="521"/>
      <c r="O1140" s="521"/>
      <c r="P1140" s="521"/>
      <c r="Q1140" s="372"/>
      <c r="R1140" s="372"/>
      <c r="S1140" s="372"/>
      <c r="T1140" s="372"/>
      <c r="U1140" s="27"/>
      <c r="V1140" s="28"/>
      <c r="W1140" s="28"/>
      <c r="X1140" s="27"/>
      <c r="Y1140" s="28"/>
      <c r="Z1140" s="28"/>
      <c r="AA1140" s="299"/>
      <c r="AE1140" s="43"/>
      <c r="AF1140" s="43"/>
    </row>
    <row r="1141" spans="1:32" s="26" customFormat="1" x14ac:dyDescent="0.2">
      <c r="A1141" s="63"/>
      <c r="B1141" s="63"/>
      <c r="C1141" s="176"/>
      <c r="D1141" s="185"/>
      <c r="E1141" s="19"/>
      <c r="F1141" s="185"/>
      <c r="G1141" s="185"/>
      <c r="H1141" s="270"/>
      <c r="I1141" s="270"/>
      <c r="J1141" s="185"/>
      <c r="K1141" s="185"/>
      <c r="L1141" s="185"/>
      <c r="M1141" s="201"/>
      <c r="N1141" s="521"/>
      <c r="O1141" s="521"/>
      <c r="P1141" s="521"/>
      <c r="Q1141" s="372"/>
      <c r="R1141" s="372"/>
      <c r="S1141" s="372"/>
      <c r="T1141" s="372"/>
      <c r="U1141" s="27"/>
      <c r="V1141" s="28"/>
      <c r="W1141" s="28"/>
      <c r="X1141" s="27"/>
      <c r="Y1141" s="28"/>
      <c r="Z1141" s="28"/>
      <c r="AA1141" s="299"/>
      <c r="AE1141" s="43"/>
      <c r="AF1141" s="43"/>
    </row>
    <row r="1142" spans="1:32" s="26" customFormat="1" x14ac:dyDescent="0.2">
      <c r="A1142" s="63"/>
      <c r="B1142" s="63"/>
      <c r="C1142" s="176"/>
      <c r="D1142" s="185"/>
      <c r="E1142" s="19"/>
      <c r="F1142" s="185"/>
      <c r="G1142" s="185"/>
      <c r="H1142" s="270"/>
      <c r="I1142" s="270"/>
      <c r="J1142" s="185"/>
      <c r="K1142" s="185"/>
      <c r="L1142" s="185"/>
      <c r="M1142" s="201"/>
      <c r="N1142" s="521"/>
      <c r="O1142" s="521"/>
      <c r="P1142" s="521"/>
      <c r="Q1142" s="372"/>
      <c r="R1142" s="372"/>
      <c r="S1142" s="372"/>
      <c r="T1142" s="372"/>
      <c r="U1142" s="27"/>
      <c r="V1142" s="28"/>
      <c r="W1142" s="28"/>
      <c r="X1142" s="27"/>
      <c r="Y1142" s="28"/>
      <c r="Z1142" s="28"/>
      <c r="AA1142" s="299"/>
      <c r="AE1142" s="43"/>
      <c r="AF1142" s="43"/>
    </row>
    <row r="1143" spans="1:32" s="26" customFormat="1" x14ac:dyDescent="0.2">
      <c r="A1143" s="63"/>
      <c r="B1143" s="63"/>
      <c r="C1143" s="176"/>
      <c r="D1143" s="185"/>
      <c r="E1143" s="19"/>
      <c r="F1143" s="185"/>
      <c r="G1143" s="185"/>
      <c r="H1143" s="270"/>
      <c r="I1143" s="270"/>
      <c r="J1143" s="185"/>
      <c r="K1143" s="185"/>
      <c r="L1143" s="185"/>
      <c r="M1143" s="201"/>
      <c r="N1143" s="521"/>
      <c r="O1143" s="521"/>
      <c r="P1143" s="521"/>
      <c r="Q1143" s="372"/>
      <c r="R1143" s="372"/>
      <c r="S1143" s="372"/>
      <c r="T1143" s="372"/>
      <c r="U1143" s="27"/>
      <c r="V1143" s="28"/>
      <c r="W1143" s="28"/>
      <c r="X1143" s="27"/>
      <c r="Y1143" s="28"/>
      <c r="Z1143" s="28"/>
      <c r="AA1143" s="299"/>
      <c r="AE1143" s="43"/>
      <c r="AF1143" s="43"/>
    </row>
    <row r="1144" spans="1:32" s="26" customFormat="1" x14ac:dyDescent="0.2">
      <c r="A1144" s="63"/>
      <c r="B1144" s="63"/>
      <c r="C1144" s="176"/>
      <c r="D1144" s="185"/>
      <c r="E1144" s="19"/>
      <c r="F1144" s="185"/>
      <c r="G1144" s="185"/>
      <c r="H1144" s="270"/>
      <c r="I1144" s="270"/>
      <c r="J1144" s="185"/>
      <c r="K1144" s="185"/>
      <c r="L1144" s="185"/>
      <c r="M1144" s="201"/>
      <c r="N1144" s="521"/>
      <c r="O1144" s="521"/>
      <c r="P1144" s="521"/>
      <c r="Q1144" s="372"/>
      <c r="R1144" s="372"/>
      <c r="S1144" s="372"/>
      <c r="T1144" s="372"/>
      <c r="U1144" s="27"/>
      <c r="V1144" s="28"/>
      <c r="W1144" s="28"/>
      <c r="X1144" s="27"/>
      <c r="Y1144" s="28"/>
      <c r="Z1144" s="28"/>
      <c r="AA1144" s="299"/>
      <c r="AE1144" s="43"/>
      <c r="AF1144" s="43"/>
    </row>
    <row r="1145" spans="1:32" s="26" customFormat="1" x14ac:dyDescent="0.2">
      <c r="A1145" s="63"/>
      <c r="B1145" s="63"/>
      <c r="C1145" s="176"/>
      <c r="D1145" s="185"/>
      <c r="E1145" s="19"/>
      <c r="F1145" s="185"/>
      <c r="G1145" s="185"/>
      <c r="H1145" s="270"/>
      <c r="I1145" s="270"/>
      <c r="J1145" s="185"/>
      <c r="K1145" s="185"/>
      <c r="L1145" s="185"/>
      <c r="M1145" s="201"/>
      <c r="N1145" s="521"/>
      <c r="O1145" s="521"/>
      <c r="P1145" s="521"/>
      <c r="Q1145" s="372"/>
      <c r="R1145" s="372"/>
      <c r="S1145" s="372"/>
      <c r="T1145" s="372"/>
      <c r="U1145" s="27"/>
      <c r="V1145" s="28"/>
      <c r="W1145" s="28"/>
      <c r="X1145" s="27"/>
      <c r="Y1145" s="28"/>
      <c r="Z1145" s="28"/>
      <c r="AA1145" s="299"/>
      <c r="AE1145" s="43"/>
      <c r="AF1145" s="43"/>
    </row>
    <row r="1146" spans="1:32" s="26" customFormat="1" x14ac:dyDescent="0.2">
      <c r="A1146" s="63"/>
      <c r="B1146" s="63"/>
      <c r="C1146" s="176"/>
      <c r="D1146" s="185"/>
      <c r="E1146" s="19"/>
      <c r="F1146" s="185"/>
      <c r="G1146" s="185"/>
      <c r="H1146" s="270"/>
      <c r="I1146" s="270"/>
      <c r="J1146" s="185"/>
      <c r="K1146" s="185"/>
      <c r="L1146" s="185"/>
      <c r="M1146" s="201"/>
      <c r="N1146" s="521"/>
      <c r="O1146" s="521"/>
      <c r="P1146" s="521"/>
      <c r="Q1146" s="372"/>
      <c r="R1146" s="372"/>
      <c r="S1146" s="372"/>
      <c r="T1146" s="372"/>
      <c r="U1146" s="27"/>
      <c r="V1146" s="28"/>
      <c r="W1146" s="28"/>
      <c r="X1146" s="27"/>
      <c r="Y1146" s="28"/>
      <c r="Z1146" s="28"/>
      <c r="AA1146" s="299"/>
      <c r="AE1146" s="43"/>
      <c r="AF1146" s="43"/>
    </row>
    <row r="1147" spans="1:32" s="26" customFormat="1" x14ac:dyDescent="0.2">
      <c r="A1147" s="63"/>
      <c r="B1147" s="63"/>
      <c r="C1147" s="176"/>
      <c r="D1147" s="185"/>
      <c r="E1147" s="19"/>
      <c r="F1147" s="185"/>
      <c r="G1147" s="185"/>
      <c r="H1147" s="270"/>
      <c r="I1147" s="270"/>
      <c r="J1147" s="185"/>
      <c r="K1147" s="185"/>
      <c r="L1147" s="185"/>
      <c r="M1147" s="201"/>
      <c r="N1147" s="521"/>
      <c r="O1147" s="521"/>
      <c r="P1147" s="521"/>
      <c r="Q1147" s="372"/>
      <c r="R1147" s="372"/>
      <c r="S1147" s="372"/>
      <c r="T1147" s="372"/>
      <c r="U1147" s="27"/>
      <c r="V1147" s="28"/>
      <c r="W1147" s="28"/>
      <c r="X1147" s="27"/>
      <c r="Y1147" s="28"/>
      <c r="Z1147" s="28"/>
      <c r="AA1147" s="299"/>
      <c r="AE1147" s="43"/>
      <c r="AF1147" s="43"/>
    </row>
    <row r="1148" spans="1:32" s="26" customFormat="1" x14ac:dyDescent="0.2">
      <c r="A1148" s="63"/>
      <c r="B1148" s="63"/>
      <c r="C1148" s="176"/>
      <c r="D1148" s="185"/>
      <c r="E1148" s="19"/>
      <c r="F1148" s="185"/>
      <c r="G1148" s="185"/>
      <c r="H1148" s="270"/>
      <c r="I1148" s="270"/>
      <c r="J1148" s="185"/>
      <c r="K1148" s="185"/>
      <c r="L1148" s="185"/>
      <c r="M1148" s="201"/>
      <c r="N1148" s="521"/>
      <c r="O1148" s="521"/>
      <c r="P1148" s="521"/>
      <c r="Q1148" s="372"/>
      <c r="R1148" s="372"/>
      <c r="S1148" s="372"/>
      <c r="T1148" s="372"/>
      <c r="U1148" s="27"/>
      <c r="V1148" s="28"/>
      <c r="W1148" s="28"/>
      <c r="X1148" s="27"/>
      <c r="Y1148" s="28"/>
      <c r="Z1148" s="28"/>
      <c r="AA1148" s="299"/>
      <c r="AE1148" s="43"/>
      <c r="AF1148" s="43"/>
    </row>
    <row r="1149" spans="1:32" s="26" customFormat="1" x14ac:dyDescent="0.2">
      <c r="A1149" s="63"/>
      <c r="B1149" s="63"/>
      <c r="C1149" s="176"/>
      <c r="D1149" s="185"/>
      <c r="E1149" s="19"/>
      <c r="F1149" s="185"/>
      <c r="G1149" s="185"/>
      <c r="H1149" s="270"/>
      <c r="I1149" s="270"/>
      <c r="J1149" s="185"/>
      <c r="K1149" s="185"/>
      <c r="L1149" s="185"/>
      <c r="M1149" s="201"/>
      <c r="N1149" s="521"/>
      <c r="O1149" s="521"/>
      <c r="P1149" s="521"/>
      <c r="Q1149" s="372"/>
      <c r="R1149" s="372"/>
      <c r="S1149" s="372"/>
      <c r="T1149" s="372"/>
      <c r="U1149" s="27"/>
      <c r="V1149" s="28"/>
      <c r="W1149" s="28"/>
      <c r="X1149" s="27"/>
      <c r="Y1149" s="28"/>
      <c r="Z1149" s="28"/>
      <c r="AA1149" s="299"/>
      <c r="AE1149" s="43"/>
      <c r="AF1149" s="43"/>
    </row>
    <row r="1150" spans="1:32" s="26" customFormat="1" x14ac:dyDescent="0.2">
      <c r="A1150" s="63"/>
      <c r="B1150" s="63"/>
      <c r="C1150" s="176"/>
      <c r="D1150" s="185"/>
      <c r="E1150" s="19"/>
      <c r="F1150" s="185"/>
      <c r="G1150" s="185"/>
      <c r="H1150" s="270"/>
      <c r="I1150" s="270"/>
      <c r="J1150" s="185"/>
      <c r="K1150" s="185"/>
      <c r="L1150" s="185"/>
      <c r="M1150" s="201"/>
      <c r="N1150" s="521"/>
      <c r="O1150" s="521"/>
      <c r="P1150" s="521"/>
      <c r="Q1150" s="372"/>
      <c r="R1150" s="372"/>
      <c r="S1150" s="372"/>
      <c r="T1150" s="372"/>
      <c r="U1150" s="27"/>
      <c r="V1150" s="28"/>
      <c r="W1150" s="28"/>
      <c r="X1150" s="27"/>
      <c r="Y1150" s="28"/>
      <c r="Z1150" s="28"/>
      <c r="AA1150" s="299"/>
      <c r="AE1150" s="43"/>
      <c r="AF1150" s="43"/>
    </row>
    <row r="1151" spans="1:32" s="26" customFormat="1" x14ac:dyDescent="0.2">
      <c r="A1151" s="63"/>
      <c r="B1151" s="63"/>
      <c r="C1151" s="176"/>
      <c r="D1151" s="185"/>
      <c r="E1151" s="19"/>
      <c r="F1151" s="185"/>
      <c r="G1151" s="185"/>
      <c r="H1151" s="270"/>
      <c r="I1151" s="270"/>
      <c r="J1151" s="185"/>
      <c r="K1151" s="185"/>
      <c r="L1151" s="185"/>
      <c r="M1151" s="201"/>
      <c r="N1151" s="521"/>
      <c r="O1151" s="521"/>
      <c r="P1151" s="521"/>
      <c r="Q1151" s="372"/>
      <c r="R1151" s="372"/>
      <c r="S1151" s="372"/>
      <c r="T1151" s="372"/>
      <c r="U1151" s="27"/>
      <c r="V1151" s="28"/>
      <c r="W1151" s="28"/>
      <c r="X1151" s="27"/>
      <c r="Y1151" s="28"/>
      <c r="Z1151" s="28"/>
      <c r="AA1151" s="299"/>
      <c r="AE1151" s="43"/>
      <c r="AF1151" s="43"/>
    </row>
    <row r="1152" spans="1:32" s="26" customFormat="1" x14ac:dyDescent="0.2">
      <c r="A1152" s="63"/>
      <c r="B1152" s="63"/>
      <c r="C1152" s="176"/>
      <c r="D1152" s="185"/>
      <c r="E1152" s="19"/>
      <c r="F1152" s="185"/>
      <c r="G1152" s="185"/>
      <c r="H1152" s="270"/>
      <c r="I1152" s="270"/>
      <c r="J1152" s="185"/>
      <c r="K1152" s="185"/>
      <c r="L1152" s="185"/>
      <c r="M1152" s="201"/>
      <c r="N1152" s="521"/>
      <c r="O1152" s="521"/>
      <c r="P1152" s="521"/>
      <c r="Q1152" s="372"/>
      <c r="R1152" s="372"/>
      <c r="S1152" s="372"/>
      <c r="T1152" s="372"/>
      <c r="U1152" s="27"/>
      <c r="V1152" s="28"/>
      <c r="W1152" s="28"/>
      <c r="X1152" s="27"/>
      <c r="Y1152" s="28"/>
      <c r="Z1152" s="28"/>
      <c r="AA1152" s="299"/>
      <c r="AE1152" s="43"/>
      <c r="AF1152" s="43"/>
    </row>
    <row r="1153" spans="1:32" s="26" customFormat="1" x14ac:dyDescent="0.2">
      <c r="A1153" s="63"/>
      <c r="B1153" s="63"/>
      <c r="C1153" s="176"/>
      <c r="D1153" s="185"/>
      <c r="E1153" s="19"/>
      <c r="F1153" s="185"/>
      <c r="G1153" s="185"/>
      <c r="H1153" s="270"/>
      <c r="I1153" s="270"/>
      <c r="J1153" s="185"/>
      <c r="K1153" s="185"/>
      <c r="L1153" s="185"/>
      <c r="M1153" s="201"/>
      <c r="N1153" s="521"/>
      <c r="O1153" s="521"/>
      <c r="P1153" s="521"/>
      <c r="Q1153" s="372"/>
      <c r="R1153" s="372"/>
      <c r="S1153" s="372"/>
      <c r="T1153" s="372"/>
      <c r="U1153" s="27"/>
      <c r="V1153" s="28"/>
      <c r="W1153" s="28"/>
      <c r="X1153" s="27"/>
      <c r="Y1153" s="28"/>
      <c r="Z1153" s="28"/>
      <c r="AA1153" s="299"/>
      <c r="AE1153" s="43"/>
      <c r="AF1153" s="43"/>
    </row>
    <row r="1154" spans="1:32" s="26" customFormat="1" x14ac:dyDescent="0.2">
      <c r="A1154" s="63"/>
      <c r="B1154" s="63"/>
      <c r="C1154" s="176"/>
      <c r="D1154" s="185"/>
      <c r="E1154" s="19"/>
      <c r="F1154" s="185"/>
      <c r="G1154" s="185"/>
      <c r="H1154" s="270"/>
      <c r="I1154" s="270"/>
      <c r="J1154" s="185"/>
      <c r="K1154" s="185"/>
      <c r="L1154" s="185"/>
      <c r="M1154" s="201"/>
      <c r="N1154" s="521"/>
      <c r="O1154" s="521"/>
      <c r="P1154" s="521"/>
      <c r="Q1154" s="372"/>
      <c r="R1154" s="372"/>
      <c r="S1154" s="372"/>
      <c r="T1154" s="372"/>
      <c r="U1154" s="27"/>
      <c r="V1154" s="28"/>
      <c r="W1154" s="28"/>
      <c r="X1154" s="27"/>
      <c r="Y1154" s="28"/>
      <c r="Z1154" s="28"/>
      <c r="AA1154" s="299"/>
      <c r="AE1154" s="43"/>
      <c r="AF1154" s="43"/>
    </row>
    <row r="1155" spans="1:32" s="26" customFormat="1" x14ac:dyDescent="0.2">
      <c r="A1155" s="63"/>
      <c r="B1155" s="63"/>
      <c r="C1155" s="176"/>
      <c r="D1155" s="185"/>
      <c r="E1155" s="19"/>
      <c r="F1155" s="185"/>
      <c r="G1155" s="185"/>
      <c r="H1155" s="270"/>
      <c r="I1155" s="270"/>
      <c r="J1155" s="185"/>
      <c r="K1155" s="185"/>
      <c r="L1155" s="185"/>
      <c r="M1155" s="201"/>
      <c r="N1155" s="521"/>
      <c r="O1155" s="521"/>
      <c r="P1155" s="521"/>
      <c r="Q1155" s="372"/>
      <c r="R1155" s="372"/>
      <c r="S1155" s="372"/>
      <c r="T1155" s="372"/>
      <c r="U1155" s="27"/>
      <c r="V1155" s="28"/>
      <c r="W1155" s="28"/>
      <c r="X1155" s="27"/>
      <c r="Y1155" s="28"/>
      <c r="Z1155" s="28"/>
      <c r="AA1155" s="299"/>
      <c r="AE1155" s="43"/>
      <c r="AF1155" s="43"/>
    </row>
    <row r="1156" spans="1:32" s="26" customFormat="1" x14ac:dyDescent="0.2">
      <c r="A1156" s="63"/>
      <c r="B1156" s="63"/>
      <c r="C1156" s="176"/>
      <c r="D1156" s="185"/>
      <c r="E1156" s="19"/>
      <c r="F1156" s="185"/>
      <c r="G1156" s="185"/>
      <c r="H1156" s="270"/>
      <c r="I1156" s="270"/>
      <c r="J1156" s="185"/>
      <c r="K1156" s="185"/>
      <c r="L1156" s="185"/>
      <c r="M1156" s="201"/>
      <c r="N1156" s="521"/>
      <c r="O1156" s="521"/>
      <c r="P1156" s="521"/>
      <c r="Q1156" s="372"/>
      <c r="R1156" s="372"/>
      <c r="S1156" s="372"/>
      <c r="T1156" s="372"/>
      <c r="U1156" s="27"/>
      <c r="V1156" s="28"/>
      <c r="W1156" s="28"/>
      <c r="X1156" s="27"/>
      <c r="Y1156" s="28"/>
      <c r="Z1156" s="28"/>
      <c r="AA1156" s="299"/>
      <c r="AE1156" s="43"/>
      <c r="AF1156" s="43"/>
    </row>
    <row r="1157" spans="1:32" s="26" customFormat="1" x14ac:dyDescent="0.2">
      <c r="A1157" s="63"/>
      <c r="B1157" s="63"/>
      <c r="C1157" s="176"/>
      <c r="D1157" s="185"/>
      <c r="E1157" s="55"/>
      <c r="F1157" s="185"/>
      <c r="G1157" s="185"/>
      <c r="H1157" s="270"/>
      <c r="I1157" s="270"/>
      <c r="J1157" s="185"/>
      <c r="K1157" s="185"/>
      <c r="L1157" s="185"/>
      <c r="M1157" s="201"/>
      <c r="N1157" s="521"/>
      <c r="O1157" s="521"/>
      <c r="P1157" s="521"/>
      <c r="Q1157" s="372"/>
      <c r="R1157" s="372"/>
      <c r="S1157" s="372"/>
      <c r="T1157" s="372"/>
      <c r="U1157" s="27"/>
      <c r="V1157" s="28"/>
      <c r="W1157" s="28"/>
      <c r="X1157" s="27"/>
      <c r="Y1157" s="28"/>
      <c r="Z1157" s="28"/>
      <c r="AA1157" s="299"/>
      <c r="AE1157" s="43"/>
      <c r="AF1157" s="43"/>
    </row>
    <row r="1158" spans="1:32" s="26" customFormat="1" x14ac:dyDescent="0.2">
      <c r="A1158" s="63"/>
      <c r="B1158" s="63"/>
      <c r="C1158" s="176"/>
      <c r="D1158" s="185"/>
      <c r="E1158" s="19"/>
      <c r="F1158" s="185"/>
      <c r="G1158" s="185"/>
      <c r="H1158" s="270"/>
      <c r="I1158" s="270"/>
      <c r="J1158" s="185"/>
      <c r="K1158" s="185"/>
      <c r="L1158" s="185"/>
      <c r="M1158" s="201"/>
      <c r="N1158" s="521"/>
      <c r="O1158" s="521"/>
      <c r="P1158" s="521"/>
      <c r="Q1158" s="372"/>
      <c r="R1158" s="372"/>
      <c r="S1158" s="372"/>
      <c r="T1158" s="372"/>
      <c r="U1158" s="27"/>
      <c r="V1158" s="28"/>
      <c r="W1158" s="28"/>
      <c r="X1158" s="27"/>
      <c r="Y1158" s="28"/>
      <c r="Z1158" s="28"/>
      <c r="AA1158" s="299"/>
      <c r="AE1158" s="43"/>
      <c r="AF1158" s="43"/>
    </row>
    <row r="1159" spans="1:32" s="53" customFormat="1" x14ac:dyDescent="0.2">
      <c r="A1159" s="63"/>
      <c r="B1159" s="63"/>
      <c r="C1159" s="176"/>
      <c r="D1159" s="167"/>
      <c r="E1159" s="19"/>
      <c r="F1159" s="167"/>
      <c r="G1159" s="167"/>
      <c r="H1159" s="259"/>
      <c r="I1159" s="259"/>
      <c r="J1159" s="167"/>
      <c r="K1159" s="167"/>
      <c r="L1159" s="167"/>
      <c r="M1159" s="201"/>
      <c r="N1159" s="521"/>
      <c r="O1159" s="521"/>
      <c r="P1159" s="521"/>
      <c r="Q1159" s="372"/>
      <c r="R1159" s="372"/>
      <c r="S1159" s="372"/>
      <c r="T1159" s="372"/>
      <c r="U1159" s="56"/>
      <c r="V1159" s="57"/>
      <c r="W1159" s="57"/>
      <c r="X1159" s="56"/>
      <c r="Y1159" s="57"/>
      <c r="Z1159" s="57"/>
      <c r="AA1159" s="299"/>
      <c r="AE1159" s="54"/>
      <c r="AF1159" s="54"/>
    </row>
    <row r="1160" spans="1:32" s="19" customFormat="1" x14ac:dyDescent="0.2">
      <c r="A1160" s="37"/>
      <c r="B1160" s="37"/>
      <c r="C1160" s="170"/>
      <c r="D1160" s="172"/>
      <c r="F1160" s="172"/>
      <c r="G1160" s="172"/>
      <c r="H1160" s="245"/>
      <c r="I1160" s="245"/>
      <c r="J1160" s="172"/>
      <c r="K1160" s="172"/>
      <c r="L1160" s="172"/>
      <c r="M1160" s="200"/>
      <c r="N1160" s="515"/>
      <c r="O1160" s="515"/>
      <c r="P1160" s="515"/>
      <c r="Q1160" s="371"/>
      <c r="R1160" s="371"/>
      <c r="S1160" s="371"/>
      <c r="T1160" s="371"/>
      <c r="U1160" s="29"/>
      <c r="V1160" s="30"/>
      <c r="W1160" s="30"/>
      <c r="X1160" s="29"/>
      <c r="Y1160" s="30"/>
      <c r="Z1160" s="30"/>
      <c r="AA1160" s="299"/>
      <c r="AE1160" s="42"/>
      <c r="AF1160" s="42"/>
    </row>
    <row r="1161" spans="1:32" s="19" customFormat="1" x14ac:dyDescent="0.2">
      <c r="A1161" s="37"/>
      <c r="B1161" s="37"/>
      <c r="C1161" s="170"/>
      <c r="D1161" s="172"/>
      <c r="F1161" s="172"/>
      <c r="G1161" s="172"/>
      <c r="H1161" s="245"/>
      <c r="I1161" s="245"/>
      <c r="J1161" s="172"/>
      <c r="K1161" s="172"/>
      <c r="L1161" s="172"/>
      <c r="M1161" s="200"/>
      <c r="N1161" s="515"/>
      <c r="O1161" s="515"/>
      <c r="P1161" s="515"/>
      <c r="Q1161" s="371"/>
      <c r="R1161" s="371"/>
      <c r="S1161" s="371"/>
      <c r="T1161" s="371"/>
      <c r="U1161" s="29"/>
      <c r="V1161" s="30"/>
      <c r="W1161" s="30"/>
      <c r="X1161" s="29"/>
      <c r="Y1161" s="30"/>
      <c r="Z1161" s="30"/>
      <c r="AA1161" s="299"/>
      <c r="AE1161" s="42"/>
      <c r="AF1161" s="42"/>
    </row>
    <row r="1162" spans="1:32" s="19" customFormat="1" x14ac:dyDescent="0.2">
      <c r="A1162" s="37"/>
      <c r="B1162" s="37"/>
      <c r="C1162" s="170"/>
      <c r="D1162" s="172"/>
      <c r="F1162" s="172"/>
      <c r="G1162" s="172"/>
      <c r="H1162" s="245"/>
      <c r="I1162" s="245"/>
      <c r="J1162" s="172"/>
      <c r="K1162" s="172"/>
      <c r="L1162" s="172"/>
      <c r="M1162" s="200"/>
      <c r="N1162" s="515"/>
      <c r="O1162" s="515"/>
      <c r="P1162" s="515"/>
      <c r="Q1162" s="371"/>
      <c r="R1162" s="371"/>
      <c r="S1162" s="371"/>
      <c r="T1162" s="371"/>
      <c r="U1162" s="29"/>
      <c r="V1162" s="30"/>
      <c r="W1162" s="30"/>
      <c r="X1162" s="29"/>
      <c r="Y1162" s="30"/>
      <c r="Z1162" s="30"/>
      <c r="AA1162" s="299"/>
      <c r="AE1162" s="42"/>
      <c r="AF1162" s="42"/>
    </row>
    <row r="1163" spans="1:32" s="19" customFormat="1" x14ac:dyDescent="0.2">
      <c r="A1163" s="37"/>
      <c r="B1163" s="37"/>
      <c r="C1163" s="170"/>
      <c r="D1163" s="172"/>
      <c r="F1163" s="172"/>
      <c r="G1163" s="172"/>
      <c r="H1163" s="245"/>
      <c r="I1163" s="245"/>
      <c r="J1163" s="172"/>
      <c r="K1163" s="172"/>
      <c r="L1163" s="172"/>
      <c r="M1163" s="200"/>
      <c r="N1163" s="515"/>
      <c r="O1163" s="515"/>
      <c r="P1163" s="515"/>
      <c r="Q1163" s="371"/>
      <c r="R1163" s="371"/>
      <c r="S1163" s="371"/>
      <c r="T1163" s="371"/>
      <c r="U1163" s="29"/>
      <c r="V1163" s="30"/>
      <c r="W1163" s="30"/>
      <c r="X1163" s="29"/>
      <c r="Y1163" s="30"/>
      <c r="Z1163" s="30"/>
      <c r="AA1163" s="299"/>
      <c r="AE1163" s="42"/>
      <c r="AF1163" s="42"/>
    </row>
    <row r="1164" spans="1:32" s="19" customFormat="1" x14ac:dyDescent="0.2">
      <c r="A1164" s="37"/>
      <c r="B1164" s="37"/>
      <c r="C1164" s="170"/>
      <c r="D1164" s="172"/>
      <c r="F1164" s="172"/>
      <c r="G1164" s="172"/>
      <c r="H1164" s="245"/>
      <c r="I1164" s="245"/>
      <c r="J1164" s="172"/>
      <c r="K1164" s="172"/>
      <c r="L1164" s="172"/>
      <c r="M1164" s="200"/>
      <c r="N1164" s="515"/>
      <c r="O1164" s="515"/>
      <c r="P1164" s="515"/>
      <c r="Q1164" s="371"/>
      <c r="R1164" s="371"/>
      <c r="S1164" s="371"/>
      <c r="T1164" s="371"/>
      <c r="U1164" s="29"/>
      <c r="V1164" s="30"/>
      <c r="W1164" s="30"/>
      <c r="X1164" s="29"/>
      <c r="Y1164" s="30"/>
      <c r="Z1164" s="30"/>
      <c r="AA1164" s="299"/>
      <c r="AE1164" s="42"/>
      <c r="AF1164" s="42"/>
    </row>
    <row r="1165" spans="1:32" s="19" customFormat="1" x14ac:dyDescent="0.2">
      <c r="A1165" s="37"/>
      <c r="B1165" s="37"/>
      <c r="C1165" s="170"/>
      <c r="D1165" s="172"/>
      <c r="F1165" s="172"/>
      <c r="G1165" s="172"/>
      <c r="H1165" s="245"/>
      <c r="I1165" s="245"/>
      <c r="J1165" s="172"/>
      <c r="K1165" s="172"/>
      <c r="L1165" s="172"/>
      <c r="M1165" s="200"/>
      <c r="N1165" s="515"/>
      <c r="O1165" s="515"/>
      <c r="P1165" s="515"/>
      <c r="Q1165" s="371"/>
      <c r="R1165" s="371"/>
      <c r="S1165" s="371"/>
      <c r="T1165" s="371"/>
      <c r="U1165" s="29"/>
      <c r="V1165" s="30"/>
      <c r="W1165" s="30"/>
      <c r="X1165" s="29"/>
      <c r="Y1165" s="30"/>
      <c r="Z1165" s="30"/>
      <c r="AA1165" s="299"/>
      <c r="AE1165" s="42"/>
      <c r="AF1165" s="42"/>
    </row>
    <row r="1166" spans="1:32" s="19" customFormat="1" x14ac:dyDescent="0.2">
      <c r="A1166" s="37"/>
      <c r="B1166" s="37"/>
      <c r="C1166" s="170"/>
      <c r="D1166" s="172"/>
      <c r="F1166" s="172"/>
      <c r="G1166" s="172"/>
      <c r="H1166" s="245"/>
      <c r="I1166" s="245"/>
      <c r="J1166" s="172"/>
      <c r="K1166" s="172"/>
      <c r="L1166" s="172"/>
      <c r="M1166" s="200"/>
      <c r="N1166" s="515"/>
      <c r="O1166" s="515"/>
      <c r="P1166" s="515"/>
      <c r="Q1166" s="371"/>
      <c r="R1166" s="371"/>
      <c r="S1166" s="371"/>
      <c r="T1166" s="371"/>
      <c r="U1166" s="29"/>
      <c r="V1166" s="30"/>
      <c r="W1166" s="30"/>
      <c r="X1166" s="29"/>
      <c r="Y1166" s="30"/>
      <c r="Z1166" s="30"/>
      <c r="AA1166" s="299"/>
      <c r="AE1166" s="42"/>
      <c r="AF1166" s="42"/>
    </row>
    <row r="1167" spans="1:32" s="19" customFormat="1" x14ac:dyDescent="0.2">
      <c r="A1167" s="37"/>
      <c r="B1167" s="37"/>
      <c r="C1167" s="170"/>
      <c r="D1167" s="172"/>
      <c r="F1167" s="172"/>
      <c r="G1167" s="172"/>
      <c r="H1167" s="245"/>
      <c r="I1167" s="245"/>
      <c r="J1167" s="172"/>
      <c r="K1167" s="172"/>
      <c r="L1167" s="172"/>
      <c r="M1167" s="200"/>
      <c r="N1167" s="515"/>
      <c r="O1167" s="515"/>
      <c r="P1167" s="515"/>
      <c r="Q1167" s="371"/>
      <c r="R1167" s="371"/>
      <c r="S1167" s="371"/>
      <c r="T1167" s="371"/>
      <c r="U1167" s="29"/>
      <c r="V1167" s="30"/>
      <c r="W1167" s="30"/>
      <c r="X1167" s="29"/>
      <c r="Y1167" s="30"/>
      <c r="Z1167" s="30"/>
      <c r="AA1167" s="299"/>
      <c r="AE1167" s="42"/>
      <c r="AF1167" s="42"/>
    </row>
    <row r="1168" spans="1:32" s="19" customFormat="1" x14ac:dyDescent="0.2">
      <c r="A1168" s="37"/>
      <c r="B1168" s="37"/>
      <c r="C1168" s="170"/>
      <c r="D1168" s="172"/>
      <c r="F1168" s="172"/>
      <c r="G1168" s="172"/>
      <c r="H1168" s="245"/>
      <c r="I1168" s="245"/>
      <c r="J1168" s="172"/>
      <c r="K1168" s="172"/>
      <c r="L1168" s="172"/>
      <c r="M1168" s="200"/>
      <c r="N1168" s="515"/>
      <c r="O1168" s="515"/>
      <c r="P1168" s="515"/>
      <c r="Q1168" s="371"/>
      <c r="R1168" s="371"/>
      <c r="S1168" s="371"/>
      <c r="T1168" s="371"/>
      <c r="U1168" s="29"/>
      <c r="V1168" s="30"/>
      <c r="W1168" s="30"/>
      <c r="X1168" s="29"/>
      <c r="Y1168" s="30"/>
      <c r="Z1168" s="30"/>
      <c r="AA1168" s="299"/>
      <c r="AE1168" s="42"/>
      <c r="AF1168" s="42"/>
    </row>
    <row r="1169" spans="1:32" s="19" customFormat="1" x14ac:dyDescent="0.2">
      <c r="A1169" s="37"/>
      <c r="B1169" s="37"/>
      <c r="C1169" s="170"/>
      <c r="D1169" s="172"/>
      <c r="F1169" s="172"/>
      <c r="G1169" s="172"/>
      <c r="H1169" s="245"/>
      <c r="I1169" s="245"/>
      <c r="J1169" s="172"/>
      <c r="K1169" s="172"/>
      <c r="L1169" s="172"/>
      <c r="M1169" s="200"/>
      <c r="N1169" s="515"/>
      <c r="O1169" s="515"/>
      <c r="P1169" s="515"/>
      <c r="Q1169" s="371"/>
      <c r="R1169" s="371"/>
      <c r="S1169" s="371"/>
      <c r="T1169" s="371"/>
      <c r="U1169" s="29"/>
      <c r="V1169" s="30"/>
      <c r="W1169" s="30"/>
      <c r="X1169" s="29"/>
      <c r="Y1169" s="30"/>
      <c r="Z1169" s="30"/>
      <c r="AA1169" s="299"/>
      <c r="AE1169" s="42"/>
      <c r="AF1169" s="42"/>
    </row>
    <row r="1170" spans="1:32" s="19" customFormat="1" x14ac:dyDescent="0.2">
      <c r="A1170" s="37"/>
      <c r="B1170" s="37"/>
      <c r="C1170" s="170"/>
      <c r="D1170" s="172"/>
      <c r="F1170" s="172"/>
      <c r="G1170" s="172"/>
      <c r="H1170" s="245"/>
      <c r="I1170" s="245"/>
      <c r="J1170" s="172"/>
      <c r="K1170" s="172"/>
      <c r="L1170" s="172"/>
      <c r="M1170" s="200"/>
      <c r="N1170" s="515"/>
      <c r="O1170" s="515"/>
      <c r="P1170" s="515"/>
      <c r="Q1170" s="371"/>
      <c r="R1170" s="371"/>
      <c r="S1170" s="371"/>
      <c r="T1170" s="371"/>
      <c r="U1170" s="29"/>
      <c r="V1170" s="30"/>
      <c r="W1170" s="30"/>
      <c r="X1170" s="29"/>
      <c r="Y1170" s="30"/>
      <c r="Z1170" s="30"/>
      <c r="AA1170" s="299"/>
      <c r="AE1170" s="42"/>
      <c r="AF1170" s="42"/>
    </row>
    <row r="1171" spans="1:32" s="19" customFormat="1" x14ac:dyDescent="0.2">
      <c r="A1171" s="37"/>
      <c r="B1171" s="62"/>
      <c r="C1171" s="170"/>
      <c r="D1171" s="172"/>
      <c r="F1171" s="172"/>
      <c r="G1171" s="172"/>
      <c r="H1171" s="245"/>
      <c r="I1171" s="245"/>
      <c r="J1171" s="172"/>
      <c r="K1171" s="172"/>
      <c r="L1171" s="172"/>
      <c r="M1171" s="200"/>
      <c r="N1171" s="515"/>
      <c r="O1171" s="515"/>
      <c r="P1171" s="515"/>
      <c r="Q1171" s="371"/>
      <c r="R1171" s="371"/>
      <c r="S1171" s="371"/>
      <c r="T1171" s="371"/>
      <c r="U1171" s="29"/>
      <c r="V1171" s="30"/>
      <c r="W1171" s="30"/>
      <c r="X1171" s="29"/>
      <c r="Y1171" s="30"/>
      <c r="Z1171" s="30"/>
      <c r="AA1171" s="299"/>
      <c r="AE1171" s="42"/>
      <c r="AF1171" s="42"/>
    </row>
    <row r="1172" spans="1:32" s="19" customFormat="1" x14ac:dyDescent="0.2">
      <c r="A1172" s="37"/>
      <c r="B1172" s="62"/>
      <c r="C1172" s="170"/>
      <c r="D1172" s="172"/>
      <c r="F1172" s="172"/>
      <c r="G1172" s="172"/>
      <c r="H1172" s="245"/>
      <c r="I1172" s="245"/>
      <c r="J1172" s="172"/>
      <c r="K1172" s="172"/>
      <c r="L1172" s="172"/>
      <c r="M1172" s="200"/>
      <c r="N1172" s="515"/>
      <c r="O1172" s="515"/>
      <c r="P1172" s="515"/>
      <c r="Q1172" s="371"/>
      <c r="R1172" s="371"/>
      <c r="S1172" s="371"/>
      <c r="T1172" s="371"/>
      <c r="U1172" s="29"/>
      <c r="V1172" s="30"/>
      <c r="W1172" s="30"/>
      <c r="X1172" s="29"/>
      <c r="Y1172" s="30"/>
      <c r="Z1172" s="30"/>
      <c r="AA1172" s="299"/>
      <c r="AE1172" s="42"/>
      <c r="AF1172" s="42"/>
    </row>
    <row r="1173" spans="1:32" s="19" customFormat="1" x14ac:dyDescent="0.2">
      <c r="A1173" s="37"/>
      <c r="B1173" s="62"/>
      <c r="C1173" s="170"/>
      <c r="D1173" s="172"/>
      <c r="F1173" s="172"/>
      <c r="G1173" s="172"/>
      <c r="H1173" s="245"/>
      <c r="I1173" s="245"/>
      <c r="J1173" s="172"/>
      <c r="K1173" s="172"/>
      <c r="L1173" s="172"/>
      <c r="M1173" s="200"/>
      <c r="N1173" s="515"/>
      <c r="O1173" s="515"/>
      <c r="P1173" s="515"/>
      <c r="Q1173" s="371"/>
      <c r="R1173" s="371"/>
      <c r="S1173" s="371"/>
      <c r="T1173" s="371"/>
      <c r="U1173" s="29"/>
      <c r="V1173" s="30"/>
      <c r="W1173" s="30"/>
      <c r="X1173" s="29"/>
      <c r="Y1173" s="30"/>
      <c r="Z1173" s="30"/>
      <c r="AA1173" s="299"/>
      <c r="AE1173" s="42"/>
      <c r="AF1173" s="42"/>
    </row>
    <row r="1174" spans="1:32" s="19" customFormat="1" x14ac:dyDescent="0.2">
      <c r="A1174" s="37"/>
      <c r="B1174" s="62"/>
      <c r="C1174" s="170"/>
      <c r="D1174" s="172"/>
      <c r="F1174" s="172"/>
      <c r="G1174" s="172"/>
      <c r="H1174" s="245"/>
      <c r="I1174" s="245"/>
      <c r="J1174" s="172"/>
      <c r="K1174" s="172"/>
      <c r="L1174" s="172"/>
      <c r="M1174" s="200"/>
      <c r="N1174" s="515"/>
      <c r="O1174" s="515"/>
      <c r="P1174" s="515"/>
      <c r="Q1174" s="371"/>
      <c r="R1174" s="371"/>
      <c r="S1174" s="371"/>
      <c r="T1174" s="371"/>
      <c r="U1174" s="29"/>
      <c r="V1174" s="30"/>
      <c r="W1174" s="30"/>
      <c r="X1174" s="29"/>
      <c r="Y1174" s="30"/>
      <c r="Z1174" s="30"/>
      <c r="AA1174" s="299"/>
      <c r="AE1174" s="42"/>
      <c r="AF1174" s="42"/>
    </row>
    <row r="1175" spans="1:32" s="19" customFormat="1" x14ac:dyDescent="0.2">
      <c r="A1175" s="37"/>
      <c r="B1175" s="62"/>
      <c r="C1175" s="170"/>
      <c r="D1175" s="172"/>
      <c r="F1175" s="172"/>
      <c r="G1175" s="172"/>
      <c r="H1175" s="245"/>
      <c r="I1175" s="245"/>
      <c r="J1175" s="172"/>
      <c r="K1175" s="172"/>
      <c r="L1175" s="172"/>
      <c r="M1175" s="200"/>
      <c r="N1175" s="515"/>
      <c r="O1175" s="515"/>
      <c r="P1175" s="515"/>
      <c r="Q1175" s="371"/>
      <c r="R1175" s="371"/>
      <c r="S1175" s="371"/>
      <c r="T1175" s="371"/>
      <c r="U1175" s="29"/>
      <c r="V1175" s="30"/>
      <c r="W1175" s="30"/>
      <c r="X1175" s="29"/>
      <c r="Y1175" s="30"/>
      <c r="Z1175" s="30"/>
      <c r="AA1175" s="299"/>
      <c r="AE1175" s="42"/>
      <c r="AF1175" s="42"/>
    </row>
    <row r="1176" spans="1:32" s="19" customFormat="1" x14ac:dyDescent="0.2">
      <c r="A1176" s="37"/>
      <c r="B1176" s="62"/>
      <c r="C1176" s="170"/>
      <c r="D1176" s="172"/>
      <c r="F1176" s="172"/>
      <c r="G1176" s="172"/>
      <c r="H1176" s="245"/>
      <c r="I1176" s="245"/>
      <c r="J1176" s="172"/>
      <c r="K1176" s="172"/>
      <c r="L1176" s="172"/>
      <c r="M1176" s="200"/>
      <c r="N1176" s="515"/>
      <c r="O1176" s="515"/>
      <c r="P1176" s="515"/>
      <c r="Q1176" s="371"/>
      <c r="R1176" s="371"/>
      <c r="S1176" s="371"/>
      <c r="T1176" s="371"/>
      <c r="U1176" s="29"/>
      <c r="V1176" s="30"/>
      <c r="W1176" s="30"/>
      <c r="X1176" s="29"/>
      <c r="Y1176" s="30"/>
      <c r="Z1176" s="30"/>
      <c r="AA1176" s="299"/>
      <c r="AE1176" s="42"/>
      <c r="AF1176" s="42"/>
    </row>
    <row r="1177" spans="1:32" s="19" customFormat="1" x14ac:dyDescent="0.2">
      <c r="A1177" s="37"/>
      <c r="B1177" s="62"/>
      <c r="C1177" s="170"/>
      <c r="D1177" s="172"/>
      <c r="F1177" s="172"/>
      <c r="G1177" s="172"/>
      <c r="H1177" s="245"/>
      <c r="I1177" s="245"/>
      <c r="J1177" s="172"/>
      <c r="K1177" s="172"/>
      <c r="L1177" s="172"/>
      <c r="M1177" s="200"/>
      <c r="N1177" s="515"/>
      <c r="O1177" s="515"/>
      <c r="P1177" s="515"/>
      <c r="Q1177" s="371"/>
      <c r="R1177" s="371"/>
      <c r="S1177" s="371"/>
      <c r="T1177" s="371"/>
      <c r="U1177" s="29"/>
      <c r="V1177" s="30"/>
      <c r="W1177" s="30"/>
      <c r="X1177" s="29"/>
      <c r="Y1177" s="30"/>
      <c r="Z1177" s="30"/>
      <c r="AA1177" s="299"/>
      <c r="AE1177" s="42"/>
      <c r="AF1177" s="42"/>
    </row>
    <row r="1178" spans="1:32" s="19" customFormat="1" x14ac:dyDescent="0.2">
      <c r="A1178" s="37"/>
      <c r="B1178" s="37"/>
      <c r="C1178" s="170"/>
      <c r="D1178" s="172"/>
      <c r="F1178" s="172"/>
      <c r="G1178" s="172"/>
      <c r="H1178" s="245"/>
      <c r="I1178" s="245"/>
      <c r="J1178" s="172"/>
      <c r="K1178" s="172"/>
      <c r="L1178" s="172"/>
      <c r="M1178" s="200"/>
      <c r="N1178" s="515"/>
      <c r="O1178" s="515"/>
      <c r="P1178" s="515"/>
      <c r="Q1178" s="371"/>
      <c r="R1178" s="371"/>
      <c r="S1178" s="371"/>
      <c r="T1178" s="371"/>
      <c r="U1178" s="29"/>
      <c r="V1178" s="30"/>
      <c r="W1178" s="30"/>
      <c r="X1178" s="29"/>
      <c r="Y1178" s="30"/>
      <c r="Z1178" s="30"/>
      <c r="AA1178" s="299"/>
      <c r="AE1178" s="42"/>
      <c r="AF1178" s="42"/>
    </row>
    <row r="1179" spans="1:32" s="19" customFormat="1" x14ac:dyDescent="0.2">
      <c r="A1179" s="37"/>
      <c r="B1179" s="37"/>
      <c r="C1179" s="170"/>
      <c r="D1179" s="172"/>
      <c r="F1179" s="172"/>
      <c r="G1179" s="172"/>
      <c r="H1179" s="245"/>
      <c r="I1179" s="245"/>
      <c r="J1179" s="172"/>
      <c r="K1179" s="172"/>
      <c r="L1179" s="172"/>
      <c r="M1179" s="200"/>
      <c r="N1179" s="515"/>
      <c r="O1179" s="515"/>
      <c r="P1179" s="515"/>
      <c r="Q1179" s="371"/>
      <c r="R1179" s="371"/>
      <c r="S1179" s="371"/>
      <c r="T1179" s="371"/>
      <c r="U1179" s="29"/>
      <c r="V1179" s="30"/>
      <c r="W1179" s="30"/>
      <c r="X1179" s="29"/>
      <c r="Y1179" s="30"/>
      <c r="Z1179" s="30"/>
      <c r="AA1179" s="299"/>
      <c r="AE1179" s="42"/>
      <c r="AF1179" s="42"/>
    </row>
    <row r="1180" spans="1:32" s="19" customFormat="1" x14ac:dyDescent="0.2">
      <c r="A1180" s="37"/>
      <c r="B1180" s="37"/>
      <c r="C1180" s="170"/>
      <c r="D1180" s="172"/>
      <c r="F1180" s="172"/>
      <c r="G1180" s="172"/>
      <c r="H1180" s="245"/>
      <c r="I1180" s="245"/>
      <c r="J1180" s="172"/>
      <c r="K1180" s="172"/>
      <c r="L1180" s="172"/>
      <c r="M1180" s="200"/>
      <c r="N1180" s="515"/>
      <c r="O1180" s="515"/>
      <c r="P1180" s="515"/>
      <c r="Q1180" s="371"/>
      <c r="R1180" s="371"/>
      <c r="S1180" s="371"/>
      <c r="T1180" s="371"/>
      <c r="U1180" s="29"/>
      <c r="V1180" s="30"/>
      <c r="W1180" s="30"/>
      <c r="X1180" s="29"/>
      <c r="Y1180" s="30"/>
      <c r="Z1180" s="30"/>
      <c r="AA1180" s="299"/>
      <c r="AE1180" s="42"/>
      <c r="AF1180" s="42"/>
    </row>
    <row r="1181" spans="1:32" s="19" customFormat="1" x14ac:dyDescent="0.2">
      <c r="A1181" s="37"/>
      <c r="B1181" s="37"/>
      <c r="C1181" s="170"/>
      <c r="D1181" s="172"/>
      <c r="F1181" s="172"/>
      <c r="G1181" s="172"/>
      <c r="H1181" s="245"/>
      <c r="I1181" s="245"/>
      <c r="J1181" s="172"/>
      <c r="K1181" s="172"/>
      <c r="L1181" s="172"/>
      <c r="M1181" s="200"/>
      <c r="N1181" s="515"/>
      <c r="O1181" s="515"/>
      <c r="P1181" s="515"/>
      <c r="Q1181" s="371"/>
      <c r="R1181" s="371"/>
      <c r="S1181" s="371"/>
      <c r="T1181" s="371"/>
      <c r="U1181" s="29"/>
      <c r="V1181" s="30"/>
      <c r="W1181" s="30"/>
      <c r="X1181" s="29"/>
      <c r="Y1181" s="30"/>
      <c r="Z1181" s="30"/>
      <c r="AA1181" s="299"/>
      <c r="AE1181" s="42"/>
      <c r="AF1181" s="42"/>
    </row>
    <row r="1182" spans="1:32" s="19" customFormat="1" ht="14.25" customHeight="1" x14ac:dyDescent="0.2">
      <c r="A1182" s="37"/>
      <c r="B1182" s="37"/>
      <c r="C1182" s="170"/>
      <c r="D1182" s="172"/>
      <c r="F1182" s="172"/>
      <c r="G1182" s="172"/>
      <c r="H1182" s="245"/>
      <c r="I1182" s="245"/>
      <c r="J1182" s="172"/>
      <c r="K1182" s="172"/>
      <c r="L1182" s="172"/>
      <c r="M1182" s="200"/>
      <c r="N1182" s="515"/>
      <c r="O1182" s="515"/>
      <c r="P1182" s="515"/>
      <c r="Q1182" s="371"/>
      <c r="R1182" s="371"/>
      <c r="S1182" s="371"/>
      <c r="T1182" s="371"/>
      <c r="U1182" s="29"/>
      <c r="V1182" s="30"/>
      <c r="W1182" s="30"/>
      <c r="X1182" s="29"/>
      <c r="Y1182" s="30"/>
      <c r="Z1182" s="30"/>
      <c r="AA1182" s="299"/>
      <c r="AE1182" s="42"/>
      <c r="AF1182" s="42"/>
    </row>
    <row r="1183" spans="1:32" s="19" customFormat="1" x14ac:dyDescent="0.2">
      <c r="A1183" s="37"/>
      <c r="B1183" s="37"/>
      <c r="C1183" s="170"/>
      <c r="D1183" s="172"/>
      <c r="F1183" s="172"/>
      <c r="G1183" s="172"/>
      <c r="H1183" s="245"/>
      <c r="I1183" s="245"/>
      <c r="J1183" s="172"/>
      <c r="K1183" s="172"/>
      <c r="L1183" s="172"/>
      <c r="M1183" s="200"/>
      <c r="N1183" s="515"/>
      <c r="O1183" s="515"/>
      <c r="P1183" s="515"/>
      <c r="Q1183" s="371"/>
      <c r="R1183" s="371"/>
      <c r="S1183" s="371"/>
      <c r="T1183" s="371"/>
      <c r="U1183" s="29"/>
      <c r="V1183" s="30"/>
      <c r="W1183" s="30"/>
      <c r="X1183" s="29"/>
      <c r="Y1183" s="30"/>
      <c r="Z1183" s="30"/>
      <c r="AA1183" s="299"/>
      <c r="AE1183" s="42"/>
      <c r="AF1183" s="42"/>
    </row>
    <row r="1184" spans="1:32" s="19" customFormat="1" x14ac:dyDescent="0.2">
      <c r="A1184" s="37"/>
      <c r="B1184" s="37"/>
      <c r="C1184" s="170"/>
      <c r="D1184" s="172"/>
      <c r="F1184" s="172"/>
      <c r="G1184" s="172"/>
      <c r="H1184" s="245"/>
      <c r="I1184" s="245"/>
      <c r="J1184" s="172"/>
      <c r="K1184" s="172"/>
      <c r="L1184" s="172"/>
      <c r="M1184" s="200"/>
      <c r="N1184" s="515"/>
      <c r="O1184" s="515"/>
      <c r="P1184" s="515"/>
      <c r="Q1184" s="371"/>
      <c r="R1184" s="371"/>
      <c r="S1184" s="371"/>
      <c r="T1184" s="371"/>
      <c r="U1184" s="29"/>
      <c r="V1184" s="30"/>
      <c r="W1184" s="30"/>
      <c r="X1184" s="29"/>
      <c r="Y1184" s="30"/>
      <c r="Z1184" s="30"/>
      <c r="AA1184" s="299"/>
      <c r="AE1184" s="42"/>
      <c r="AF1184" s="42"/>
    </row>
    <row r="1185" spans="1:32" s="19" customFormat="1" x14ac:dyDescent="0.2">
      <c r="A1185" s="37"/>
      <c r="B1185" s="37"/>
      <c r="C1185" s="170"/>
      <c r="D1185" s="172"/>
      <c r="F1185" s="172"/>
      <c r="G1185" s="172"/>
      <c r="H1185" s="245"/>
      <c r="I1185" s="245"/>
      <c r="J1185" s="172"/>
      <c r="K1185" s="172"/>
      <c r="L1185" s="172"/>
      <c r="M1185" s="200"/>
      <c r="N1185" s="515"/>
      <c r="O1185" s="515"/>
      <c r="P1185" s="515"/>
      <c r="Q1185" s="371"/>
      <c r="R1185" s="371"/>
      <c r="S1185" s="371"/>
      <c r="T1185" s="371"/>
      <c r="U1185" s="29"/>
      <c r="V1185" s="30"/>
      <c r="W1185" s="30"/>
      <c r="X1185" s="29"/>
      <c r="Y1185" s="30"/>
      <c r="Z1185" s="30"/>
      <c r="AA1185" s="299"/>
      <c r="AE1185" s="42"/>
      <c r="AF1185" s="42"/>
    </row>
    <row r="1186" spans="1:32" s="19" customFormat="1" x14ac:dyDescent="0.2">
      <c r="A1186" s="37"/>
      <c r="B1186" s="37"/>
      <c r="C1186" s="170"/>
      <c r="D1186" s="172"/>
      <c r="F1186" s="172"/>
      <c r="G1186" s="172"/>
      <c r="H1186" s="245"/>
      <c r="I1186" s="245"/>
      <c r="J1186" s="172"/>
      <c r="K1186" s="172"/>
      <c r="L1186" s="172"/>
      <c r="M1186" s="200"/>
      <c r="N1186" s="515"/>
      <c r="O1186" s="515"/>
      <c r="P1186" s="515"/>
      <c r="Q1186" s="371"/>
      <c r="R1186" s="371"/>
      <c r="S1186" s="371"/>
      <c r="T1186" s="371"/>
      <c r="U1186" s="29"/>
      <c r="V1186" s="30"/>
      <c r="W1186" s="30"/>
      <c r="X1186" s="29"/>
      <c r="Y1186" s="30"/>
      <c r="Z1186" s="30"/>
      <c r="AA1186" s="299"/>
      <c r="AE1186" s="42"/>
      <c r="AF1186" s="42"/>
    </row>
    <row r="1187" spans="1:32" s="19" customFormat="1" x14ac:dyDescent="0.2">
      <c r="A1187" s="37"/>
      <c r="B1187" s="37"/>
      <c r="C1187" s="170"/>
      <c r="D1187" s="172"/>
      <c r="F1187" s="172"/>
      <c r="G1187" s="172"/>
      <c r="H1187" s="245"/>
      <c r="I1187" s="245"/>
      <c r="J1187" s="172"/>
      <c r="K1187" s="172"/>
      <c r="L1187" s="172"/>
      <c r="M1187" s="200"/>
      <c r="N1187" s="515"/>
      <c r="O1187" s="515"/>
      <c r="P1187" s="515"/>
      <c r="Q1187" s="371"/>
      <c r="R1187" s="371"/>
      <c r="S1187" s="371"/>
      <c r="T1187" s="371"/>
      <c r="U1187" s="29"/>
      <c r="V1187" s="30"/>
      <c r="W1187" s="30"/>
      <c r="X1187" s="29"/>
      <c r="Y1187" s="30"/>
      <c r="Z1187" s="30"/>
      <c r="AA1187" s="299"/>
      <c r="AE1187" s="42"/>
      <c r="AF1187" s="42"/>
    </row>
    <row r="1188" spans="1:32" s="19" customFormat="1" x14ac:dyDescent="0.2">
      <c r="A1188" s="37"/>
      <c r="B1188" s="37"/>
      <c r="C1188" s="170"/>
      <c r="D1188" s="172"/>
      <c r="F1188" s="172"/>
      <c r="G1188" s="172"/>
      <c r="H1188" s="245"/>
      <c r="I1188" s="245"/>
      <c r="J1188" s="172"/>
      <c r="K1188" s="172"/>
      <c r="L1188" s="172"/>
      <c r="M1188" s="200"/>
      <c r="N1188" s="515"/>
      <c r="O1188" s="515"/>
      <c r="P1188" s="515"/>
      <c r="Q1188" s="371"/>
      <c r="R1188" s="371"/>
      <c r="S1188" s="371"/>
      <c r="T1188" s="371"/>
      <c r="U1188" s="29"/>
      <c r="V1188" s="30"/>
      <c r="W1188" s="30"/>
      <c r="X1188" s="29"/>
      <c r="Y1188" s="30"/>
      <c r="Z1188" s="30"/>
      <c r="AA1188" s="299"/>
      <c r="AE1188" s="42"/>
      <c r="AF1188" s="42"/>
    </row>
    <row r="1189" spans="1:32" s="19" customFormat="1" x14ac:dyDescent="0.2">
      <c r="A1189" s="37"/>
      <c r="B1189" s="37"/>
      <c r="C1189" s="170"/>
      <c r="D1189" s="172"/>
      <c r="F1189" s="172"/>
      <c r="G1189" s="172"/>
      <c r="H1189" s="245"/>
      <c r="I1189" s="245"/>
      <c r="J1189" s="172"/>
      <c r="K1189" s="172"/>
      <c r="L1189" s="172"/>
      <c r="M1189" s="200"/>
      <c r="N1189" s="515"/>
      <c r="O1189" s="515"/>
      <c r="P1189" s="515"/>
      <c r="Q1189" s="371"/>
      <c r="R1189" s="371"/>
      <c r="S1189" s="371"/>
      <c r="T1189" s="371"/>
      <c r="U1189" s="29"/>
      <c r="V1189" s="30"/>
      <c r="W1189" s="30"/>
      <c r="X1189" s="29"/>
      <c r="Y1189" s="30"/>
      <c r="Z1189" s="30"/>
      <c r="AA1189" s="299"/>
      <c r="AE1189" s="42"/>
      <c r="AF1189" s="42"/>
    </row>
    <row r="1190" spans="1:32" s="19" customFormat="1" x14ac:dyDescent="0.2">
      <c r="A1190" s="37"/>
      <c r="B1190" s="37"/>
      <c r="C1190" s="170"/>
      <c r="D1190" s="172"/>
      <c r="F1190" s="172"/>
      <c r="G1190" s="172"/>
      <c r="H1190" s="245"/>
      <c r="I1190" s="245"/>
      <c r="J1190" s="172"/>
      <c r="K1190" s="172"/>
      <c r="L1190" s="172"/>
      <c r="M1190" s="200"/>
      <c r="N1190" s="515"/>
      <c r="O1190" s="515"/>
      <c r="P1190" s="515"/>
      <c r="Q1190" s="371"/>
      <c r="R1190" s="371"/>
      <c r="S1190" s="371"/>
      <c r="T1190" s="371"/>
      <c r="U1190" s="29"/>
      <c r="V1190" s="30"/>
      <c r="W1190" s="30"/>
      <c r="X1190" s="29"/>
      <c r="Y1190" s="30"/>
      <c r="Z1190" s="30"/>
      <c r="AA1190" s="299"/>
      <c r="AE1190" s="42"/>
      <c r="AF1190" s="42"/>
    </row>
    <row r="1191" spans="1:32" s="19" customFormat="1" x14ac:dyDescent="0.2">
      <c r="A1191" s="37"/>
      <c r="B1191" s="37"/>
      <c r="C1191" s="170"/>
      <c r="D1191" s="172"/>
      <c r="F1191" s="172"/>
      <c r="G1191" s="172"/>
      <c r="H1191" s="245"/>
      <c r="I1191" s="245"/>
      <c r="J1191" s="172"/>
      <c r="K1191" s="172"/>
      <c r="L1191" s="172"/>
      <c r="M1191" s="200"/>
      <c r="N1191" s="515"/>
      <c r="O1191" s="515"/>
      <c r="P1191" s="515"/>
      <c r="Q1191" s="371"/>
      <c r="R1191" s="371"/>
      <c r="S1191" s="371"/>
      <c r="T1191" s="371"/>
      <c r="U1191" s="29"/>
      <c r="V1191" s="30"/>
      <c r="W1191" s="30"/>
      <c r="X1191" s="29"/>
      <c r="Y1191" s="30"/>
      <c r="Z1191" s="30"/>
      <c r="AA1191" s="299"/>
      <c r="AE1191" s="42"/>
      <c r="AF1191" s="42"/>
    </row>
    <row r="1192" spans="1:32" s="19" customFormat="1" x14ac:dyDescent="0.2">
      <c r="A1192" s="37"/>
      <c r="B1192" s="37"/>
      <c r="C1192" s="170"/>
      <c r="D1192" s="172"/>
      <c r="F1192" s="172"/>
      <c r="G1192" s="172"/>
      <c r="H1192" s="245"/>
      <c r="I1192" s="245"/>
      <c r="J1192" s="172"/>
      <c r="K1192" s="172"/>
      <c r="L1192" s="172"/>
      <c r="M1192" s="200"/>
      <c r="N1192" s="515"/>
      <c r="O1192" s="515"/>
      <c r="P1192" s="515"/>
      <c r="Q1192" s="371"/>
      <c r="R1192" s="371"/>
      <c r="S1192" s="371"/>
      <c r="T1192" s="371"/>
      <c r="U1192" s="29"/>
      <c r="V1192" s="30"/>
      <c r="W1192" s="30"/>
      <c r="X1192" s="29"/>
      <c r="Y1192" s="30"/>
      <c r="Z1192" s="30"/>
      <c r="AA1192" s="299"/>
      <c r="AE1192" s="42"/>
      <c r="AF1192" s="42"/>
    </row>
    <row r="1193" spans="1:32" s="19" customFormat="1" x14ac:dyDescent="0.2">
      <c r="A1193" s="37"/>
      <c r="B1193" s="37"/>
      <c r="C1193" s="170"/>
      <c r="D1193" s="172"/>
      <c r="F1193" s="172"/>
      <c r="G1193" s="172"/>
      <c r="H1193" s="245"/>
      <c r="I1193" s="245"/>
      <c r="J1193" s="172"/>
      <c r="K1193" s="172"/>
      <c r="L1193" s="172"/>
      <c r="M1193" s="200"/>
      <c r="N1193" s="515"/>
      <c r="O1193" s="515"/>
      <c r="P1193" s="515"/>
      <c r="Q1193" s="371"/>
      <c r="R1193" s="371"/>
      <c r="S1193" s="371"/>
      <c r="T1193" s="371"/>
      <c r="U1193" s="29"/>
      <c r="V1193" s="30"/>
      <c r="W1193" s="30"/>
      <c r="X1193" s="29"/>
      <c r="Y1193" s="30"/>
      <c r="Z1193" s="30"/>
      <c r="AA1193" s="299"/>
      <c r="AE1193" s="42"/>
      <c r="AF1193" s="42"/>
    </row>
    <row r="1194" spans="1:32" s="19" customFormat="1" x14ac:dyDescent="0.2">
      <c r="A1194" s="37"/>
      <c r="B1194" s="37"/>
      <c r="C1194" s="170"/>
      <c r="D1194" s="172"/>
      <c r="F1194" s="172"/>
      <c r="G1194" s="172"/>
      <c r="H1194" s="245"/>
      <c r="I1194" s="245"/>
      <c r="J1194" s="172"/>
      <c r="K1194" s="172"/>
      <c r="L1194" s="172"/>
      <c r="M1194" s="200"/>
      <c r="N1194" s="515"/>
      <c r="O1194" s="515"/>
      <c r="P1194" s="515"/>
      <c r="Q1194" s="371"/>
      <c r="R1194" s="371"/>
      <c r="S1194" s="371"/>
      <c r="T1194" s="371"/>
      <c r="U1194" s="29"/>
      <c r="V1194" s="30"/>
      <c r="W1194" s="30"/>
      <c r="X1194" s="29"/>
      <c r="Y1194" s="30"/>
      <c r="Z1194" s="30"/>
      <c r="AA1194" s="299"/>
      <c r="AE1194" s="42"/>
      <c r="AF1194" s="42"/>
    </row>
    <row r="1195" spans="1:32" s="19" customFormat="1" x14ac:dyDescent="0.2">
      <c r="A1195" s="37"/>
      <c r="B1195" s="37"/>
      <c r="C1195" s="170"/>
      <c r="D1195" s="172"/>
      <c r="F1195" s="172"/>
      <c r="G1195" s="172"/>
      <c r="H1195" s="245"/>
      <c r="I1195" s="245"/>
      <c r="J1195" s="172"/>
      <c r="K1195" s="172"/>
      <c r="L1195" s="172"/>
      <c r="M1195" s="200"/>
      <c r="N1195" s="515"/>
      <c r="O1195" s="515"/>
      <c r="P1195" s="515"/>
      <c r="Q1195" s="371"/>
      <c r="R1195" s="371"/>
      <c r="S1195" s="371"/>
      <c r="T1195" s="371"/>
      <c r="U1195" s="29"/>
      <c r="V1195" s="30"/>
      <c r="W1195" s="30"/>
      <c r="X1195" s="29"/>
      <c r="Y1195" s="30"/>
      <c r="Z1195" s="30"/>
      <c r="AA1195" s="299"/>
      <c r="AE1195" s="42"/>
      <c r="AF1195" s="42"/>
    </row>
    <row r="1196" spans="1:32" s="19" customFormat="1" x14ac:dyDescent="0.2">
      <c r="A1196" s="37"/>
      <c r="B1196" s="37"/>
      <c r="C1196" s="170"/>
      <c r="D1196" s="172"/>
      <c r="F1196" s="172"/>
      <c r="G1196" s="172"/>
      <c r="H1196" s="245"/>
      <c r="I1196" s="245"/>
      <c r="J1196" s="172"/>
      <c r="K1196" s="172"/>
      <c r="L1196" s="172"/>
      <c r="M1196" s="200"/>
      <c r="N1196" s="515"/>
      <c r="O1196" s="515"/>
      <c r="P1196" s="515"/>
      <c r="Q1196" s="371"/>
      <c r="R1196" s="371"/>
      <c r="S1196" s="371"/>
      <c r="T1196" s="371"/>
      <c r="U1196" s="29"/>
      <c r="V1196" s="30"/>
      <c r="W1196" s="30"/>
      <c r="X1196" s="29"/>
      <c r="Y1196" s="30"/>
      <c r="Z1196" s="30"/>
      <c r="AA1196" s="299"/>
      <c r="AE1196" s="42"/>
      <c r="AF1196" s="42"/>
    </row>
    <row r="1197" spans="1:32" s="19" customFormat="1" x14ac:dyDescent="0.2">
      <c r="A1197" s="37"/>
      <c r="B1197" s="37"/>
      <c r="C1197" s="170"/>
      <c r="D1197" s="172"/>
      <c r="F1197" s="172"/>
      <c r="G1197" s="172"/>
      <c r="H1197" s="245"/>
      <c r="I1197" s="245"/>
      <c r="J1197" s="172"/>
      <c r="K1197" s="172"/>
      <c r="L1197" s="172"/>
      <c r="M1197" s="200"/>
      <c r="N1197" s="515"/>
      <c r="O1197" s="515"/>
      <c r="P1197" s="515"/>
      <c r="Q1197" s="371"/>
      <c r="R1197" s="371"/>
      <c r="S1197" s="371"/>
      <c r="T1197" s="371"/>
      <c r="U1197" s="29"/>
      <c r="V1197" s="30"/>
      <c r="W1197" s="30"/>
      <c r="X1197" s="29"/>
      <c r="Y1197" s="30"/>
      <c r="Z1197" s="30"/>
      <c r="AA1197" s="299"/>
      <c r="AE1197" s="42"/>
      <c r="AF1197" s="42"/>
    </row>
    <row r="1198" spans="1:32" s="19" customFormat="1" x14ac:dyDescent="0.2">
      <c r="A1198" s="37"/>
      <c r="B1198" s="37"/>
      <c r="C1198" s="170"/>
      <c r="D1198" s="172"/>
      <c r="F1198" s="172"/>
      <c r="G1198" s="172"/>
      <c r="H1198" s="245"/>
      <c r="I1198" s="245"/>
      <c r="J1198" s="172"/>
      <c r="K1198" s="172"/>
      <c r="L1198" s="172"/>
      <c r="M1198" s="200"/>
      <c r="N1198" s="515"/>
      <c r="O1198" s="515"/>
      <c r="P1198" s="515"/>
      <c r="Q1198" s="371"/>
      <c r="R1198" s="371"/>
      <c r="S1198" s="371"/>
      <c r="T1198" s="371"/>
      <c r="U1198" s="29"/>
      <c r="V1198" s="30"/>
      <c r="W1198" s="30"/>
      <c r="X1198" s="29"/>
      <c r="Y1198" s="30"/>
      <c r="Z1198" s="30"/>
      <c r="AA1198" s="299"/>
      <c r="AE1198" s="42"/>
      <c r="AF1198" s="42"/>
    </row>
    <row r="1199" spans="1:32" s="19" customFormat="1" x14ac:dyDescent="0.2">
      <c r="A1199" s="37"/>
      <c r="B1199" s="37"/>
      <c r="C1199" s="170"/>
      <c r="D1199" s="172"/>
      <c r="F1199" s="172"/>
      <c r="G1199" s="172"/>
      <c r="H1199" s="245"/>
      <c r="I1199" s="245"/>
      <c r="J1199" s="172"/>
      <c r="K1199" s="172"/>
      <c r="L1199" s="172"/>
      <c r="M1199" s="200"/>
      <c r="N1199" s="515"/>
      <c r="O1199" s="515"/>
      <c r="P1199" s="515"/>
      <c r="Q1199" s="371"/>
      <c r="R1199" s="371"/>
      <c r="S1199" s="371"/>
      <c r="T1199" s="371"/>
      <c r="U1199" s="29"/>
      <c r="V1199" s="30"/>
      <c r="W1199" s="30"/>
      <c r="X1199" s="29"/>
      <c r="Y1199" s="30"/>
      <c r="Z1199" s="30"/>
      <c r="AA1199" s="299"/>
      <c r="AE1199" s="42"/>
      <c r="AF1199" s="42"/>
    </row>
    <row r="1200" spans="1:32" s="19" customFormat="1" x14ac:dyDescent="0.2">
      <c r="A1200" s="37"/>
      <c r="B1200" s="37"/>
      <c r="C1200" s="170"/>
      <c r="D1200" s="172"/>
      <c r="F1200" s="172"/>
      <c r="G1200" s="172"/>
      <c r="H1200" s="245"/>
      <c r="I1200" s="245"/>
      <c r="J1200" s="172"/>
      <c r="K1200" s="172"/>
      <c r="L1200" s="172"/>
      <c r="M1200" s="200"/>
      <c r="N1200" s="515"/>
      <c r="O1200" s="515"/>
      <c r="P1200" s="515"/>
      <c r="Q1200" s="371"/>
      <c r="R1200" s="371"/>
      <c r="S1200" s="371"/>
      <c r="T1200" s="371"/>
      <c r="U1200" s="29"/>
      <c r="V1200" s="30"/>
      <c r="W1200" s="30"/>
      <c r="X1200" s="29"/>
      <c r="Y1200" s="30"/>
      <c r="Z1200" s="30"/>
      <c r="AA1200" s="299"/>
      <c r="AE1200" s="42"/>
      <c r="AF1200" s="42"/>
    </row>
    <row r="1201" spans="1:32" s="19" customFormat="1" x14ac:dyDescent="0.2">
      <c r="A1201" s="37"/>
      <c r="B1201" s="37"/>
      <c r="C1201" s="170"/>
      <c r="D1201" s="172"/>
      <c r="F1201" s="172"/>
      <c r="G1201" s="172"/>
      <c r="H1201" s="245"/>
      <c r="I1201" s="245"/>
      <c r="J1201" s="172"/>
      <c r="K1201" s="172"/>
      <c r="L1201" s="172"/>
      <c r="M1201" s="200"/>
      <c r="N1201" s="515"/>
      <c r="O1201" s="515"/>
      <c r="P1201" s="515"/>
      <c r="Q1201" s="371"/>
      <c r="R1201" s="371"/>
      <c r="S1201" s="371"/>
      <c r="T1201" s="371"/>
      <c r="U1201" s="29"/>
      <c r="V1201" s="30"/>
      <c r="W1201" s="30"/>
      <c r="X1201" s="29"/>
      <c r="Y1201" s="30"/>
      <c r="Z1201" s="30"/>
      <c r="AA1201" s="299"/>
      <c r="AE1201" s="42"/>
      <c r="AF1201" s="42"/>
    </row>
    <row r="1202" spans="1:32" s="19" customFormat="1" x14ac:dyDescent="0.2">
      <c r="A1202" s="37"/>
      <c r="B1202" s="37"/>
      <c r="C1202" s="170"/>
      <c r="D1202" s="172"/>
      <c r="F1202" s="172"/>
      <c r="G1202" s="172"/>
      <c r="H1202" s="245"/>
      <c r="I1202" s="245"/>
      <c r="J1202" s="172"/>
      <c r="K1202" s="172"/>
      <c r="L1202" s="172"/>
      <c r="M1202" s="200"/>
      <c r="N1202" s="515"/>
      <c r="O1202" s="515"/>
      <c r="P1202" s="515"/>
      <c r="Q1202" s="371"/>
      <c r="R1202" s="371"/>
      <c r="S1202" s="371"/>
      <c r="T1202" s="371"/>
      <c r="U1202" s="29"/>
      <c r="V1202" s="30"/>
      <c r="W1202" s="30"/>
      <c r="X1202" s="29"/>
      <c r="Y1202" s="30"/>
      <c r="Z1202" s="30"/>
      <c r="AA1202" s="299"/>
      <c r="AE1202" s="42"/>
      <c r="AF1202" s="42"/>
    </row>
    <row r="1203" spans="1:32" s="19" customFormat="1" x14ac:dyDescent="0.2">
      <c r="A1203" s="37"/>
      <c r="B1203" s="37"/>
      <c r="C1203" s="170"/>
      <c r="D1203" s="172"/>
      <c r="F1203" s="172"/>
      <c r="G1203" s="172"/>
      <c r="H1203" s="245"/>
      <c r="I1203" s="245"/>
      <c r="J1203" s="172"/>
      <c r="K1203" s="172"/>
      <c r="L1203" s="172"/>
      <c r="M1203" s="200"/>
      <c r="N1203" s="515"/>
      <c r="O1203" s="515"/>
      <c r="P1203" s="515"/>
      <c r="Q1203" s="371"/>
      <c r="R1203" s="371"/>
      <c r="S1203" s="371"/>
      <c r="T1203" s="371"/>
      <c r="U1203" s="29"/>
      <c r="V1203" s="30"/>
      <c r="W1203" s="30"/>
      <c r="X1203" s="29"/>
      <c r="Y1203" s="30"/>
      <c r="Z1203" s="30"/>
      <c r="AA1203" s="299"/>
      <c r="AE1203" s="42"/>
      <c r="AF1203" s="42"/>
    </row>
    <row r="1204" spans="1:32" s="19" customFormat="1" x14ac:dyDescent="0.2">
      <c r="A1204" s="37"/>
      <c r="B1204" s="37"/>
      <c r="C1204" s="170"/>
      <c r="D1204" s="172"/>
      <c r="F1204" s="172"/>
      <c r="G1204" s="172"/>
      <c r="H1204" s="245"/>
      <c r="I1204" s="245"/>
      <c r="J1204" s="172"/>
      <c r="K1204" s="172"/>
      <c r="L1204" s="172"/>
      <c r="M1204" s="200"/>
      <c r="N1204" s="515"/>
      <c r="O1204" s="515"/>
      <c r="P1204" s="515"/>
      <c r="Q1204" s="371"/>
      <c r="R1204" s="371"/>
      <c r="S1204" s="371"/>
      <c r="T1204" s="371"/>
      <c r="U1204" s="29"/>
      <c r="V1204" s="30"/>
      <c r="W1204" s="30"/>
      <c r="X1204" s="29"/>
      <c r="Y1204" s="30"/>
      <c r="Z1204" s="30"/>
      <c r="AA1204" s="299"/>
      <c r="AE1204" s="42"/>
      <c r="AF1204" s="42"/>
    </row>
    <row r="1205" spans="1:32" s="19" customFormat="1" x14ac:dyDescent="0.2">
      <c r="A1205" s="37"/>
      <c r="B1205" s="37"/>
      <c r="C1205" s="170"/>
      <c r="D1205" s="172"/>
      <c r="F1205" s="172"/>
      <c r="G1205" s="172"/>
      <c r="H1205" s="245"/>
      <c r="I1205" s="245"/>
      <c r="J1205" s="172"/>
      <c r="K1205" s="172"/>
      <c r="L1205" s="172"/>
      <c r="M1205" s="200"/>
      <c r="N1205" s="515"/>
      <c r="O1205" s="515"/>
      <c r="P1205" s="515"/>
      <c r="Q1205" s="371"/>
      <c r="R1205" s="371"/>
      <c r="S1205" s="371"/>
      <c r="T1205" s="371"/>
      <c r="U1205" s="29"/>
      <c r="V1205" s="30"/>
      <c r="W1205" s="30"/>
      <c r="X1205" s="29"/>
      <c r="Y1205" s="30"/>
      <c r="Z1205" s="30"/>
      <c r="AA1205" s="299"/>
      <c r="AE1205" s="42"/>
      <c r="AF1205" s="42"/>
    </row>
    <row r="1206" spans="1:32" s="19" customFormat="1" x14ac:dyDescent="0.2">
      <c r="A1206" s="37"/>
      <c r="B1206" s="37"/>
      <c r="C1206" s="170"/>
      <c r="D1206" s="172"/>
      <c r="F1206" s="172"/>
      <c r="G1206" s="172"/>
      <c r="H1206" s="245"/>
      <c r="I1206" s="245"/>
      <c r="J1206" s="172"/>
      <c r="K1206" s="172"/>
      <c r="L1206" s="172"/>
      <c r="M1206" s="200"/>
      <c r="N1206" s="515"/>
      <c r="O1206" s="515"/>
      <c r="P1206" s="515"/>
      <c r="Q1206" s="371"/>
      <c r="R1206" s="371"/>
      <c r="S1206" s="371"/>
      <c r="T1206" s="371"/>
      <c r="U1206" s="29"/>
      <c r="V1206" s="30"/>
      <c r="W1206" s="30"/>
      <c r="X1206" s="29"/>
      <c r="Y1206" s="30"/>
      <c r="Z1206" s="30"/>
      <c r="AA1206" s="299"/>
      <c r="AE1206" s="42"/>
      <c r="AF1206" s="42"/>
    </row>
    <row r="1207" spans="1:32" s="19" customFormat="1" x14ac:dyDescent="0.2">
      <c r="A1207" s="37"/>
      <c r="B1207" s="37"/>
      <c r="C1207" s="170"/>
      <c r="D1207" s="172"/>
      <c r="F1207" s="172"/>
      <c r="G1207" s="172"/>
      <c r="H1207" s="245"/>
      <c r="I1207" s="245"/>
      <c r="J1207" s="172"/>
      <c r="K1207" s="172"/>
      <c r="L1207" s="172"/>
      <c r="M1207" s="200"/>
      <c r="N1207" s="515"/>
      <c r="O1207" s="515"/>
      <c r="P1207" s="515"/>
      <c r="Q1207" s="371"/>
      <c r="R1207" s="371"/>
      <c r="S1207" s="371"/>
      <c r="T1207" s="371"/>
      <c r="U1207" s="29"/>
      <c r="V1207" s="30"/>
      <c r="W1207" s="30"/>
      <c r="X1207" s="29"/>
      <c r="Y1207" s="30"/>
      <c r="Z1207" s="30"/>
      <c r="AA1207" s="299"/>
      <c r="AE1207" s="42"/>
      <c r="AF1207" s="42"/>
    </row>
    <row r="1208" spans="1:32" s="19" customFormat="1" x14ac:dyDescent="0.2">
      <c r="A1208" s="37"/>
      <c r="B1208" s="37"/>
      <c r="C1208" s="170"/>
      <c r="D1208" s="172"/>
      <c r="F1208" s="172"/>
      <c r="G1208" s="172"/>
      <c r="H1208" s="245"/>
      <c r="I1208" s="245"/>
      <c r="J1208" s="172"/>
      <c r="K1208" s="172"/>
      <c r="L1208" s="172"/>
      <c r="M1208" s="200"/>
      <c r="N1208" s="515"/>
      <c r="O1208" s="515"/>
      <c r="P1208" s="515"/>
      <c r="Q1208" s="371"/>
      <c r="R1208" s="371"/>
      <c r="S1208" s="371"/>
      <c r="T1208" s="371"/>
      <c r="U1208" s="29"/>
      <c r="V1208" s="30"/>
      <c r="W1208" s="30"/>
      <c r="X1208" s="29"/>
      <c r="Y1208" s="30"/>
      <c r="Z1208" s="30"/>
      <c r="AA1208" s="299"/>
      <c r="AE1208" s="42"/>
      <c r="AF1208" s="42"/>
    </row>
    <row r="1209" spans="1:32" s="19" customFormat="1" x14ac:dyDescent="0.2">
      <c r="A1209" s="37"/>
      <c r="B1209" s="37"/>
      <c r="C1209" s="170"/>
      <c r="D1209" s="172"/>
      <c r="F1209" s="172"/>
      <c r="G1209" s="172"/>
      <c r="H1209" s="245"/>
      <c r="I1209" s="245"/>
      <c r="J1209" s="172"/>
      <c r="K1209" s="172"/>
      <c r="L1209" s="172"/>
      <c r="M1209" s="200"/>
      <c r="N1209" s="515"/>
      <c r="O1209" s="515"/>
      <c r="P1209" s="515"/>
      <c r="Q1209" s="371"/>
      <c r="R1209" s="371"/>
      <c r="S1209" s="371"/>
      <c r="T1209" s="371"/>
      <c r="U1209" s="29"/>
      <c r="V1209" s="30"/>
      <c r="W1209" s="30"/>
      <c r="X1209" s="29"/>
      <c r="Y1209" s="30"/>
      <c r="Z1209" s="30"/>
      <c r="AA1209" s="299"/>
      <c r="AE1209" s="42"/>
      <c r="AF1209" s="42"/>
    </row>
    <row r="1210" spans="1:32" s="19" customFormat="1" x14ac:dyDescent="0.2">
      <c r="A1210" s="37"/>
      <c r="B1210" s="37"/>
      <c r="C1210" s="170"/>
      <c r="D1210" s="170"/>
      <c r="F1210" s="172"/>
      <c r="G1210" s="172"/>
      <c r="H1210" s="245"/>
      <c r="I1210" s="245"/>
      <c r="J1210" s="172"/>
      <c r="K1210" s="172"/>
      <c r="L1210" s="172"/>
      <c r="M1210" s="200"/>
      <c r="N1210" s="515"/>
      <c r="O1210" s="515"/>
      <c r="P1210" s="515"/>
      <c r="Q1210" s="371"/>
      <c r="R1210" s="371"/>
      <c r="S1210" s="371"/>
      <c r="T1210" s="371"/>
      <c r="U1210" s="29"/>
      <c r="V1210" s="30"/>
      <c r="W1210" s="30"/>
      <c r="X1210" s="29"/>
      <c r="Y1210" s="30"/>
      <c r="Z1210" s="30"/>
      <c r="AA1210" s="299"/>
      <c r="AE1210" s="42"/>
      <c r="AF1210" s="42"/>
    </row>
    <row r="1211" spans="1:32" s="19" customFormat="1" x14ac:dyDescent="0.2">
      <c r="A1211" s="37"/>
      <c r="B1211" s="37"/>
      <c r="C1211" s="170"/>
      <c r="D1211" s="172"/>
      <c r="F1211" s="172"/>
      <c r="G1211" s="172"/>
      <c r="H1211" s="245"/>
      <c r="I1211" s="245"/>
      <c r="J1211" s="172"/>
      <c r="K1211" s="172"/>
      <c r="L1211" s="172"/>
      <c r="M1211" s="200"/>
      <c r="N1211" s="515"/>
      <c r="O1211" s="515"/>
      <c r="P1211" s="515"/>
      <c r="Q1211" s="371"/>
      <c r="R1211" s="371"/>
      <c r="S1211" s="371"/>
      <c r="T1211" s="371"/>
      <c r="U1211" s="29"/>
      <c r="V1211" s="30"/>
      <c r="W1211" s="30"/>
      <c r="X1211" s="29"/>
      <c r="Y1211" s="30"/>
      <c r="Z1211" s="30"/>
      <c r="AA1211" s="299"/>
      <c r="AE1211" s="42"/>
      <c r="AF1211" s="42"/>
    </row>
    <row r="1212" spans="1:32" s="19" customFormat="1" x14ac:dyDescent="0.2">
      <c r="A1212" s="37"/>
      <c r="B1212" s="37"/>
      <c r="C1212" s="170"/>
      <c r="D1212" s="172"/>
      <c r="F1212" s="172"/>
      <c r="G1212" s="172"/>
      <c r="H1212" s="245"/>
      <c r="I1212" s="245"/>
      <c r="J1212" s="172"/>
      <c r="K1212" s="172"/>
      <c r="L1212" s="172"/>
      <c r="M1212" s="200"/>
      <c r="N1212" s="515"/>
      <c r="O1212" s="515"/>
      <c r="P1212" s="515"/>
      <c r="Q1212" s="371"/>
      <c r="R1212" s="371"/>
      <c r="S1212" s="371"/>
      <c r="T1212" s="371"/>
      <c r="U1212" s="29"/>
      <c r="V1212" s="30"/>
      <c r="W1212" s="30"/>
      <c r="X1212" s="29"/>
      <c r="Y1212" s="30"/>
      <c r="Z1212" s="30"/>
      <c r="AA1212" s="299"/>
      <c r="AE1212" s="42"/>
      <c r="AF1212" s="42"/>
    </row>
    <row r="1213" spans="1:32" s="19" customFormat="1" x14ac:dyDescent="0.2">
      <c r="A1213" s="37"/>
      <c r="B1213" s="37"/>
      <c r="C1213" s="170"/>
      <c r="D1213" s="172"/>
      <c r="F1213" s="172"/>
      <c r="G1213" s="172"/>
      <c r="H1213" s="245"/>
      <c r="I1213" s="245"/>
      <c r="J1213" s="172"/>
      <c r="K1213" s="172"/>
      <c r="L1213" s="172"/>
      <c r="M1213" s="200"/>
      <c r="N1213" s="515"/>
      <c r="O1213" s="515"/>
      <c r="P1213" s="515"/>
      <c r="Q1213" s="371"/>
      <c r="R1213" s="371"/>
      <c r="S1213" s="371"/>
      <c r="T1213" s="371"/>
      <c r="U1213" s="29"/>
      <c r="V1213" s="30"/>
      <c r="W1213" s="30"/>
      <c r="X1213" s="29"/>
      <c r="Y1213" s="30"/>
      <c r="Z1213" s="30"/>
      <c r="AA1213" s="299"/>
      <c r="AE1213" s="42"/>
      <c r="AF1213" s="42"/>
    </row>
    <row r="1214" spans="1:32" s="19" customFormat="1" x14ac:dyDescent="0.2">
      <c r="A1214" s="37"/>
      <c r="B1214" s="37"/>
      <c r="C1214" s="170"/>
      <c r="D1214" s="172"/>
      <c r="E1214" s="19">
        <v>0</v>
      </c>
      <c r="F1214" s="172"/>
      <c r="G1214" s="172"/>
      <c r="H1214" s="245"/>
      <c r="I1214" s="245"/>
      <c r="J1214" s="172"/>
      <c r="K1214" s="172"/>
      <c r="L1214" s="172"/>
      <c r="M1214" s="200"/>
      <c r="N1214" s="515"/>
      <c r="O1214" s="515"/>
      <c r="P1214" s="515"/>
      <c r="Q1214" s="371"/>
      <c r="R1214" s="371"/>
      <c r="S1214" s="371"/>
      <c r="T1214" s="371"/>
      <c r="U1214" s="29"/>
      <c r="V1214" s="30"/>
      <c r="W1214" s="30"/>
      <c r="X1214" s="29"/>
      <c r="Y1214" s="30"/>
      <c r="Z1214" s="30"/>
      <c r="AA1214" s="299"/>
      <c r="AE1214" s="42"/>
      <c r="AF1214" s="42"/>
    </row>
    <row r="1215" spans="1:32" s="19" customFormat="1" x14ac:dyDescent="0.2">
      <c r="A1215" s="37"/>
      <c r="B1215" s="37"/>
      <c r="C1215" s="170"/>
      <c r="D1215" s="172"/>
      <c r="E1215" s="19">
        <v>0</v>
      </c>
      <c r="F1215" s="172"/>
      <c r="G1215" s="172"/>
      <c r="H1215" s="245"/>
      <c r="I1215" s="245"/>
      <c r="J1215" s="172"/>
      <c r="K1215" s="172"/>
      <c r="L1215" s="172"/>
      <c r="M1215" s="200"/>
      <c r="N1215" s="515"/>
      <c r="O1215" s="515"/>
      <c r="P1215" s="515"/>
      <c r="Q1215" s="371"/>
      <c r="R1215" s="371"/>
      <c r="S1215" s="371"/>
      <c r="T1215" s="371"/>
      <c r="U1215" s="29"/>
      <c r="V1215" s="30"/>
      <c r="W1215" s="30"/>
      <c r="X1215" s="29"/>
      <c r="Y1215" s="30"/>
      <c r="Z1215" s="30"/>
      <c r="AA1215" s="299"/>
      <c r="AE1215" s="42"/>
      <c r="AF1215" s="42"/>
    </row>
    <row r="1216" spans="1:32" s="19" customFormat="1" x14ac:dyDescent="0.2">
      <c r="A1216" s="37"/>
      <c r="B1216" s="37"/>
      <c r="C1216" s="170"/>
      <c r="D1216" s="172"/>
      <c r="F1216" s="172"/>
      <c r="G1216" s="172"/>
      <c r="H1216" s="245"/>
      <c r="I1216" s="245"/>
      <c r="J1216" s="172"/>
      <c r="K1216" s="172"/>
      <c r="L1216" s="172"/>
      <c r="M1216" s="200"/>
      <c r="N1216" s="515"/>
      <c r="O1216" s="515"/>
      <c r="P1216" s="515"/>
      <c r="Q1216" s="371"/>
      <c r="R1216" s="371"/>
      <c r="S1216" s="371"/>
      <c r="T1216" s="371"/>
      <c r="U1216" s="29"/>
      <c r="V1216" s="30"/>
      <c r="W1216" s="30"/>
      <c r="X1216" s="29"/>
      <c r="Y1216" s="30"/>
      <c r="Z1216" s="30"/>
      <c r="AA1216" s="299"/>
      <c r="AE1216" s="42"/>
      <c r="AF1216" s="42"/>
    </row>
    <row r="1217" spans="1:32" s="19" customFormat="1" x14ac:dyDescent="0.2">
      <c r="A1217" s="37"/>
      <c r="B1217" s="37"/>
      <c r="C1217" s="170"/>
      <c r="D1217" s="172"/>
      <c r="F1217" s="172"/>
      <c r="G1217" s="172"/>
      <c r="H1217" s="245"/>
      <c r="I1217" s="245"/>
      <c r="J1217" s="172"/>
      <c r="K1217" s="172"/>
      <c r="L1217" s="172"/>
      <c r="M1217" s="200"/>
      <c r="N1217" s="515"/>
      <c r="O1217" s="515"/>
      <c r="P1217" s="515"/>
      <c r="Q1217" s="371"/>
      <c r="R1217" s="371"/>
      <c r="S1217" s="371"/>
      <c r="T1217" s="371"/>
      <c r="U1217" s="29"/>
      <c r="V1217" s="30"/>
      <c r="W1217" s="30"/>
      <c r="X1217" s="29"/>
      <c r="Y1217" s="30"/>
      <c r="Z1217" s="30"/>
      <c r="AA1217" s="299"/>
      <c r="AE1217" s="42"/>
      <c r="AF1217" s="42"/>
    </row>
    <row r="1218" spans="1:32" s="19" customFormat="1" x14ac:dyDescent="0.2">
      <c r="A1218" s="37"/>
      <c r="B1218" s="37"/>
      <c r="C1218" s="170"/>
      <c r="D1218" s="172"/>
      <c r="F1218" s="172"/>
      <c r="G1218" s="172"/>
      <c r="H1218" s="245"/>
      <c r="I1218" s="245"/>
      <c r="J1218" s="172"/>
      <c r="K1218" s="172"/>
      <c r="L1218" s="172"/>
      <c r="M1218" s="200"/>
      <c r="N1218" s="515"/>
      <c r="O1218" s="515"/>
      <c r="P1218" s="515"/>
      <c r="Q1218" s="371"/>
      <c r="R1218" s="371"/>
      <c r="S1218" s="371"/>
      <c r="T1218" s="371"/>
      <c r="U1218" s="29"/>
      <c r="V1218" s="30"/>
      <c r="W1218" s="30"/>
      <c r="X1218" s="29"/>
      <c r="Y1218" s="30"/>
      <c r="Z1218" s="30"/>
      <c r="AA1218" s="299"/>
      <c r="AE1218" s="42"/>
      <c r="AF1218" s="42"/>
    </row>
    <row r="1219" spans="1:32" s="19" customFormat="1" x14ac:dyDescent="0.2">
      <c r="A1219" s="37"/>
      <c r="B1219" s="37"/>
      <c r="C1219" s="170"/>
      <c r="D1219" s="172"/>
      <c r="F1219" s="172"/>
      <c r="G1219" s="172"/>
      <c r="H1219" s="245"/>
      <c r="I1219" s="245"/>
      <c r="J1219" s="172"/>
      <c r="K1219" s="172"/>
      <c r="L1219" s="172"/>
      <c r="M1219" s="200"/>
      <c r="N1219" s="515"/>
      <c r="O1219" s="515"/>
      <c r="P1219" s="515"/>
      <c r="Q1219" s="371"/>
      <c r="R1219" s="371"/>
      <c r="S1219" s="371"/>
      <c r="T1219" s="371"/>
      <c r="U1219" s="29"/>
      <c r="V1219" s="30"/>
      <c r="W1219" s="30"/>
      <c r="X1219" s="29"/>
      <c r="Y1219" s="30"/>
      <c r="Z1219" s="30"/>
      <c r="AA1219" s="299"/>
      <c r="AE1219" s="42"/>
      <c r="AF1219" s="42"/>
    </row>
    <row r="1220" spans="1:32" s="19" customFormat="1" x14ac:dyDescent="0.2">
      <c r="A1220" s="37"/>
      <c r="B1220" s="37"/>
      <c r="C1220" s="170"/>
      <c r="D1220" s="172"/>
      <c r="F1220" s="172"/>
      <c r="G1220" s="172"/>
      <c r="H1220" s="245"/>
      <c r="I1220" s="245"/>
      <c r="J1220" s="172"/>
      <c r="K1220" s="172"/>
      <c r="L1220" s="172"/>
      <c r="M1220" s="200"/>
      <c r="N1220" s="515"/>
      <c r="O1220" s="515"/>
      <c r="P1220" s="515"/>
      <c r="Q1220" s="371"/>
      <c r="R1220" s="371"/>
      <c r="S1220" s="371"/>
      <c r="T1220" s="371"/>
      <c r="U1220" s="29"/>
      <c r="V1220" s="30"/>
      <c r="W1220" s="30"/>
      <c r="X1220" s="29"/>
      <c r="Y1220" s="30"/>
      <c r="Z1220" s="30"/>
      <c r="AA1220" s="299"/>
      <c r="AE1220" s="42"/>
      <c r="AF1220" s="42"/>
    </row>
    <row r="1221" spans="1:32" s="19" customFormat="1" x14ac:dyDescent="0.2">
      <c r="A1221" s="37"/>
      <c r="B1221" s="37"/>
      <c r="C1221" s="170"/>
      <c r="D1221" s="172"/>
      <c r="F1221" s="172"/>
      <c r="G1221" s="172"/>
      <c r="H1221" s="245"/>
      <c r="I1221" s="245"/>
      <c r="J1221" s="172"/>
      <c r="K1221" s="172"/>
      <c r="L1221" s="172"/>
      <c r="M1221" s="200"/>
      <c r="N1221" s="515"/>
      <c r="O1221" s="515"/>
      <c r="P1221" s="515"/>
      <c r="Q1221" s="371"/>
      <c r="R1221" s="371"/>
      <c r="S1221" s="371"/>
      <c r="T1221" s="371"/>
      <c r="U1221" s="29"/>
      <c r="V1221" s="30"/>
      <c r="W1221" s="30"/>
      <c r="X1221" s="29"/>
      <c r="Y1221" s="30"/>
      <c r="Z1221" s="30"/>
      <c r="AA1221" s="299"/>
      <c r="AE1221" s="42"/>
      <c r="AF1221" s="42"/>
    </row>
    <row r="1222" spans="1:32" s="19" customFormat="1" ht="19.5" customHeight="1" x14ac:dyDescent="0.2">
      <c r="A1222" s="37"/>
      <c r="B1222" s="37"/>
      <c r="C1222" s="170"/>
      <c r="D1222" s="172"/>
      <c r="F1222" s="172"/>
      <c r="G1222" s="172"/>
      <c r="H1222" s="245"/>
      <c r="I1222" s="245"/>
      <c r="J1222" s="172"/>
      <c r="K1222" s="172"/>
      <c r="L1222" s="172"/>
      <c r="M1222" s="200"/>
      <c r="N1222" s="515"/>
      <c r="O1222" s="515"/>
      <c r="P1222" s="515"/>
      <c r="Q1222" s="371"/>
      <c r="R1222" s="371"/>
      <c r="S1222" s="371"/>
      <c r="T1222" s="371"/>
      <c r="U1222" s="29"/>
      <c r="V1222" s="30"/>
      <c r="W1222" s="30"/>
      <c r="X1222" s="29"/>
      <c r="Y1222" s="30"/>
      <c r="Z1222" s="30"/>
      <c r="AA1222" s="299"/>
      <c r="AE1222" s="42"/>
      <c r="AF1222" s="42"/>
    </row>
    <row r="1223" spans="1:32" s="19" customFormat="1" ht="19.5" customHeight="1" x14ac:dyDescent="0.2">
      <c r="A1223" s="37"/>
      <c r="B1223" s="37"/>
      <c r="C1223" s="170"/>
      <c r="D1223" s="172"/>
      <c r="F1223" s="172"/>
      <c r="G1223" s="172"/>
      <c r="H1223" s="245"/>
      <c r="I1223" s="245"/>
      <c r="J1223" s="172"/>
      <c r="K1223" s="172"/>
      <c r="L1223" s="172"/>
      <c r="M1223" s="200"/>
      <c r="N1223" s="515"/>
      <c r="O1223" s="515"/>
      <c r="P1223" s="515"/>
      <c r="Q1223" s="371"/>
      <c r="R1223" s="371"/>
      <c r="S1223" s="371"/>
      <c r="T1223" s="371"/>
      <c r="U1223" s="29"/>
      <c r="V1223" s="30"/>
      <c r="W1223" s="30"/>
      <c r="X1223" s="29"/>
      <c r="Y1223" s="30"/>
      <c r="Z1223" s="30"/>
      <c r="AA1223" s="299"/>
      <c r="AE1223" s="42"/>
      <c r="AF1223" s="42"/>
    </row>
    <row r="1224" spans="1:32" s="19" customFormat="1" ht="19.5" customHeight="1" x14ac:dyDescent="0.2">
      <c r="A1224" s="37"/>
      <c r="B1224" s="37"/>
      <c r="C1224" s="170"/>
      <c r="D1224" s="172"/>
      <c r="F1224" s="172"/>
      <c r="G1224" s="172"/>
      <c r="H1224" s="245"/>
      <c r="I1224" s="245"/>
      <c r="J1224" s="172"/>
      <c r="K1224" s="172"/>
      <c r="L1224" s="172"/>
      <c r="M1224" s="200"/>
      <c r="N1224" s="515"/>
      <c r="O1224" s="515"/>
      <c r="P1224" s="515"/>
      <c r="Q1224" s="371"/>
      <c r="R1224" s="371"/>
      <c r="S1224" s="371"/>
      <c r="T1224" s="371"/>
      <c r="U1224" s="29"/>
      <c r="V1224" s="30"/>
      <c r="W1224" s="30"/>
      <c r="X1224" s="29"/>
      <c r="Y1224" s="30"/>
      <c r="Z1224" s="30"/>
      <c r="AA1224" s="299"/>
      <c r="AE1224" s="42"/>
      <c r="AF1224" s="42"/>
    </row>
    <row r="1225" spans="1:32" s="19" customFormat="1" ht="19.5" customHeight="1" x14ac:dyDescent="0.2">
      <c r="A1225" s="37"/>
      <c r="B1225" s="37"/>
      <c r="C1225" s="170"/>
      <c r="D1225" s="172"/>
      <c r="F1225" s="172"/>
      <c r="G1225" s="172"/>
      <c r="H1225" s="245"/>
      <c r="I1225" s="245"/>
      <c r="J1225" s="172"/>
      <c r="K1225" s="172"/>
      <c r="L1225" s="172"/>
      <c r="M1225" s="200"/>
      <c r="N1225" s="515"/>
      <c r="O1225" s="515"/>
      <c r="P1225" s="515"/>
      <c r="Q1225" s="371"/>
      <c r="R1225" s="371"/>
      <c r="S1225" s="371"/>
      <c r="T1225" s="371"/>
      <c r="U1225" s="29"/>
      <c r="V1225" s="30"/>
      <c r="W1225" s="30"/>
      <c r="X1225" s="29"/>
      <c r="Y1225" s="30"/>
      <c r="Z1225" s="30"/>
      <c r="AA1225" s="299"/>
      <c r="AE1225" s="42"/>
      <c r="AF1225" s="42"/>
    </row>
    <row r="1226" spans="1:32" s="19" customFormat="1" ht="19.5" customHeight="1" x14ac:dyDescent="0.2">
      <c r="A1226" s="37"/>
      <c r="B1226" s="37"/>
      <c r="C1226" s="170"/>
      <c r="D1226" s="170"/>
      <c r="F1226" s="172"/>
      <c r="G1226" s="172"/>
      <c r="H1226" s="245"/>
      <c r="I1226" s="245"/>
      <c r="J1226" s="172"/>
      <c r="K1226" s="172"/>
      <c r="L1226" s="172"/>
      <c r="M1226" s="200"/>
      <c r="N1226" s="515"/>
      <c r="O1226" s="515"/>
      <c r="P1226" s="515"/>
      <c r="Q1226" s="371"/>
      <c r="R1226" s="371"/>
      <c r="S1226" s="371"/>
      <c r="T1226" s="371"/>
      <c r="U1226" s="29"/>
      <c r="V1226" s="30"/>
      <c r="W1226" s="30"/>
      <c r="X1226" s="29"/>
      <c r="Y1226" s="30"/>
      <c r="Z1226" s="30"/>
      <c r="AA1226" s="299"/>
      <c r="AE1226" s="42"/>
      <c r="AF1226" s="42"/>
    </row>
    <row r="1227" spans="1:32" s="19" customFormat="1" ht="19.5" customHeight="1" x14ac:dyDescent="0.2">
      <c r="A1227" s="37"/>
      <c r="B1227" s="37"/>
      <c r="C1227" s="170"/>
      <c r="D1227" s="170"/>
      <c r="F1227" s="172"/>
      <c r="G1227" s="172"/>
      <c r="H1227" s="245"/>
      <c r="I1227" s="245"/>
      <c r="J1227" s="172"/>
      <c r="K1227" s="172"/>
      <c r="L1227" s="172"/>
      <c r="M1227" s="200"/>
      <c r="N1227" s="515"/>
      <c r="O1227" s="515"/>
      <c r="P1227" s="515"/>
      <c r="Q1227" s="371"/>
      <c r="R1227" s="371"/>
      <c r="S1227" s="371"/>
      <c r="T1227" s="371"/>
      <c r="U1227" s="29"/>
      <c r="V1227" s="30"/>
      <c r="W1227" s="30"/>
      <c r="X1227" s="29"/>
      <c r="Y1227" s="30"/>
      <c r="Z1227" s="30"/>
      <c r="AA1227" s="299"/>
      <c r="AE1227" s="42"/>
      <c r="AF1227" s="42"/>
    </row>
    <row r="1228" spans="1:32" s="19" customFormat="1" ht="19.5" customHeight="1" x14ac:dyDescent="0.2">
      <c r="A1228" s="37"/>
      <c r="B1228" s="37"/>
      <c r="C1228" s="170"/>
      <c r="D1228" s="170"/>
      <c r="F1228" s="172"/>
      <c r="G1228" s="172"/>
      <c r="H1228" s="245"/>
      <c r="I1228" s="245"/>
      <c r="J1228" s="172"/>
      <c r="K1228" s="172"/>
      <c r="L1228" s="172"/>
      <c r="M1228" s="200"/>
      <c r="N1228" s="515"/>
      <c r="O1228" s="515"/>
      <c r="P1228" s="515"/>
      <c r="Q1228" s="371"/>
      <c r="R1228" s="371"/>
      <c r="S1228" s="371"/>
      <c r="T1228" s="371"/>
      <c r="U1228" s="29"/>
      <c r="V1228" s="30"/>
      <c r="W1228" s="30"/>
      <c r="X1228" s="29"/>
      <c r="Y1228" s="30"/>
      <c r="Z1228" s="30"/>
      <c r="AA1228" s="299"/>
      <c r="AE1228" s="42"/>
      <c r="AF1228" s="42"/>
    </row>
    <row r="1229" spans="1:32" s="19" customFormat="1" ht="19.5" customHeight="1" x14ac:dyDescent="0.2">
      <c r="A1229" s="37"/>
      <c r="B1229" s="37"/>
      <c r="C1229" s="170"/>
      <c r="D1229" s="170"/>
      <c r="F1229" s="172"/>
      <c r="G1229" s="172"/>
      <c r="H1229" s="245"/>
      <c r="I1229" s="245"/>
      <c r="J1229" s="172"/>
      <c r="K1229" s="172"/>
      <c r="L1229" s="172"/>
      <c r="M1229" s="200"/>
      <c r="N1229" s="515"/>
      <c r="O1229" s="515"/>
      <c r="P1229" s="515"/>
      <c r="Q1229" s="371"/>
      <c r="R1229" s="371"/>
      <c r="S1229" s="371"/>
      <c r="T1229" s="371"/>
      <c r="U1229" s="29"/>
      <c r="V1229" s="30"/>
      <c r="W1229" s="30"/>
      <c r="X1229" s="29"/>
      <c r="Y1229" s="30"/>
      <c r="Z1229" s="30"/>
      <c r="AA1229" s="299"/>
      <c r="AE1229" s="42"/>
      <c r="AF1229" s="42"/>
    </row>
    <row r="1230" spans="1:32" s="19" customFormat="1" ht="19.5" customHeight="1" x14ac:dyDescent="0.2">
      <c r="A1230" s="37"/>
      <c r="B1230" s="37"/>
      <c r="C1230" s="170"/>
      <c r="D1230" s="170"/>
      <c r="F1230" s="172"/>
      <c r="G1230" s="172"/>
      <c r="H1230" s="245"/>
      <c r="I1230" s="245"/>
      <c r="J1230" s="172"/>
      <c r="K1230" s="172"/>
      <c r="L1230" s="172"/>
      <c r="M1230" s="200"/>
      <c r="N1230" s="515"/>
      <c r="O1230" s="515"/>
      <c r="P1230" s="515"/>
      <c r="Q1230" s="371"/>
      <c r="R1230" s="371"/>
      <c r="S1230" s="371"/>
      <c r="T1230" s="371"/>
      <c r="U1230" s="29"/>
      <c r="V1230" s="30"/>
      <c r="W1230" s="30"/>
      <c r="X1230" s="29"/>
      <c r="Y1230" s="30"/>
      <c r="Z1230" s="30"/>
      <c r="AA1230" s="299"/>
      <c r="AE1230" s="42"/>
      <c r="AF1230" s="42"/>
    </row>
    <row r="1231" spans="1:32" s="19" customFormat="1" ht="19.5" customHeight="1" x14ac:dyDescent="0.2">
      <c r="A1231" s="37"/>
      <c r="B1231" s="37"/>
      <c r="C1231" s="170"/>
      <c r="D1231" s="170"/>
      <c r="F1231" s="172"/>
      <c r="G1231" s="172"/>
      <c r="H1231" s="245"/>
      <c r="I1231" s="245"/>
      <c r="J1231" s="172"/>
      <c r="K1231" s="172"/>
      <c r="L1231" s="172"/>
      <c r="M1231" s="200"/>
      <c r="N1231" s="515"/>
      <c r="O1231" s="515"/>
      <c r="P1231" s="515"/>
      <c r="Q1231" s="371"/>
      <c r="R1231" s="371"/>
      <c r="S1231" s="371"/>
      <c r="T1231" s="371"/>
      <c r="U1231" s="29"/>
      <c r="V1231" s="30"/>
      <c r="W1231" s="30"/>
      <c r="X1231" s="29"/>
      <c r="Y1231" s="30"/>
      <c r="Z1231" s="30"/>
      <c r="AA1231" s="299"/>
      <c r="AE1231" s="42"/>
      <c r="AF1231" s="42"/>
    </row>
    <row r="1232" spans="1:32" s="19" customFormat="1" x14ac:dyDescent="0.2">
      <c r="A1232" s="37"/>
      <c r="B1232" s="37"/>
      <c r="C1232" s="170"/>
      <c r="D1232" s="172"/>
      <c r="F1232" s="172"/>
      <c r="G1232" s="172"/>
      <c r="H1232" s="245"/>
      <c r="I1232" s="245"/>
      <c r="J1232" s="172"/>
      <c r="K1232" s="172"/>
      <c r="L1232" s="172"/>
      <c r="M1232" s="200"/>
      <c r="N1232" s="515"/>
      <c r="O1232" s="515"/>
      <c r="P1232" s="515"/>
      <c r="Q1232" s="371"/>
      <c r="R1232" s="371"/>
      <c r="S1232" s="371"/>
      <c r="T1232" s="371"/>
      <c r="U1232" s="29"/>
      <c r="V1232" s="30"/>
      <c r="W1232" s="30"/>
      <c r="X1232" s="29"/>
      <c r="Y1232" s="30"/>
      <c r="Z1232" s="30"/>
      <c r="AA1232" s="299"/>
      <c r="AE1232" s="42"/>
      <c r="AF1232" s="42"/>
    </row>
    <row r="1233" spans="1:32" s="19" customFormat="1" x14ac:dyDescent="0.2">
      <c r="A1233" s="37"/>
      <c r="B1233" s="37"/>
      <c r="C1233" s="170"/>
      <c r="D1233" s="172"/>
      <c r="F1233" s="172"/>
      <c r="G1233" s="172"/>
      <c r="H1233" s="245"/>
      <c r="I1233" s="245"/>
      <c r="J1233" s="172"/>
      <c r="K1233" s="172"/>
      <c r="L1233" s="172"/>
      <c r="M1233" s="200"/>
      <c r="N1233" s="515"/>
      <c r="O1233" s="515"/>
      <c r="P1233" s="515"/>
      <c r="Q1233" s="371"/>
      <c r="R1233" s="371"/>
      <c r="S1233" s="371"/>
      <c r="T1233" s="371"/>
      <c r="U1233" s="29"/>
      <c r="V1233" s="30"/>
      <c r="W1233" s="30"/>
      <c r="X1233" s="29"/>
      <c r="Y1233" s="30"/>
      <c r="Z1233" s="30"/>
      <c r="AA1233" s="299"/>
      <c r="AE1233" s="42"/>
      <c r="AF1233" s="42"/>
    </row>
    <row r="1234" spans="1:32" s="19" customFormat="1" x14ac:dyDescent="0.2">
      <c r="A1234" s="37"/>
      <c r="B1234" s="37"/>
      <c r="C1234" s="170"/>
      <c r="D1234" s="172"/>
      <c r="F1234" s="172"/>
      <c r="G1234" s="172"/>
      <c r="H1234" s="245"/>
      <c r="I1234" s="245"/>
      <c r="J1234" s="172"/>
      <c r="K1234" s="172"/>
      <c r="L1234" s="172"/>
      <c r="M1234" s="200"/>
      <c r="N1234" s="515"/>
      <c r="O1234" s="515"/>
      <c r="P1234" s="515"/>
      <c r="Q1234" s="371"/>
      <c r="R1234" s="371"/>
      <c r="S1234" s="371"/>
      <c r="T1234" s="371"/>
      <c r="U1234" s="29"/>
      <c r="V1234" s="30"/>
      <c r="W1234" s="30"/>
      <c r="X1234" s="29"/>
      <c r="Y1234" s="30"/>
      <c r="Z1234" s="30"/>
      <c r="AA1234" s="299"/>
      <c r="AE1234" s="42"/>
      <c r="AF1234" s="42"/>
    </row>
    <row r="1235" spans="1:32" s="19" customFormat="1" x14ac:dyDescent="0.2">
      <c r="A1235" s="37"/>
      <c r="B1235" s="37"/>
      <c r="C1235" s="170"/>
      <c r="D1235" s="172"/>
      <c r="F1235" s="172"/>
      <c r="G1235" s="172"/>
      <c r="H1235" s="245"/>
      <c r="I1235" s="245"/>
      <c r="J1235" s="172"/>
      <c r="K1235" s="172"/>
      <c r="L1235" s="172"/>
      <c r="M1235" s="200"/>
      <c r="N1235" s="515"/>
      <c r="O1235" s="515"/>
      <c r="P1235" s="515"/>
      <c r="Q1235" s="371"/>
      <c r="R1235" s="371"/>
      <c r="S1235" s="371"/>
      <c r="T1235" s="371"/>
      <c r="U1235" s="29"/>
      <c r="V1235" s="30"/>
      <c r="W1235" s="30"/>
      <c r="X1235" s="29"/>
      <c r="Y1235" s="30"/>
      <c r="Z1235" s="30"/>
      <c r="AA1235" s="299"/>
      <c r="AE1235" s="42"/>
      <c r="AF1235" s="42"/>
    </row>
    <row r="1236" spans="1:32" s="19" customFormat="1" x14ac:dyDescent="0.2">
      <c r="A1236" s="37"/>
      <c r="B1236" s="37"/>
      <c r="C1236" s="170"/>
      <c r="D1236" s="172"/>
      <c r="F1236" s="172"/>
      <c r="G1236" s="172"/>
      <c r="H1236" s="245"/>
      <c r="I1236" s="245"/>
      <c r="J1236" s="172"/>
      <c r="K1236" s="172"/>
      <c r="L1236" s="172"/>
      <c r="M1236" s="200"/>
      <c r="N1236" s="515"/>
      <c r="O1236" s="515"/>
      <c r="P1236" s="515"/>
      <c r="Q1236" s="371"/>
      <c r="R1236" s="371"/>
      <c r="S1236" s="371"/>
      <c r="T1236" s="371"/>
      <c r="U1236" s="29"/>
      <c r="V1236" s="30"/>
      <c r="W1236" s="30"/>
      <c r="X1236" s="29"/>
      <c r="Y1236" s="30"/>
      <c r="Z1236" s="30"/>
      <c r="AA1236" s="299"/>
      <c r="AE1236" s="42"/>
      <c r="AF1236" s="42"/>
    </row>
    <row r="1237" spans="1:32" s="19" customFormat="1" x14ac:dyDescent="0.2">
      <c r="A1237" s="37"/>
      <c r="B1237" s="37"/>
      <c r="C1237" s="170"/>
      <c r="D1237" s="172"/>
      <c r="F1237" s="172"/>
      <c r="G1237" s="172"/>
      <c r="H1237" s="245"/>
      <c r="I1237" s="245"/>
      <c r="J1237" s="172"/>
      <c r="K1237" s="172"/>
      <c r="L1237" s="172"/>
      <c r="M1237" s="200"/>
      <c r="N1237" s="515"/>
      <c r="O1237" s="515"/>
      <c r="P1237" s="515"/>
      <c r="Q1237" s="371"/>
      <c r="R1237" s="371"/>
      <c r="S1237" s="371"/>
      <c r="T1237" s="371"/>
      <c r="U1237" s="29"/>
      <c r="V1237" s="30"/>
      <c r="W1237" s="30"/>
      <c r="X1237" s="29"/>
      <c r="Y1237" s="30"/>
      <c r="Z1237" s="30"/>
      <c r="AA1237" s="299"/>
      <c r="AE1237" s="42"/>
      <c r="AF1237" s="42"/>
    </row>
    <row r="1238" spans="1:32" s="19" customFormat="1" x14ac:dyDescent="0.2">
      <c r="A1238" s="37"/>
      <c r="B1238" s="37"/>
      <c r="C1238" s="170"/>
      <c r="D1238" s="172"/>
      <c r="F1238" s="172"/>
      <c r="G1238" s="172"/>
      <c r="H1238" s="245"/>
      <c r="I1238" s="245"/>
      <c r="J1238" s="172"/>
      <c r="K1238" s="172"/>
      <c r="L1238" s="172"/>
      <c r="M1238" s="200"/>
      <c r="N1238" s="515"/>
      <c r="O1238" s="515"/>
      <c r="P1238" s="515"/>
      <c r="Q1238" s="371"/>
      <c r="R1238" s="371"/>
      <c r="S1238" s="371"/>
      <c r="T1238" s="371"/>
      <c r="U1238" s="29"/>
      <c r="V1238" s="30"/>
      <c r="W1238" s="30"/>
      <c r="X1238" s="29"/>
      <c r="Y1238" s="30"/>
      <c r="Z1238" s="30"/>
      <c r="AA1238" s="299"/>
      <c r="AE1238" s="42"/>
      <c r="AF1238" s="42"/>
    </row>
    <row r="1239" spans="1:32" s="19" customFormat="1" x14ac:dyDescent="0.2">
      <c r="A1239" s="37"/>
      <c r="B1239" s="37"/>
      <c r="C1239" s="170"/>
      <c r="D1239" s="172"/>
      <c r="F1239" s="172"/>
      <c r="G1239" s="172"/>
      <c r="H1239" s="245"/>
      <c r="I1239" s="245"/>
      <c r="J1239" s="172"/>
      <c r="K1239" s="172"/>
      <c r="L1239" s="172"/>
      <c r="M1239" s="200"/>
      <c r="N1239" s="515"/>
      <c r="O1239" s="515"/>
      <c r="P1239" s="515"/>
      <c r="Q1239" s="371"/>
      <c r="R1239" s="371"/>
      <c r="S1239" s="371"/>
      <c r="T1239" s="371"/>
      <c r="U1239" s="29"/>
      <c r="V1239" s="30"/>
      <c r="W1239" s="30"/>
      <c r="X1239" s="29"/>
      <c r="Y1239" s="30"/>
      <c r="Z1239" s="30"/>
      <c r="AA1239" s="299"/>
      <c r="AE1239" s="42"/>
      <c r="AF1239" s="42"/>
    </row>
    <row r="1240" spans="1:32" s="19" customFormat="1" x14ac:dyDescent="0.2">
      <c r="A1240" s="37"/>
      <c r="B1240" s="37"/>
      <c r="C1240" s="170"/>
      <c r="D1240" s="172"/>
      <c r="F1240" s="172"/>
      <c r="G1240" s="172"/>
      <c r="H1240" s="245"/>
      <c r="I1240" s="245"/>
      <c r="J1240" s="172"/>
      <c r="K1240" s="172"/>
      <c r="L1240" s="172"/>
      <c r="M1240" s="200"/>
      <c r="N1240" s="515"/>
      <c r="O1240" s="515"/>
      <c r="P1240" s="515"/>
      <c r="Q1240" s="371"/>
      <c r="R1240" s="371"/>
      <c r="S1240" s="371"/>
      <c r="T1240" s="371"/>
      <c r="U1240" s="29"/>
      <c r="V1240" s="30"/>
      <c r="W1240" s="30"/>
      <c r="X1240" s="29"/>
      <c r="Y1240" s="30"/>
      <c r="Z1240" s="30"/>
      <c r="AA1240" s="299"/>
      <c r="AE1240" s="42"/>
      <c r="AF1240" s="42"/>
    </row>
    <row r="1241" spans="1:32" s="19" customFormat="1" x14ac:dyDescent="0.2">
      <c r="A1241" s="37"/>
      <c r="B1241" s="37"/>
      <c r="C1241" s="170"/>
      <c r="D1241" s="172"/>
      <c r="F1241" s="172"/>
      <c r="G1241" s="172"/>
      <c r="H1241" s="245"/>
      <c r="I1241" s="245"/>
      <c r="J1241" s="172"/>
      <c r="K1241" s="172"/>
      <c r="L1241" s="172"/>
      <c r="M1241" s="200"/>
      <c r="N1241" s="515"/>
      <c r="O1241" s="515"/>
      <c r="P1241" s="515"/>
      <c r="Q1241" s="371"/>
      <c r="R1241" s="371"/>
      <c r="S1241" s="371"/>
      <c r="T1241" s="371"/>
      <c r="U1241" s="29"/>
      <c r="V1241" s="30"/>
      <c r="W1241" s="30"/>
      <c r="X1241" s="29"/>
      <c r="Y1241" s="30"/>
      <c r="Z1241" s="30"/>
      <c r="AA1241" s="299"/>
      <c r="AE1241" s="42"/>
      <c r="AF1241" s="42"/>
    </row>
    <row r="1242" spans="1:32" s="19" customFormat="1" x14ac:dyDescent="0.2">
      <c r="A1242" s="37"/>
      <c r="B1242" s="37"/>
      <c r="C1242" s="170"/>
      <c r="D1242" s="172"/>
      <c r="F1242" s="172"/>
      <c r="G1242" s="172"/>
      <c r="H1242" s="245"/>
      <c r="I1242" s="245"/>
      <c r="J1242" s="172"/>
      <c r="K1242" s="172"/>
      <c r="L1242" s="172"/>
      <c r="M1242" s="200"/>
      <c r="N1242" s="515"/>
      <c r="O1242" s="515"/>
      <c r="P1242" s="515"/>
      <c r="Q1242" s="371"/>
      <c r="R1242" s="371"/>
      <c r="S1242" s="371"/>
      <c r="T1242" s="371"/>
      <c r="U1242" s="29"/>
      <c r="V1242" s="30"/>
      <c r="W1242" s="30"/>
      <c r="X1242" s="29"/>
      <c r="Y1242" s="30"/>
      <c r="Z1242" s="30"/>
      <c r="AA1242" s="299"/>
      <c r="AE1242" s="42"/>
      <c r="AF1242" s="42"/>
    </row>
    <row r="1243" spans="1:32" s="19" customFormat="1" x14ac:dyDescent="0.2">
      <c r="A1243" s="37"/>
      <c r="B1243" s="37"/>
      <c r="C1243" s="170"/>
      <c r="D1243" s="172"/>
      <c r="F1243" s="172"/>
      <c r="G1243" s="172"/>
      <c r="H1243" s="245"/>
      <c r="I1243" s="245"/>
      <c r="J1243" s="172"/>
      <c r="K1243" s="172"/>
      <c r="L1243" s="172"/>
      <c r="M1243" s="200"/>
      <c r="N1243" s="515"/>
      <c r="O1243" s="515"/>
      <c r="P1243" s="515"/>
      <c r="Q1243" s="371"/>
      <c r="R1243" s="371"/>
      <c r="S1243" s="371"/>
      <c r="T1243" s="371"/>
      <c r="U1243" s="29"/>
      <c r="V1243" s="30"/>
      <c r="W1243" s="30"/>
      <c r="X1243" s="29"/>
      <c r="Y1243" s="30"/>
      <c r="Z1243" s="30"/>
      <c r="AA1243" s="299"/>
      <c r="AE1243" s="42"/>
      <c r="AF1243" s="42"/>
    </row>
    <row r="1244" spans="1:32" s="19" customFormat="1" x14ac:dyDescent="0.2">
      <c r="A1244" s="37"/>
      <c r="B1244" s="37"/>
      <c r="C1244" s="170"/>
      <c r="D1244" s="172"/>
      <c r="F1244" s="172"/>
      <c r="G1244" s="172"/>
      <c r="H1244" s="245"/>
      <c r="I1244" s="245"/>
      <c r="J1244" s="172"/>
      <c r="K1244" s="172"/>
      <c r="L1244" s="172"/>
      <c r="M1244" s="200"/>
      <c r="N1244" s="515"/>
      <c r="O1244" s="515"/>
      <c r="P1244" s="515"/>
      <c r="Q1244" s="371"/>
      <c r="R1244" s="371"/>
      <c r="S1244" s="371"/>
      <c r="T1244" s="371"/>
      <c r="U1244" s="29"/>
      <c r="V1244" s="30"/>
      <c r="W1244" s="30"/>
      <c r="X1244" s="29"/>
      <c r="Y1244" s="30"/>
      <c r="Z1244" s="30"/>
      <c r="AA1244" s="299"/>
      <c r="AE1244" s="42"/>
      <c r="AF1244" s="42"/>
    </row>
    <row r="1245" spans="1:32" s="19" customFormat="1" x14ac:dyDescent="0.2">
      <c r="A1245" s="37"/>
      <c r="B1245" s="37"/>
      <c r="C1245" s="170"/>
      <c r="D1245" s="172"/>
      <c r="F1245" s="172"/>
      <c r="G1245" s="172"/>
      <c r="H1245" s="245"/>
      <c r="I1245" s="245"/>
      <c r="J1245" s="172"/>
      <c r="K1245" s="172"/>
      <c r="L1245" s="172"/>
      <c r="M1245" s="200"/>
      <c r="N1245" s="515"/>
      <c r="O1245" s="515"/>
      <c r="P1245" s="515"/>
      <c r="Q1245" s="371"/>
      <c r="R1245" s="371"/>
      <c r="S1245" s="371"/>
      <c r="T1245" s="371"/>
      <c r="U1245" s="29"/>
      <c r="V1245" s="30"/>
      <c r="W1245" s="30"/>
      <c r="X1245" s="29"/>
      <c r="Y1245" s="30"/>
      <c r="Z1245" s="30"/>
      <c r="AA1245" s="299"/>
      <c r="AE1245" s="42"/>
      <c r="AF1245" s="42"/>
    </row>
    <row r="1246" spans="1:32" s="19" customFormat="1" x14ac:dyDescent="0.2">
      <c r="A1246" s="37"/>
      <c r="B1246" s="37"/>
      <c r="C1246" s="170"/>
      <c r="D1246" s="172"/>
      <c r="F1246" s="172"/>
      <c r="G1246" s="172"/>
      <c r="H1246" s="245"/>
      <c r="I1246" s="245"/>
      <c r="J1246" s="172"/>
      <c r="K1246" s="172"/>
      <c r="L1246" s="172"/>
      <c r="M1246" s="200"/>
      <c r="N1246" s="515"/>
      <c r="O1246" s="515"/>
      <c r="P1246" s="515"/>
      <c r="Q1246" s="371"/>
      <c r="R1246" s="371"/>
      <c r="S1246" s="371"/>
      <c r="T1246" s="371"/>
      <c r="U1246" s="29"/>
      <c r="V1246" s="30"/>
      <c r="W1246" s="30"/>
      <c r="X1246" s="29"/>
      <c r="Y1246" s="30"/>
      <c r="Z1246" s="30"/>
      <c r="AA1246" s="299"/>
      <c r="AE1246" s="42"/>
      <c r="AF1246" s="42"/>
    </row>
    <row r="1247" spans="1:32" s="19" customFormat="1" x14ac:dyDescent="0.2">
      <c r="A1247" s="37"/>
      <c r="B1247" s="37"/>
      <c r="C1247" s="170"/>
      <c r="D1247" s="172"/>
      <c r="F1247" s="172"/>
      <c r="G1247" s="172"/>
      <c r="H1247" s="245"/>
      <c r="I1247" s="245"/>
      <c r="J1247" s="172"/>
      <c r="K1247" s="172"/>
      <c r="L1247" s="172"/>
      <c r="M1247" s="200"/>
      <c r="N1247" s="515"/>
      <c r="O1247" s="515"/>
      <c r="P1247" s="515"/>
      <c r="Q1247" s="371"/>
      <c r="R1247" s="371"/>
      <c r="S1247" s="371"/>
      <c r="T1247" s="371"/>
      <c r="U1247" s="29"/>
      <c r="V1247" s="30"/>
      <c r="W1247" s="30"/>
      <c r="X1247" s="29"/>
      <c r="Y1247" s="30"/>
      <c r="Z1247" s="30"/>
      <c r="AA1247" s="299"/>
      <c r="AE1247" s="42"/>
      <c r="AF1247" s="42"/>
    </row>
    <row r="1248" spans="1:32" s="19" customFormat="1" x14ac:dyDescent="0.2">
      <c r="A1248" s="37"/>
      <c r="B1248" s="37"/>
      <c r="C1248" s="170"/>
      <c r="D1248" s="172"/>
      <c r="F1248" s="172"/>
      <c r="G1248" s="172"/>
      <c r="H1248" s="245"/>
      <c r="I1248" s="245"/>
      <c r="J1248" s="172"/>
      <c r="K1248" s="172"/>
      <c r="L1248" s="172"/>
      <c r="M1248" s="200"/>
      <c r="N1248" s="515"/>
      <c r="O1248" s="515"/>
      <c r="P1248" s="515"/>
      <c r="Q1248" s="371"/>
      <c r="R1248" s="371"/>
      <c r="S1248" s="371"/>
      <c r="T1248" s="371"/>
      <c r="U1248" s="29"/>
      <c r="V1248" s="30"/>
      <c r="W1248" s="30"/>
      <c r="X1248" s="29"/>
      <c r="Y1248" s="30"/>
      <c r="Z1248" s="30"/>
      <c r="AA1248" s="299"/>
      <c r="AE1248" s="42"/>
      <c r="AF1248" s="42"/>
    </row>
    <row r="1249" spans="1:32" s="19" customFormat="1" x14ac:dyDescent="0.2">
      <c r="A1249" s="37"/>
      <c r="B1249" s="37"/>
      <c r="C1249" s="170"/>
      <c r="D1249" s="172"/>
      <c r="F1249" s="172"/>
      <c r="G1249" s="172"/>
      <c r="H1249" s="245"/>
      <c r="I1249" s="245"/>
      <c r="J1249" s="172"/>
      <c r="K1249" s="172"/>
      <c r="L1249" s="172"/>
      <c r="M1249" s="200"/>
      <c r="N1249" s="515"/>
      <c r="O1249" s="515"/>
      <c r="P1249" s="515"/>
      <c r="Q1249" s="371"/>
      <c r="R1249" s="371"/>
      <c r="S1249" s="371"/>
      <c r="T1249" s="371"/>
      <c r="U1249" s="29"/>
      <c r="V1249" s="30"/>
      <c r="W1249" s="30"/>
      <c r="X1249" s="29"/>
      <c r="Y1249" s="30"/>
      <c r="Z1249" s="30"/>
      <c r="AA1249" s="299"/>
      <c r="AE1249" s="42"/>
      <c r="AF1249" s="42"/>
    </row>
    <row r="1250" spans="1:32" s="19" customFormat="1" x14ac:dyDescent="0.2">
      <c r="A1250" s="37"/>
      <c r="B1250" s="37"/>
      <c r="C1250" s="170"/>
      <c r="D1250" s="172"/>
      <c r="F1250" s="172"/>
      <c r="G1250" s="172"/>
      <c r="H1250" s="245"/>
      <c r="I1250" s="245"/>
      <c r="J1250" s="172"/>
      <c r="K1250" s="172"/>
      <c r="L1250" s="172"/>
      <c r="M1250" s="200"/>
      <c r="N1250" s="515"/>
      <c r="O1250" s="515"/>
      <c r="P1250" s="515"/>
      <c r="Q1250" s="371"/>
      <c r="R1250" s="371"/>
      <c r="S1250" s="371"/>
      <c r="T1250" s="371"/>
      <c r="U1250" s="29"/>
      <c r="V1250" s="30"/>
      <c r="W1250" s="30"/>
      <c r="X1250" s="29"/>
      <c r="Y1250" s="30"/>
      <c r="Z1250" s="30"/>
      <c r="AA1250" s="299"/>
      <c r="AE1250" s="42"/>
      <c r="AF1250" s="42"/>
    </row>
    <row r="1251" spans="1:32" s="19" customFormat="1" x14ac:dyDescent="0.2">
      <c r="A1251" s="37"/>
      <c r="B1251" s="37"/>
      <c r="C1251" s="170"/>
      <c r="D1251" s="172"/>
      <c r="F1251" s="172"/>
      <c r="G1251" s="172"/>
      <c r="H1251" s="245"/>
      <c r="I1251" s="245"/>
      <c r="J1251" s="172"/>
      <c r="K1251" s="172"/>
      <c r="L1251" s="172"/>
      <c r="M1251" s="200"/>
      <c r="N1251" s="515"/>
      <c r="O1251" s="515"/>
      <c r="P1251" s="515"/>
      <c r="Q1251" s="371"/>
      <c r="R1251" s="371"/>
      <c r="S1251" s="371"/>
      <c r="T1251" s="371"/>
      <c r="U1251" s="29"/>
      <c r="V1251" s="30"/>
      <c r="W1251" s="30"/>
      <c r="X1251" s="29"/>
      <c r="Y1251" s="30"/>
      <c r="Z1251" s="30"/>
      <c r="AA1251" s="299"/>
      <c r="AE1251" s="42"/>
      <c r="AF1251" s="42"/>
    </row>
    <row r="1252" spans="1:32" s="19" customFormat="1" x14ac:dyDescent="0.2">
      <c r="A1252" s="37"/>
      <c r="B1252" s="37"/>
      <c r="C1252" s="170"/>
      <c r="D1252" s="172"/>
      <c r="F1252" s="172"/>
      <c r="G1252" s="172"/>
      <c r="H1252" s="245"/>
      <c r="I1252" s="245"/>
      <c r="J1252" s="172"/>
      <c r="K1252" s="172"/>
      <c r="L1252" s="172"/>
      <c r="M1252" s="200"/>
      <c r="N1252" s="515"/>
      <c r="O1252" s="515"/>
      <c r="P1252" s="515"/>
      <c r="Q1252" s="371"/>
      <c r="R1252" s="371"/>
      <c r="S1252" s="371"/>
      <c r="T1252" s="371"/>
      <c r="U1252" s="29"/>
      <c r="V1252" s="30"/>
      <c r="W1252" s="30"/>
      <c r="X1252" s="29"/>
      <c r="Y1252" s="30"/>
      <c r="Z1252" s="30"/>
      <c r="AA1252" s="299"/>
      <c r="AE1252" s="42"/>
      <c r="AF1252" s="42"/>
    </row>
    <row r="1253" spans="1:32" s="19" customFormat="1" x14ac:dyDescent="0.2">
      <c r="A1253" s="37"/>
      <c r="B1253" s="37"/>
      <c r="C1253" s="170"/>
      <c r="D1253" s="172"/>
      <c r="F1253" s="172"/>
      <c r="G1253" s="172"/>
      <c r="H1253" s="245"/>
      <c r="I1253" s="245"/>
      <c r="J1253" s="172"/>
      <c r="K1253" s="172"/>
      <c r="L1253" s="172"/>
      <c r="M1253" s="200"/>
      <c r="N1253" s="515"/>
      <c r="O1253" s="515"/>
      <c r="P1253" s="515"/>
      <c r="Q1253" s="371"/>
      <c r="R1253" s="371"/>
      <c r="S1253" s="371"/>
      <c r="T1253" s="371"/>
      <c r="U1253" s="29"/>
      <c r="V1253" s="30"/>
      <c r="W1253" s="30"/>
      <c r="X1253" s="29"/>
      <c r="Y1253" s="30"/>
      <c r="Z1253" s="30"/>
      <c r="AA1253" s="299"/>
      <c r="AE1253" s="42"/>
      <c r="AF1253" s="42"/>
    </row>
    <row r="1254" spans="1:32" s="19" customFormat="1" x14ac:dyDescent="0.2">
      <c r="A1254" s="37"/>
      <c r="B1254" s="37"/>
      <c r="C1254" s="170"/>
      <c r="D1254" s="172"/>
      <c r="F1254" s="172"/>
      <c r="G1254" s="172"/>
      <c r="H1254" s="245"/>
      <c r="I1254" s="245"/>
      <c r="J1254" s="172"/>
      <c r="K1254" s="172"/>
      <c r="L1254" s="172"/>
      <c r="M1254" s="200"/>
      <c r="N1254" s="515"/>
      <c r="O1254" s="515"/>
      <c r="P1254" s="515"/>
      <c r="Q1254" s="371"/>
      <c r="R1254" s="371"/>
      <c r="S1254" s="371"/>
      <c r="T1254" s="371"/>
      <c r="U1254" s="29"/>
      <c r="V1254" s="30"/>
      <c r="W1254" s="30"/>
      <c r="X1254" s="29"/>
      <c r="Y1254" s="30"/>
      <c r="Z1254" s="30"/>
      <c r="AA1254" s="299"/>
      <c r="AE1254" s="42"/>
      <c r="AF1254" s="42"/>
    </row>
    <row r="1255" spans="1:32" s="19" customFormat="1" x14ac:dyDescent="0.2">
      <c r="A1255" s="37"/>
      <c r="B1255" s="37"/>
      <c r="C1255" s="170"/>
      <c r="D1255" s="172"/>
      <c r="F1255" s="172"/>
      <c r="G1255" s="172"/>
      <c r="H1255" s="245"/>
      <c r="I1255" s="245"/>
      <c r="J1255" s="172"/>
      <c r="K1255" s="172"/>
      <c r="L1255" s="172"/>
      <c r="M1255" s="200"/>
      <c r="N1255" s="515"/>
      <c r="O1255" s="515"/>
      <c r="P1255" s="515"/>
      <c r="Q1255" s="371"/>
      <c r="R1255" s="371"/>
      <c r="S1255" s="371"/>
      <c r="T1255" s="371"/>
      <c r="U1255" s="29"/>
      <c r="V1255" s="30"/>
      <c r="W1255" s="30"/>
      <c r="X1255" s="29"/>
      <c r="Y1255" s="30"/>
      <c r="Z1255" s="30"/>
      <c r="AA1255" s="299"/>
      <c r="AE1255" s="42"/>
      <c r="AF1255" s="42"/>
    </row>
    <row r="1256" spans="1:32" s="19" customFormat="1" x14ac:dyDescent="0.2">
      <c r="A1256" s="37"/>
      <c r="B1256" s="37"/>
      <c r="C1256" s="170"/>
      <c r="D1256" s="172"/>
      <c r="F1256" s="172"/>
      <c r="G1256" s="172"/>
      <c r="H1256" s="245"/>
      <c r="I1256" s="245"/>
      <c r="J1256" s="172"/>
      <c r="K1256" s="172"/>
      <c r="L1256" s="172"/>
      <c r="M1256" s="200"/>
      <c r="N1256" s="515"/>
      <c r="O1256" s="515"/>
      <c r="P1256" s="515"/>
      <c r="Q1256" s="371"/>
      <c r="R1256" s="371"/>
      <c r="S1256" s="371"/>
      <c r="T1256" s="371"/>
      <c r="U1256" s="29"/>
      <c r="V1256" s="30"/>
      <c r="W1256" s="30"/>
      <c r="X1256" s="29"/>
      <c r="Y1256" s="30"/>
      <c r="Z1256" s="30"/>
      <c r="AA1256" s="299"/>
      <c r="AE1256" s="42"/>
      <c r="AF1256" s="42"/>
    </row>
    <row r="1257" spans="1:32" s="19" customFormat="1" x14ac:dyDescent="0.2">
      <c r="A1257" s="37"/>
      <c r="B1257" s="37"/>
      <c r="C1257" s="170"/>
      <c r="D1257" s="172"/>
      <c r="F1257" s="172"/>
      <c r="G1257" s="172"/>
      <c r="H1257" s="245"/>
      <c r="I1257" s="245"/>
      <c r="J1257" s="172"/>
      <c r="K1257" s="172"/>
      <c r="L1257" s="172"/>
      <c r="M1257" s="200"/>
      <c r="N1257" s="515"/>
      <c r="O1257" s="515"/>
      <c r="P1257" s="515"/>
      <c r="Q1257" s="371"/>
      <c r="R1257" s="371"/>
      <c r="S1257" s="371"/>
      <c r="T1257" s="371"/>
      <c r="U1257" s="29"/>
      <c r="V1257" s="30"/>
      <c r="W1257" s="30"/>
      <c r="X1257" s="29"/>
      <c r="Y1257" s="30"/>
      <c r="Z1257" s="30"/>
      <c r="AA1257" s="299"/>
      <c r="AE1257" s="42"/>
      <c r="AF1257" s="42"/>
    </row>
    <row r="1258" spans="1:32" s="19" customFormat="1" x14ac:dyDescent="0.2">
      <c r="A1258" s="37"/>
      <c r="B1258" s="37"/>
      <c r="C1258" s="170"/>
      <c r="D1258" s="172"/>
      <c r="F1258" s="172"/>
      <c r="G1258" s="172"/>
      <c r="H1258" s="245"/>
      <c r="I1258" s="245"/>
      <c r="J1258" s="172"/>
      <c r="K1258" s="172"/>
      <c r="L1258" s="172"/>
      <c r="M1258" s="200"/>
      <c r="N1258" s="515"/>
      <c r="O1258" s="515"/>
      <c r="P1258" s="515"/>
      <c r="Q1258" s="371"/>
      <c r="R1258" s="371"/>
      <c r="S1258" s="371"/>
      <c r="T1258" s="371"/>
      <c r="U1258" s="29"/>
      <c r="V1258" s="30"/>
      <c r="W1258" s="30"/>
      <c r="X1258" s="29"/>
      <c r="Y1258" s="30"/>
      <c r="Z1258" s="30"/>
      <c r="AA1258" s="299"/>
      <c r="AE1258" s="42"/>
      <c r="AF1258" s="42"/>
    </row>
    <row r="1259" spans="1:32" s="19" customFormat="1" x14ac:dyDescent="0.2">
      <c r="A1259" s="37"/>
      <c r="B1259" s="37"/>
      <c r="C1259" s="170"/>
      <c r="D1259" s="172"/>
      <c r="F1259" s="172"/>
      <c r="G1259" s="172"/>
      <c r="H1259" s="245"/>
      <c r="I1259" s="245"/>
      <c r="J1259" s="172"/>
      <c r="K1259" s="172"/>
      <c r="L1259" s="172"/>
      <c r="M1259" s="200"/>
      <c r="N1259" s="515"/>
      <c r="O1259" s="515"/>
      <c r="P1259" s="515"/>
      <c r="Q1259" s="371"/>
      <c r="R1259" s="371"/>
      <c r="S1259" s="371"/>
      <c r="T1259" s="371"/>
      <c r="U1259" s="29"/>
      <c r="V1259" s="30"/>
      <c r="W1259" s="30"/>
      <c r="X1259" s="29"/>
      <c r="Y1259" s="30"/>
      <c r="Z1259" s="30"/>
      <c r="AA1259" s="299"/>
      <c r="AE1259" s="42"/>
      <c r="AF1259" s="42"/>
    </row>
    <row r="1260" spans="1:32" s="19" customFormat="1" x14ac:dyDescent="0.2">
      <c r="A1260" s="37"/>
      <c r="B1260" s="37"/>
      <c r="C1260" s="170"/>
      <c r="D1260" s="172"/>
      <c r="F1260" s="172"/>
      <c r="G1260" s="172"/>
      <c r="H1260" s="245"/>
      <c r="I1260" s="245"/>
      <c r="J1260" s="172"/>
      <c r="K1260" s="172"/>
      <c r="L1260" s="172"/>
      <c r="M1260" s="200"/>
      <c r="N1260" s="515"/>
      <c r="O1260" s="515"/>
      <c r="P1260" s="515"/>
      <c r="Q1260" s="371"/>
      <c r="R1260" s="371"/>
      <c r="S1260" s="371"/>
      <c r="T1260" s="371"/>
      <c r="U1260" s="29"/>
      <c r="V1260" s="30"/>
      <c r="W1260" s="30"/>
      <c r="X1260" s="29"/>
      <c r="Y1260" s="30"/>
      <c r="Z1260" s="30"/>
      <c r="AA1260" s="299"/>
      <c r="AE1260" s="42"/>
      <c r="AF1260" s="42"/>
    </row>
    <row r="1261" spans="1:32" s="19" customFormat="1" x14ac:dyDescent="0.2">
      <c r="A1261" s="37"/>
      <c r="B1261" s="37"/>
      <c r="C1261" s="170"/>
      <c r="D1261" s="172"/>
      <c r="F1261" s="172"/>
      <c r="G1261" s="172"/>
      <c r="H1261" s="245"/>
      <c r="I1261" s="245"/>
      <c r="J1261" s="172"/>
      <c r="K1261" s="172"/>
      <c r="L1261" s="172"/>
      <c r="M1261" s="200"/>
      <c r="N1261" s="515"/>
      <c r="O1261" s="515"/>
      <c r="P1261" s="515"/>
      <c r="Q1261" s="371"/>
      <c r="R1261" s="371"/>
      <c r="S1261" s="371"/>
      <c r="T1261" s="371"/>
      <c r="U1261" s="29"/>
      <c r="V1261" s="30"/>
      <c r="W1261" s="30"/>
      <c r="X1261" s="29"/>
      <c r="Y1261" s="30"/>
      <c r="Z1261" s="30"/>
      <c r="AA1261" s="299"/>
      <c r="AE1261" s="42"/>
      <c r="AF1261" s="42"/>
    </row>
    <row r="1262" spans="1:32" s="19" customFormat="1" x14ac:dyDescent="0.2">
      <c r="A1262" s="37"/>
      <c r="B1262" s="37"/>
      <c r="C1262" s="170"/>
      <c r="D1262" s="172"/>
      <c r="F1262" s="172"/>
      <c r="G1262" s="172"/>
      <c r="H1262" s="245"/>
      <c r="I1262" s="245"/>
      <c r="J1262" s="172"/>
      <c r="K1262" s="172"/>
      <c r="L1262" s="172"/>
      <c r="M1262" s="200"/>
      <c r="N1262" s="515"/>
      <c r="O1262" s="515"/>
      <c r="P1262" s="515"/>
      <c r="Q1262" s="371"/>
      <c r="R1262" s="371"/>
      <c r="S1262" s="371"/>
      <c r="T1262" s="371"/>
      <c r="U1262" s="29"/>
      <c r="V1262" s="30"/>
      <c r="W1262" s="30"/>
      <c r="X1262" s="29"/>
      <c r="Y1262" s="30"/>
      <c r="Z1262" s="30"/>
      <c r="AA1262" s="299"/>
      <c r="AE1262" s="42"/>
      <c r="AF1262" s="42"/>
    </row>
    <row r="1263" spans="1:32" s="19" customFormat="1" x14ac:dyDescent="0.2">
      <c r="A1263" s="37"/>
      <c r="B1263" s="37"/>
      <c r="C1263" s="170"/>
      <c r="D1263" s="172"/>
      <c r="F1263" s="172"/>
      <c r="G1263" s="172"/>
      <c r="H1263" s="245"/>
      <c r="I1263" s="245"/>
      <c r="J1263" s="172"/>
      <c r="K1263" s="172"/>
      <c r="L1263" s="172"/>
      <c r="M1263" s="200"/>
      <c r="N1263" s="515"/>
      <c r="O1263" s="515"/>
      <c r="P1263" s="515"/>
      <c r="Q1263" s="371"/>
      <c r="R1263" s="371"/>
      <c r="S1263" s="371"/>
      <c r="T1263" s="371"/>
      <c r="U1263" s="29"/>
      <c r="V1263" s="30"/>
      <c r="W1263" s="30"/>
      <c r="X1263" s="29"/>
      <c r="Y1263" s="30"/>
      <c r="Z1263" s="30"/>
      <c r="AA1263" s="299"/>
      <c r="AE1263" s="42"/>
      <c r="AF1263" s="42"/>
    </row>
    <row r="1264" spans="1:32" s="19" customFormat="1" x14ac:dyDescent="0.2">
      <c r="A1264" s="37"/>
      <c r="B1264" s="37"/>
      <c r="C1264" s="170"/>
      <c r="D1264" s="172"/>
      <c r="F1264" s="172"/>
      <c r="G1264" s="172"/>
      <c r="H1264" s="245"/>
      <c r="I1264" s="245"/>
      <c r="J1264" s="172"/>
      <c r="K1264" s="172"/>
      <c r="L1264" s="172"/>
      <c r="M1264" s="200"/>
      <c r="N1264" s="515"/>
      <c r="O1264" s="515"/>
      <c r="P1264" s="515"/>
      <c r="Q1264" s="371"/>
      <c r="R1264" s="371"/>
      <c r="S1264" s="371"/>
      <c r="T1264" s="371"/>
      <c r="U1264" s="29"/>
      <c r="V1264" s="30"/>
      <c r="W1264" s="30"/>
      <c r="X1264" s="29"/>
      <c r="Y1264" s="30"/>
      <c r="Z1264" s="30"/>
      <c r="AA1264" s="299"/>
      <c r="AE1264" s="42"/>
      <c r="AF1264" s="42"/>
    </row>
    <row r="1265" spans="1:32" s="19" customFormat="1" x14ac:dyDescent="0.2">
      <c r="A1265" s="37"/>
      <c r="B1265" s="37"/>
      <c r="C1265" s="170"/>
      <c r="D1265" s="172"/>
      <c r="F1265" s="172"/>
      <c r="G1265" s="172"/>
      <c r="H1265" s="245"/>
      <c r="I1265" s="245"/>
      <c r="J1265" s="172"/>
      <c r="K1265" s="172"/>
      <c r="L1265" s="172"/>
      <c r="M1265" s="200"/>
      <c r="N1265" s="515"/>
      <c r="O1265" s="515"/>
      <c r="P1265" s="515"/>
      <c r="Q1265" s="371"/>
      <c r="R1265" s="371"/>
      <c r="S1265" s="371"/>
      <c r="T1265" s="371"/>
      <c r="U1265" s="29"/>
      <c r="V1265" s="30"/>
      <c r="W1265" s="30"/>
      <c r="X1265" s="29"/>
      <c r="Y1265" s="30"/>
      <c r="Z1265" s="30"/>
      <c r="AA1265" s="299"/>
      <c r="AE1265" s="42"/>
      <c r="AF1265" s="42"/>
    </row>
    <row r="1266" spans="1:32" s="19" customFormat="1" x14ac:dyDescent="0.2">
      <c r="A1266" s="37"/>
      <c r="B1266" s="37"/>
      <c r="C1266" s="170"/>
      <c r="D1266" s="172"/>
      <c r="F1266" s="172"/>
      <c r="G1266" s="172"/>
      <c r="H1266" s="245"/>
      <c r="I1266" s="245"/>
      <c r="J1266" s="172"/>
      <c r="K1266" s="172"/>
      <c r="L1266" s="172"/>
      <c r="M1266" s="200"/>
      <c r="N1266" s="515"/>
      <c r="O1266" s="515"/>
      <c r="P1266" s="515"/>
      <c r="Q1266" s="371"/>
      <c r="R1266" s="371"/>
      <c r="S1266" s="371"/>
      <c r="T1266" s="371"/>
      <c r="U1266" s="29"/>
      <c r="V1266" s="30"/>
      <c r="W1266" s="30"/>
      <c r="X1266" s="29"/>
      <c r="Y1266" s="30"/>
      <c r="Z1266" s="30"/>
      <c r="AA1266" s="299"/>
      <c r="AE1266" s="42"/>
      <c r="AF1266" s="42"/>
    </row>
    <row r="1267" spans="1:32" s="19" customFormat="1" x14ac:dyDescent="0.2">
      <c r="A1267" s="37"/>
      <c r="B1267" s="37"/>
      <c r="C1267" s="170"/>
      <c r="D1267" s="172"/>
      <c r="F1267" s="172"/>
      <c r="G1267" s="172"/>
      <c r="H1267" s="245"/>
      <c r="I1267" s="245"/>
      <c r="J1267" s="172"/>
      <c r="K1267" s="172"/>
      <c r="L1267" s="172"/>
      <c r="M1267" s="200"/>
      <c r="N1267" s="515"/>
      <c r="O1267" s="515"/>
      <c r="P1267" s="515"/>
      <c r="Q1267" s="371"/>
      <c r="R1267" s="371"/>
      <c r="S1267" s="371"/>
      <c r="T1267" s="371"/>
      <c r="U1267" s="29"/>
      <c r="V1267" s="30"/>
      <c r="W1267" s="30"/>
      <c r="X1267" s="29"/>
      <c r="Y1267" s="30"/>
      <c r="Z1267" s="30"/>
      <c r="AA1267" s="299"/>
      <c r="AE1267" s="42"/>
      <c r="AF1267" s="42"/>
    </row>
    <row r="1268" spans="1:32" s="19" customFormat="1" x14ac:dyDescent="0.2">
      <c r="A1268" s="37"/>
      <c r="B1268" s="37"/>
      <c r="C1268" s="170"/>
      <c r="D1268" s="172"/>
      <c r="F1268" s="172"/>
      <c r="G1268" s="172"/>
      <c r="H1268" s="245"/>
      <c r="I1268" s="245"/>
      <c r="J1268" s="172"/>
      <c r="K1268" s="172"/>
      <c r="L1268" s="172"/>
      <c r="M1268" s="200"/>
      <c r="N1268" s="515"/>
      <c r="O1268" s="515"/>
      <c r="P1268" s="515"/>
      <c r="Q1268" s="371"/>
      <c r="R1268" s="371"/>
      <c r="S1268" s="371"/>
      <c r="T1268" s="371"/>
      <c r="U1268" s="29"/>
      <c r="V1268" s="30"/>
      <c r="W1268" s="30"/>
      <c r="X1268" s="29"/>
      <c r="Y1268" s="30"/>
      <c r="Z1268" s="30"/>
      <c r="AA1268" s="299"/>
      <c r="AE1268" s="42"/>
      <c r="AF1268" s="42"/>
    </row>
    <row r="1269" spans="1:32" s="19" customFormat="1" x14ac:dyDescent="0.2">
      <c r="A1269" s="37"/>
      <c r="B1269" s="37"/>
      <c r="C1269" s="170"/>
      <c r="D1269" s="172"/>
      <c r="F1269" s="172"/>
      <c r="G1269" s="172"/>
      <c r="H1269" s="245"/>
      <c r="I1269" s="245"/>
      <c r="J1269" s="172"/>
      <c r="K1269" s="172"/>
      <c r="L1269" s="172"/>
      <c r="M1269" s="200"/>
      <c r="N1269" s="515"/>
      <c r="O1269" s="515"/>
      <c r="P1269" s="515"/>
      <c r="Q1269" s="371"/>
      <c r="R1269" s="371"/>
      <c r="S1269" s="371"/>
      <c r="T1269" s="371"/>
      <c r="U1269" s="29"/>
      <c r="V1269" s="30"/>
      <c r="W1269" s="30"/>
      <c r="X1269" s="29"/>
      <c r="Y1269" s="30"/>
      <c r="Z1269" s="30"/>
      <c r="AA1269" s="299"/>
      <c r="AE1269" s="42"/>
      <c r="AF1269" s="42"/>
    </row>
    <row r="1270" spans="1:32" s="19" customFormat="1" x14ac:dyDescent="0.2">
      <c r="A1270" s="37"/>
      <c r="B1270" s="37"/>
      <c r="C1270" s="170"/>
      <c r="D1270" s="172"/>
      <c r="F1270" s="172"/>
      <c r="G1270" s="172"/>
      <c r="H1270" s="245"/>
      <c r="I1270" s="245"/>
      <c r="J1270" s="172"/>
      <c r="K1270" s="172"/>
      <c r="L1270" s="172"/>
      <c r="M1270" s="200"/>
      <c r="N1270" s="515"/>
      <c r="O1270" s="515"/>
      <c r="P1270" s="515"/>
      <c r="Q1270" s="371"/>
      <c r="R1270" s="371"/>
      <c r="S1270" s="371"/>
      <c r="T1270" s="371"/>
      <c r="U1270" s="29"/>
      <c r="V1270" s="30"/>
      <c r="W1270" s="30"/>
      <c r="X1270" s="29"/>
      <c r="Y1270" s="30"/>
      <c r="Z1270" s="30"/>
      <c r="AA1270" s="299"/>
      <c r="AE1270" s="42"/>
      <c r="AF1270" s="42"/>
    </row>
    <row r="1271" spans="1:32" s="19" customFormat="1" x14ac:dyDescent="0.2">
      <c r="A1271" s="37"/>
      <c r="B1271" s="37"/>
      <c r="C1271" s="170"/>
      <c r="D1271" s="172"/>
      <c r="F1271" s="172"/>
      <c r="G1271" s="172"/>
      <c r="H1271" s="245"/>
      <c r="I1271" s="245"/>
      <c r="J1271" s="172"/>
      <c r="K1271" s="172"/>
      <c r="L1271" s="172"/>
      <c r="M1271" s="200"/>
      <c r="N1271" s="515"/>
      <c r="O1271" s="515"/>
      <c r="P1271" s="515"/>
      <c r="Q1271" s="371"/>
      <c r="R1271" s="371"/>
      <c r="S1271" s="371"/>
      <c r="T1271" s="371"/>
      <c r="U1271" s="29"/>
      <c r="V1271" s="30"/>
      <c r="W1271" s="30"/>
      <c r="X1271" s="29"/>
      <c r="Y1271" s="30"/>
      <c r="Z1271" s="30"/>
      <c r="AA1271" s="299"/>
      <c r="AE1271" s="42"/>
      <c r="AF1271" s="42"/>
    </row>
    <row r="1272" spans="1:32" s="19" customFormat="1" x14ac:dyDescent="0.2">
      <c r="A1272" s="37"/>
      <c r="B1272" s="37"/>
      <c r="C1272" s="170"/>
      <c r="D1272" s="172"/>
      <c r="F1272" s="172"/>
      <c r="G1272" s="172"/>
      <c r="H1272" s="245"/>
      <c r="I1272" s="245"/>
      <c r="J1272" s="172"/>
      <c r="K1272" s="172"/>
      <c r="L1272" s="172"/>
      <c r="M1272" s="200"/>
      <c r="N1272" s="515"/>
      <c r="O1272" s="515"/>
      <c r="P1272" s="515"/>
      <c r="Q1272" s="371"/>
      <c r="R1272" s="371"/>
      <c r="S1272" s="371"/>
      <c r="T1272" s="371"/>
      <c r="U1272" s="29"/>
      <c r="V1272" s="30"/>
      <c r="W1272" s="30"/>
      <c r="X1272" s="29"/>
      <c r="Y1272" s="30"/>
      <c r="Z1272" s="30"/>
      <c r="AA1272" s="299"/>
      <c r="AE1272" s="42"/>
      <c r="AF1272" s="42"/>
    </row>
    <row r="1273" spans="1:32" s="19" customFormat="1" x14ac:dyDescent="0.2">
      <c r="A1273" s="37"/>
      <c r="B1273" s="37"/>
      <c r="C1273" s="170"/>
      <c r="D1273" s="172"/>
      <c r="F1273" s="172"/>
      <c r="G1273" s="172"/>
      <c r="H1273" s="245"/>
      <c r="I1273" s="245"/>
      <c r="J1273" s="172"/>
      <c r="K1273" s="172"/>
      <c r="L1273" s="172"/>
      <c r="M1273" s="200"/>
      <c r="N1273" s="515"/>
      <c r="O1273" s="515"/>
      <c r="P1273" s="515"/>
      <c r="Q1273" s="371"/>
      <c r="R1273" s="371"/>
      <c r="S1273" s="371"/>
      <c r="T1273" s="371"/>
      <c r="U1273" s="29"/>
      <c r="V1273" s="30"/>
      <c r="W1273" s="30"/>
      <c r="X1273" s="29"/>
      <c r="Y1273" s="30"/>
      <c r="Z1273" s="30"/>
      <c r="AA1273" s="299"/>
      <c r="AE1273" s="42"/>
      <c r="AF1273" s="42"/>
    </row>
    <row r="1274" spans="1:32" s="19" customFormat="1" x14ac:dyDescent="0.2">
      <c r="A1274" s="37"/>
      <c r="B1274" s="37"/>
      <c r="C1274" s="170"/>
      <c r="D1274" s="172"/>
      <c r="F1274" s="172"/>
      <c r="G1274" s="172"/>
      <c r="H1274" s="245"/>
      <c r="I1274" s="245"/>
      <c r="J1274" s="172"/>
      <c r="K1274" s="172"/>
      <c r="L1274" s="172"/>
      <c r="M1274" s="200"/>
      <c r="N1274" s="515"/>
      <c r="O1274" s="515"/>
      <c r="P1274" s="515"/>
      <c r="Q1274" s="371"/>
      <c r="R1274" s="371"/>
      <c r="S1274" s="371"/>
      <c r="T1274" s="371"/>
      <c r="U1274" s="29"/>
      <c r="V1274" s="30"/>
      <c r="W1274" s="30"/>
      <c r="X1274" s="29"/>
      <c r="Y1274" s="30"/>
      <c r="Z1274" s="30"/>
      <c r="AA1274" s="299"/>
      <c r="AE1274" s="42"/>
      <c r="AF1274" s="42"/>
    </row>
    <row r="1275" spans="1:32" s="19" customFormat="1" x14ac:dyDescent="0.2">
      <c r="A1275" s="37"/>
      <c r="B1275" s="37"/>
      <c r="C1275" s="170"/>
      <c r="D1275" s="172"/>
      <c r="F1275" s="172"/>
      <c r="G1275" s="172"/>
      <c r="H1275" s="245"/>
      <c r="I1275" s="245"/>
      <c r="J1275" s="172"/>
      <c r="K1275" s="172"/>
      <c r="L1275" s="172"/>
      <c r="M1275" s="200"/>
      <c r="N1275" s="515"/>
      <c r="O1275" s="515"/>
      <c r="P1275" s="515"/>
      <c r="Q1275" s="371"/>
      <c r="R1275" s="371"/>
      <c r="S1275" s="371"/>
      <c r="T1275" s="371"/>
      <c r="U1275" s="29"/>
      <c r="V1275" s="30"/>
      <c r="W1275" s="30"/>
      <c r="X1275" s="29"/>
      <c r="Y1275" s="30"/>
      <c r="Z1275" s="30"/>
      <c r="AA1275" s="299"/>
      <c r="AE1275" s="42"/>
      <c r="AF1275" s="42"/>
    </row>
    <row r="1276" spans="1:32" s="19" customFormat="1" x14ac:dyDescent="0.2">
      <c r="A1276" s="37"/>
      <c r="B1276" s="37"/>
      <c r="C1276" s="170"/>
      <c r="D1276" s="170"/>
      <c r="F1276" s="172"/>
      <c r="G1276" s="172"/>
      <c r="H1276" s="245"/>
      <c r="I1276" s="245"/>
      <c r="J1276" s="172"/>
      <c r="K1276" s="172"/>
      <c r="L1276" s="172"/>
      <c r="M1276" s="200"/>
      <c r="N1276" s="515"/>
      <c r="O1276" s="515"/>
      <c r="P1276" s="515"/>
      <c r="Q1276" s="371"/>
      <c r="R1276" s="371"/>
      <c r="S1276" s="371"/>
      <c r="T1276" s="371"/>
      <c r="U1276" s="29"/>
      <c r="V1276" s="30"/>
      <c r="W1276" s="30"/>
      <c r="X1276" s="29"/>
      <c r="Y1276" s="30"/>
      <c r="Z1276" s="30"/>
      <c r="AA1276" s="299"/>
      <c r="AE1276" s="42"/>
      <c r="AF1276" s="42"/>
    </row>
    <row r="1277" spans="1:32" s="19" customFormat="1" x14ac:dyDescent="0.2">
      <c r="A1277" s="37"/>
      <c r="B1277" s="37"/>
      <c r="C1277" s="170"/>
      <c r="D1277" s="172"/>
      <c r="F1277" s="172"/>
      <c r="G1277" s="172"/>
      <c r="H1277" s="245"/>
      <c r="I1277" s="245"/>
      <c r="J1277" s="172"/>
      <c r="K1277" s="172"/>
      <c r="L1277" s="172"/>
      <c r="M1277" s="200"/>
      <c r="N1277" s="515"/>
      <c r="O1277" s="515"/>
      <c r="P1277" s="515"/>
      <c r="Q1277" s="371"/>
      <c r="R1277" s="371"/>
      <c r="S1277" s="371"/>
      <c r="T1277" s="371"/>
      <c r="U1277" s="29"/>
      <c r="V1277" s="30"/>
      <c r="W1277" s="30"/>
      <c r="X1277" s="29"/>
      <c r="Y1277" s="30"/>
      <c r="Z1277" s="30"/>
      <c r="AA1277" s="299"/>
      <c r="AE1277" s="42"/>
      <c r="AF1277" s="42"/>
    </row>
    <row r="1278" spans="1:32" s="19" customFormat="1" x14ac:dyDescent="0.2">
      <c r="A1278" s="37"/>
      <c r="B1278" s="37"/>
      <c r="C1278" s="170"/>
      <c r="D1278" s="172"/>
      <c r="F1278" s="172"/>
      <c r="G1278" s="172"/>
      <c r="H1278" s="245"/>
      <c r="I1278" s="245"/>
      <c r="J1278" s="172"/>
      <c r="K1278" s="172"/>
      <c r="L1278" s="172"/>
      <c r="M1278" s="200"/>
      <c r="N1278" s="515"/>
      <c r="O1278" s="515"/>
      <c r="P1278" s="515"/>
      <c r="Q1278" s="371"/>
      <c r="R1278" s="371"/>
      <c r="S1278" s="371"/>
      <c r="T1278" s="371"/>
      <c r="U1278" s="29"/>
      <c r="V1278" s="30"/>
      <c r="W1278" s="30"/>
      <c r="X1278" s="29"/>
      <c r="Y1278" s="30"/>
      <c r="Z1278" s="30"/>
      <c r="AA1278" s="299"/>
      <c r="AE1278" s="42"/>
      <c r="AF1278" s="42"/>
    </row>
    <row r="1279" spans="1:32" s="19" customFormat="1" x14ac:dyDescent="0.2">
      <c r="A1279" s="37"/>
      <c r="B1279" s="37"/>
      <c r="C1279" s="170"/>
      <c r="D1279" s="172"/>
      <c r="F1279" s="172"/>
      <c r="G1279" s="172"/>
      <c r="H1279" s="245"/>
      <c r="I1279" s="245"/>
      <c r="J1279" s="172"/>
      <c r="K1279" s="172"/>
      <c r="L1279" s="172"/>
      <c r="M1279" s="200"/>
      <c r="N1279" s="515"/>
      <c r="O1279" s="515"/>
      <c r="P1279" s="515"/>
      <c r="Q1279" s="371"/>
      <c r="R1279" s="371"/>
      <c r="S1279" s="371"/>
      <c r="T1279" s="371"/>
      <c r="U1279" s="29"/>
      <c r="V1279" s="30"/>
      <c r="W1279" s="30"/>
      <c r="X1279" s="29"/>
      <c r="Y1279" s="30"/>
      <c r="Z1279" s="30"/>
      <c r="AA1279" s="299"/>
      <c r="AE1279" s="42"/>
      <c r="AF1279" s="42"/>
    </row>
    <row r="1280" spans="1:32" s="19" customFormat="1" x14ac:dyDescent="0.2">
      <c r="A1280" s="37"/>
      <c r="B1280" s="37"/>
      <c r="C1280" s="170"/>
      <c r="D1280" s="172"/>
      <c r="F1280" s="172"/>
      <c r="G1280" s="172"/>
      <c r="H1280" s="245"/>
      <c r="I1280" s="245"/>
      <c r="J1280" s="172"/>
      <c r="K1280" s="172"/>
      <c r="L1280" s="172"/>
      <c r="M1280" s="200"/>
      <c r="N1280" s="515"/>
      <c r="O1280" s="515"/>
      <c r="P1280" s="515"/>
      <c r="Q1280" s="371"/>
      <c r="R1280" s="371"/>
      <c r="S1280" s="371"/>
      <c r="T1280" s="371"/>
      <c r="U1280" s="29"/>
      <c r="V1280" s="30"/>
      <c r="W1280" s="30"/>
      <c r="X1280" s="29"/>
      <c r="Y1280" s="30"/>
      <c r="Z1280" s="30"/>
      <c r="AA1280" s="299"/>
      <c r="AE1280" s="42"/>
      <c r="AF1280" s="42"/>
    </row>
    <row r="1281" spans="1:32" s="19" customFormat="1" x14ac:dyDescent="0.2">
      <c r="A1281" s="37"/>
      <c r="B1281" s="37"/>
      <c r="C1281" s="170"/>
      <c r="D1281" s="172"/>
      <c r="F1281" s="172"/>
      <c r="G1281" s="172"/>
      <c r="H1281" s="245"/>
      <c r="I1281" s="245"/>
      <c r="J1281" s="172"/>
      <c r="K1281" s="172"/>
      <c r="L1281" s="172"/>
      <c r="M1281" s="200"/>
      <c r="N1281" s="515"/>
      <c r="O1281" s="515"/>
      <c r="P1281" s="515"/>
      <c r="Q1281" s="371"/>
      <c r="R1281" s="371"/>
      <c r="S1281" s="371"/>
      <c r="T1281" s="371"/>
      <c r="U1281" s="29"/>
      <c r="V1281" s="30"/>
      <c r="W1281" s="30"/>
      <c r="X1281" s="29"/>
      <c r="Y1281" s="30"/>
      <c r="Z1281" s="30"/>
      <c r="AA1281" s="299"/>
      <c r="AE1281" s="42"/>
      <c r="AF1281" s="42"/>
    </row>
    <row r="1282" spans="1:32" s="19" customFormat="1" x14ac:dyDescent="0.2">
      <c r="A1282" s="37"/>
      <c r="B1282" s="37"/>
      <c r="C1282" s="170"/>
      <c r="D1282" s="172"/>
      <c r="F1282" s="172"/>
      <c r="G1282" s="172"/>
      <c r="H1282" s="245"/>
      <c r="I1282" s="245"/>
      <c r="J1282" s="172"/>
      <c r="K1282" s="172"/>
      <c r="L1282" s="172"/>
      <c r="M1282" s="200"/>
      <c r="N1282" s="515"/>
      <c r="O1282" s="515"/>
      <c r="P1282" s="515"/>
      <c r="Q1282" s="371"/>
      <c r="R1282" s="371"/>
      <c r="S1282" s="371"/>
      <c r="T1282" s="371"/>
      <c r="U1282" s="29"/>
      <c r="V1282" s="30"/>
      <c r="W1282" s="30"/>
      <c r="X1282" s="29"/>
      <c r="Y1282" s="30"/>
      <c r="Z1282" s="30"/>
      <c r="AA1282" s="299"/>
      <c r="AE1282" s="42"/>
      <c r="AF1282" s="42"/>
    </row>
    <row r="1283" spans="1:32" s="19" customFormat="1" x14ac:dyDescent="0.2">
      <c r="A1283" s="37"/>
      <c r="B1283" s="37"/>
      <c r="C1283" s="170"/>
      <c r="D1283" s="172"/>
      <c r="F1283" s="172"/>
      <c r="G1283" s="172"/>
      <c r="H1283" s="245"/>
      <c r="I1283" s="245"/>
      <c r="J1283" s="172"/>
      <c r="K1283" s="172"/>
      <c r="L1283" s="172"/>
      <c r="M1283" s="200"/>
      <c r="N1283" s="515"/>
      <c r="O1283" s="515"/>
      <c r="P1283" s="515"/>
      <c r="Q1283" s="371"/>
      <c r="R1283" s="371"/>
      <c r="S1283" s="371"/>
      <c r="T1283" s="371"/>
      <c r="U1283" s="29"/>
      <c r="V1283" s="30"/>
      <c r="W1283" s="30"/>
      <c r="X1283" s="29"/>
      <c r="Y1283" s="30"/>
      <c r="Z1283" s="30"/>
      <c r="AA1283" s="299"/>
      <c r="AE1283" s="42"/>
      <c r="AF1283" s="42"/>
    </row>
    <row r="1284" spans="1:32" s="19" customFormat="1" x14ac:dyDescent="0.2">
      <c r="A1284" s="37"/>
      <c r="B1284" s="37"/>
      <c r="C1284" s="170"/>
      <c r="D1284" s="172"/>
      <c r="F1284" s="172"/>
      <c r="G1284" s="172"/>
      <c r="H1284" s="245"/>
      <c r="I1284" s="245"/>
      <c r="J1284" s="172"/>
      <c r="K1284" s="172"/>
      <c r="L1284" s="172"/>
      <c r="M1284" s="200"/>
      <c r="N1284" s="515"/>
      <c r="O1284" s="515"/>
      <c r="P1284" s="515"/>
      <c r="Q1284" s="371"/>
      <c r="R1284" s="371"/>
      <c r="S1284" s="371"/>
      <c r="T1284" s="371"/>
      <c r="U1284" s="29"/>
      <c r="V1284" s="30"/>
      <c r="W1284" s="30"/>
      <c r="X1284" s="29"/>
      <c r="Y1284" s="30"/>
      <c r="Z1284" s="30"/>
      <c r="AA1284" s="299"/>
      <c r="AE1284" s="42"/>
      <c r="AF1284" s="42"/>
    </row>
    <row r="1285" spans="1:32" s="19" customFormat="1" x14ac:dyDescent="0.2">
      <c r="A1285" s="37"/>
      <c r="B1285" s="37"/>
      <c r="C1285" s="170"/>
      <c r="D1285" s="172"/>
      <c r="F1285" s="172"/>
      <c r="G1285" s="172"/>
      <c r="H1285" s="245"/>
      <c r="I1285" s="245"/>
      <c r="J1285" s="172"/>
      <c r="K1285" s="172"/>
      <c r="L1285" s="172"/>
      <c r="M1285" s="200"/>
      <c r="N1285" s="515"/>
      <c r="O1285" s="515"/>
      <c r="P1285" s="515"/>
      <c r="Q1285" s="371"/>
      <c r="R1285" s="371"/>
      <c r="S1285" s="371"/>
      <c r="T1285" s="371"/>
      <c r="U1285" s="29"/>
      <c r="V1285" s="30"/>
      <c r="W1285" s="30"/>
      <c r="X1285" s="29"/>
      <c r="Y1285" s="30"/>
      <c r="Z1285" s="30"/>
      <c r="AA1285" s="299"/>
      <c r="AE1285" s="42"/>
      <c r="AF1285" s="42"/>
    </row>
    <row r="1286" spans="1:32" s="19" customFormat="1" x14ac:dyDescent="0.2">
      <c r="A1286" s="37"/>
      <c r="B1286" s="37"/>
      <c r="C1286" s="170"/>
      <c r="D1286" s="172"/>
      <c r="F1286" s="172"/>
      <c r="G1286" s="172"/>
      <c r="H1286" s="245"/>
      <c r="I1286" s="245"/>
      <c r="J1286" s="172"/>
      <c r="K1286" s="172"/>
      <c r="L1286" s="172"/>
      <c r="M1286" s="200"/>
      <c r="N1286" s="515"/>
      <c r="O1286" s="515"/>
      <c r="P1286" s="515"/>
      <c r="Q1286" s="371"/>
      <c r="R1286" s="371"/>
      <c r="S1286" s="371"/>
      <c r="T1286" s="371"/>
      <c r="U1286" s="29"/>
      <c r="V1286" s="30"/>
      <c r="W1286" s="30"/>
      <c r="X1286" s="29"/>
      <c r="Y1286" s="30"/>
      <c r="Z1286" s="30"/>
      <c r="AA1286" s="299"/>
      <c r="AE1286" s="42"/>
      <c r="AF1286" s="42"/>
    </row>
    <row r="1287" spans="1:32" s="19" customFormat="1" x14ac:dyDescent="0.2">
      <c r="A1287" s="37"/>
      <c r="B1287" s="37"/>
      <c r="C1287" s="170"/>
      <c r="D1287" s="172"/>
      <c r="F1287" s="172"/>
      <c r="G1287" s="172"/>
      <c r="H1287" s="245"/>
      <c r="I1287" s="245"/>
      <c r="J1287" s="172"/>
      <c r="K1287" s="172"/>
      <c r="L1287" s="172"/>
      <c r="M1287" s="200"/>
      <c r="N1287" s="515"/>
      <c r="O1287" s="515"/>
      <c r="P1287" s="515"/>
      <c r="Q1287" s="371"/>
      <c r="R1287" s="371"/>
      <c r="S1287" s="371"/>
      <c r="T1287" s="371"/>
      <c r="U1287" s="29"/>
      <c r="V1287" s="30"/>
      <c r="W1287" s="30"/>
      <c r="X1287" s="29"/>
      <c r="Y1287" s="30"/>
      <c r="Z1287" s="30"/>
      <c r="AA1287" s="299"/>
      <c r="AE1287" s="42"/>
      <c r="AF1287" s="42"/>
    </row>
    <row r="1288" spans="1:32" s="19" customFormat="1" x14ac:dyDescent="0.2">
      <c r="A1288" s="37"/>
      <c r="B1288" s="37"/>
      <c r="C1288" s="170"/>
      <c r="D1288" s="172"/>
      <c r="F1288" s="172"/>
      <c r="G1288" s="172"/>
      <c r="H1288" s="245"/>
      <c r="I1288" s="245"/>
      <c r="J1288" s="172"/>
      <c r="K1288" s="172"/>
      <c r="L1288" s="172"/>
      <c r="M1288" s="200"/>
      <c r="N1288" s="515"/>
      <c r="O1288" s="515"/>
      <c r="P1288" s="515"/>
      <c r="Q1288" s="371"/>
      <c r="R1288" s="371"/>
      <c r="S1288" s="371"/>
      <c r="T1288" s="371"/>
      <c r="U1288" s="29"/>
      <c r="V1288" s="30"/>
      <c r="W1288" s="30"/>
      <c r="X1288" s="29"/>
      <c r="Y1288" s="30"/>
      <c r="Z1288" s="30"/>
      <c r="AA1288" s="299"/>
      <c r="AE1288" s="42"/>
      <c r="AF1288" s="42"/>
    </row>
    <row r="1289" spans="1:32" s="19" customFormat="1" x14ac:dyDescent="0.2">
      <c r="A1289" s="37"/>
      <c r="B1289" s="37"/>
      <c r="C1289" s="170"/>
      <c r="D1289" s="172"/>
      <c r="F1289" s="172"/>
      <c r="G1289" s="172"/>
      <c r="H1289" s="245"/>
      <c r="I1289" s="245"/>
      <c r="J1289" s="172"/>
      <c r="K1289" s="172"/>
      <c r="L1289" s="172"/>
      <c r="M1289" s="200"/>
      <c r="N1289" s="515"/>
      <c r="O1289" s="515"/>
      <c r="P1289" s="515"/>
      <c r="Q1289" s="371"/>
      <c r="R1289" s="371"/>
      <c r="S1289" s="371"/>
      <c r="T1289" s="371"/>
      <c r="U1289" s="29"/>
      <c r="V1289" s="30"/>
      <c r="W1289" s="30"/>
      <c r="X1289" s="29"/>
      <c r="Y1289" s="30"/>
      <c r="Z1289" s="30"/>
      <c r="AA1289" s="299"/>
      <c r="AE1289" s="42"/>
      <c r="AF1289" s="42"/>
    </row>
    <row r="1290" spans="1:32" s="19" customFormat="1" x14ac:dyDescent="0.2">
      <c r="A1290" s="37"/>
      <c r="B1290" s="37"/>
      <c r="C1290" s="170"/>
      <c r="D1290" s="172"/>
      <c r="F1290" s="172"/>
      <c r="G1290" s="172"/>
      <c r="H1290" s="245"/>
      <c r="I1290" s="245"/>
      <c r="J1290" s="172"/>
      <c r="K1290" s="172"/>
      <c r="L1290" s="172"/>
      <c r="M1290" s="200"/>
      <c r="N1290" s="515"/>
      <c r="O1290" s="515"/>
      <c r="P1290" s="515"/>
      <c r="Q1290" s="371"/>
      <c r="R1290" s="371"/>
      <c r="S1290" s="371"/>
      <c r="T1290" s="371"/>
      <c r="U1290" s="29"/>
      <c r="V1290" s="30"/>
      <c r="W1290" s="30"/>
      <c r="X1290" s="29"/>
      <c r="Y1290" s="30"/>
      <c r="Z1290" s="30"/>
      <c r="AA1290" s="299"/>
      <c r="AE1290" s="42"/>
      <c r="AF1290" s="42"/>
    </row>
    <row r="1291" spans="1:32" s="19" customFormat="1" x14ac:dyDescent="0.2">
      <c r="A1291" s="37"/>
      <c r="B1291" s="37"/>
      <c r="C1291" s="170"/>
      <c r="D1291" s="172"/>
      <c r="F1291" s="172"/>
      <c r="G1291" s="172"/>
      <c r="H1291" s="245"/>
      <c r="I1291" s="245"/>
      <c r="J1291" s="172"/>
      <c r="K1291" s="172"/>
      <c r="L1291" s="172"/>
      <c r="M1291" s="200"/>
      <c r="N1291" s="515"/>
      <c r="O1291" s="515"/>
      <c r="P1291" s="515"/>
      <c r="Q1291" s="371"/>
      <c r="R1291" s="371"/>
      <c r="S1291" s="371"/>
      <c r="T1291" s="371"/>
      <c r="U1291" s="29"/>
      <c r="V1291" s="30"/>
      <c r="W1291" s="30"/>
      <c r="X1291" s="29"/>
      <c r="Y1291" s="30"/>
      <c r="Z1291" s="30"/>
      <c r="AA1291" s="299"/>
      <c r="AE1291" s="113"/>
      <c r="AF1291" s="42"/>
    </row>
    <row r="1292" spans="1:32" s="19" customFormat="1" x14ac:dyDescent="0.2">
      <c r="A1292" s="37"/>
      <c r="B1292" s="37"/>
      <c r="C1292" s="170"/>
      <c r="D1292" s="172"/>
      <c r="F1292" s="172"/>
      <c r="G1292" s="172"/>
      <c r="H1292" s="245"/>
      <c r="I1292" s="245"/>
      <c r="J1292" s="172"/>
      <c r="K1292" s="172"/>
      <c r="L1292" s="172"/>
      <c r="M1292" s="200"/>
      <c r="N1292" s="515"/>
      <c r="O1292" s="515"/>
      <c r="P1292" s="515"/>
      <c r="Q1292" s="371"/>
      <c r="R1292" s="371"/>
      <c r="S1292" s="371"/>
      <c r="T1292" s="371"/>
      <c r="U1292" s="29"/>
      <c r="V1292" s="30"/>
      <c r="W1292" s="30"/>
      <c r="X1292" s="29"/>
      <c r="Y1292" s="30"/>
      <c r="Z1292" s="30"/>
      <c r="AA1292" s="299"/>
      <c r="AE1292" s="113"/>
      <c r="AF1292" s="42"/>
    </row>
    <row r="1293" spans="1:32" s="19" customFormat="1" x14ac:dyDescent="0.2">
      <c r="A1293" s="37"/>
      <c r="B1293" s="37"/>
      <c r="C1293" s="170"/>
      <c r="D1293" s="172"/>
      <c r="F1293" s="172"/>
      <c r="G1293" s="172"/>
      <c r="H1293" s="245"/>
      <c r="I1293" s="245"/>
      <c r="J1293" s="172"/>
      <c r="K1293" s="172"/>
      <c r="L1293" s="172"/>
      <c r="M1293" s="200"/>
      <c r="N1293" s="515"/>
      <c r="O1293" s="515"/>
      <c r="P1293" s="515"/>
      <c r="Q1293" s="371"/>
      <c r="R1293" s="371"/>
      <c r="S1293" s="371"/>
      <c r="T1293" s="371"/>
      <c r="U1293" s="29"/>
      <c r="V1293" s="30"/>
      <c r="W1293" s="30"/>
      <c r="X1293" s="29"/>
      <c r="Y1293" s="30"/>
      <c r="Z1293" s="30"/>
      <c r="AA1293" s="299"/>
      <c r="AE1293" s="113"/>
      <c r="AF1293" s="42"/>
    </row>
    <row r="1294" spans="1:32" s="19" customFormat="1" x14ac:dyDescent="0.2">
      <c r="A1294" s="37"/>
      <c r="B1294" s="37"/>
      <c r="C1294" s="170"/>
      <c r="D1294" s="172"/>
      <c r="F1294" s="172"/>
      <c r="G1294" s="172"/>
      <c r="H1294" s="245"/>
      <c r="I1294" s="245"/>
      <c r="J1294" s="172"/>
      <c r="K1294" s="172"/>
      <c r="L1294" s="172"/>
      <c r="M1294" s="200"/>
      <c r="N1294" s="515"/>
      <c r="O1294" s="515"/>
      <c r="P1294" s="515"/>
      <c r="Q1294" s="371"/>
      <c r="R1294" s="371"/>
      <c r="S1294" s="371"/>
      <c r="T1294" s="371"/>
      <c r="U1294" s="29"/>
      <c r="V1294" s="30"/>
      <c r="W1294" s="30"/>
      <c r="X1294" s="29"/>
      <c r="Y1294" s="30"/>
      <c r="Z1294" s="30"/>
      <c r="AA1294" s="299"/>
      <c r="AE1294" s="42"/>
      <c r="AF1294" s="42"/>
    </row>
    <row r="1295" spans="1:32" s="19" customFormat="1" x14ac:dyDescent="0.2">
      <c r="A1295" s="37"/>
      <c r="B1295" s="37"/>
      <c r="C1295" s="170"/>
      <c r="D1295" s="172"/>
      <c r="F1295" s="172"/>
      <c r="G1295" s="172"/>
      <c r="H1295" s="245"/>
      <c r="I1295" s="245"/>
      <c r="J1295" s="172"/>
      <c r="K1295" s="172"/>
      <c r="L1295" s="172"/>
      <c r="M1295" s="200"/>
      <c r="N1295" s="515"/>
      <c r="O1295" s="515"/>
      <c r="P1295" s="515"/>
      <c r="Q1295" s="371"/>
      <c r="R1295" s="371"/>
      <c r="S1295" s="371"/>
      <c r="T1295" s="371"/>
      <c r="U1295" s="29"/>
      <c r="V1295" s="30"/>
      <c r="W1295" s="30"/>
      <c r="X1295" s="29"/>
      <c r="Y1295" s="30"/>
      <c r="Z1295" s="30"/>
      <c r="AA1295" s="299"/>
      <c r="AE1295" s="42"/>
      <c r="AF1295" s="42"/>
    </row>
    <row r="1296" spans="1:32" s="19" customFormat="1" x14ac:dyDescent="0.2">
      <c r="A1296" s="37"/>
      <c r="B1296" s="37"/>
      <c r="C1296" s="170"/>
      <c r="D1296" s="172"/>
      <c r="F1296" s="172"/>
      <c r="G1296" s="172"/>
      <c r="H1296" s="245"/>
      <c r="I1296" s="245"/>
      <c r="J1296" s="172"/>
      <c r="K1296" s="172"/>
      <c r="L1296" s="172"/>
      <c r="M1296" s="200"/>
      <c r="N1296" s="515"/>
      <c r="O1296" s="515"/>
      <c r="P1296" s="515"/>
      <c r="Q1296" s="371"/>
      <c r="R1296" s="371"/>
      <c r="S1296" s="371"/>
      <c r="T1296" s="371"/>
      <c r="U1296" s="29"/>
      <c r="V1296" s="30"/>
      <c r="W1296" s="30"/>
      <c r="X1296" s="29"/>
      <c r="Y1296" s="30"/>
      <c r="Z1296" s="30"/>
      <c r="AA1296" s="299"/>
      <c r="AE1296" s="42"/>
      <c r="AF1296" s="42"/>
    </row>
    <row r="1297" spans="1:32" s="19" customFormat="1" x14ac:dyDescent="0.2">
      <c r="A1297" s="37"/>
      <c r="B1297" s="37"/>
      <c r="C1297" s="170"/>
      <c r="D1297" s="172"/>
      <c r="E1297" s="55"/>
      <c r="F1297" s="172"/>
      <c r="G1297" s="172"/>
      <c r="H1297" s="245"/>
      <c r="I1297" s="245"/>
      <c r="J1297" s="172"/>
      <c r="K1297" s="172"/>
      <c r="L1297" s="172"/>
      <c r="M1297" s="200"/>
      <c r="N1297" s="515"/>
      <c r="O1297" s="515"/>
      <c r="P1297" s="515"/>
      <c r="Q1297" s="371"/>
      <c r="R1297" s="371"/>
      <c r="S1297" s="371"/>
      <c r="T1297" s="371"/>
      <c r="U1297" s="29"/>
      <c r="V1297" s="30"/>
      <c r="W1297" s="30"/>
      <c r="X1297" s="29"/>
      <c r="Y1297" s="30"/>
      <c r="Z1297" s="30"/>
      <c r="AA1297" s="299"/>
      <c r="AE1297" s="42"/>
      <c r="AF1297" s="42"/>
    </row>
    <row r="1298" spans="1:32" s="19" customFormat="1" x14ac:dyDescent="0.2">
      <c r="A1298" s="37"/>
      <c r="B1298" s="37"/>
      <c r="C1298" s="170"/>
      <c r="D1298" s="172"/>
      <c r="E1298" s="55"/>
      <c r="F1298" s="172"/>
      <c r="G1298" s="172"/>
      <c r="H1298" s="245"/>
      <c r="I1298" s="245"/>
      <c r="J1298" s="172"/>
      <c r="K1298" s="172"/>
      <c r="L1298" s="172"/>
      <c r="M1298" s="200"/>
      <c r="N1298" s="515"/>
      <c r="O1298" s="515"/>
      <c r="P1298" s="515"/>
      <c r="Q1298" s="371"/>
      <c r="R1298" s="371"/>
      <c r="S1298" s="371"/>
      <c r="T1298" s="371"/>
      <c r="U1298" s="29"/>
      <c r="V1298" s="30"/>
      <c r="W1298" s="30"/>
      <c r="X1298" s="29"/>
      <c r="Y1298" s="30"/>
      <c r="Z1298" s="30"/>
      <c r="AA1298" s="299"/>
      <c r="AE1298" s="42"/>
      <c r="AF1298" s="42"/>
    </row>
    <row r="1299" spans="1:32" s="53" customFormat="1" x14ac:dyDescent="0.2">
      <c r="A1299" s="63"/>
      <c r="B1299" s="63"/>
      <c r="C1299" s="176"/>
      <c r="D1299" s="167"/>
      <c r="E1299" s="55"/>
      <c r="F1299" s="167"/>
      <c r="G1299" s="167"/>
      <c r="H1299" s="259"/>
      <c r="I1299" s="259"/>
      <c r="J1299" s="167"/>
      <c r="K1299" s="167"/>
      <c r="L1299" s="167"/>
      <c r="M1299" s="201"/>
      <c r="N1299" s="521"/>
      <c r="O1299" s="521"/>
      <c r="P1299" s="521"/>
      <c r="Q1299" s="372"/>
      <c r="R1299" s="372"/>
      <c r="S1299" s="372"/>
      <c r="T1299" s="372"/>
      <c r="U1299" s="56"/>
      <c r="V1299" s="57"/>
      <c r="W1299" s="57"/>
      <c r="X1299" s="56"/>
      <c r="Y1299" s="57"/>
      <c r="Z1299" s="57"/>
      <c r="AA1299" s="302"/>
      <c r="AE1299" s="54"/>
      <c r="AF1299" s="54"/>
    </row>
    <row r="1300" spans="1:32" s="55" customFormat="1" x14ac:dyDescent="0.2">
      <c r="A1300" s="37"/>
      <c r="B1300" s="37"/>
      <c r="C1300" s="170"/>
      <c r="D1300" s="173"/>
      <c r="E1300" s="19"/>
      <c r="F1300" s="173"/>
      <c r="G1300" s="173"/>
      <c r="H1300" s="262"/>
      <c r="I1300" s="262"/>
      <c r="J1300" s="173"/>
      <c r="K1300" s="173"/>
      <c r="L1300" s="173"/>
      <c r="M1300" s="200"/>
      <c r="N1300" s="515"/>
      <c r="O1300" s="515"/>
      <c r="P1300" s="515"/>
      <c r="Q1300" s="371"/>
      <c r="R1300" s="371"/>
      <c r="S1300" s="371"/>
      <c r="T1300" s="371"/>
      <c r="U1300" s="115"/>
      <c r="V1300" s="116"/>
      <c r="W1300" s="116"/>
      <c r="X1300" s="115"/>
      <c r="Y1300" s="116"/>
      <c r="Z1300" s="116"/>
      <c r="AA1300" s="299"/>
      <c r="AE1300" s="58"/>
      <c r="AF1300" s="58"/>
    </row>
    <row r="1301" spans="1:32" s="55" customFormat="1" x14ac:dyDescent="0.2">
      <c r="A1301" s="37"/>
      <c r="B1301" s="37"/>
      <c r="C1301" s="170"/>
      <c r="D1301" s="173"/>
      <c r="E1301" s="19"/>
      <c r="F1301" s="173"/>
      <c r="G1301" s="173"/>
      <c r="H1301" s="262"/>
      <c r="I1301" s="262"/>
      <c r="J1301" s="173"/>
      <c r="K1301" s="173"/>
      <c r="L1301" s="173"/>
      <c r="M1301" s="200"/>
      <c r="N1301" s="515"/>
      <c r="O1301" s="515"/>
      <c r="P1301" s="515"/>
      <c r="Q1301" s="371"/>
      <c r="R1301" s="371"/>
      <c r="S1301" s="371"/>
      <c r="T1301" s="371"/>
      <c r="U1301" s="115"/>
      <c r="V1301" s="116"/>
      <c r="W1301" s="116"/>
      <c r="X1301" s="115"/>
      <c r="Y1301" s="116"/>
      <c r="Z1301" s="116"/>
      <c r="AA1301" s="299"/>
      <c r="AE1301" s="58"/>
      <c r="AF1301" s="58"/>
    </row>
    <row r="1302" spans="1:32" s="32" customFormat="1" x14ac:dyDescent="0.2">
      <c r="A1302" s="131"/>
      <c r="B1302" s="131"/>
      <c r="C1302" s="182"/>
      <c r="D1302" s="183"/>
      <c r="E1302" s="19"/>
      <c r="F1302" s="183"/>
      <c r="G1302" s="183"/>
      <c r="H1302" s="268"/>
      <c r="I1302" s="268"/>
      <c r="J1302" s="183"/>
      <c r="K1302" s="183"/>
      <c r="L1302" s="183"/>
      <c r="M1302" s="203"/>
      <c r="N1302" s="520"/>
      <c r="O1302" s="520"/>
      <c r="P1302" s="520"/>
      <c r="Q1302" s="375"/>
      <c r="R1302" s="375"/>
      <c r="S1302" s="375"/>
      <c r="T1302" s="375"/>
      <c r="U1302" s="33"/>
      <c r="V1302" s="34"/>
      <c r="W1302" s="34"/>
      <c r="X1302" s="33"/>
      <c r="Y1302" s="34"/>
      <c r="Z1302" s="34"/>
      <c r="AA1302" s="303"/>
      <c r="AE1302" s="45"/>
      <c r="AF1302" s="45"/>
    </row>
    <row r="1303" spans="1:32" s="19" customFormat="1" x14ac:dyDescent="0.2">
      <c r="A1303" s="37"/>
      <c r="B1303" s="131"/>
      <c r="C1303" s="170"/>
      <c r="D1303" s="172"/>
      <c r="F1303" s="172"/>
      <c r="G1303" s="172"/>
      <c r="H1303" s="245"/>
      <c r="I1303" s="245"/>
      <c r="J1303" s="172"/>
      <c r="K1303" s="172"/>
      <c r="L1303" s="172"/>
      <c r="M1303" s="200"/>
      <c r="N1303" s="515"/>
      <c r="O1303" s="515"/>
      <c r="P1303" s="515"/>
      <c r="Q1303" s="371"/>
      <c r="R1303" s="371"/>
      <c r="S1303" s="371"/>
      <c r="T1303" s="371"/>
      <c r="U1303" s="29"/>
      <c r="V1303" s="30"/>
      <c r="W1303" s="30"/>
      <c r="X1303" s="29"/>
      <c r="Y1303" s="30"/>
      <c r="Z1303" s="30"/>
      <c r="AA1303" s="299"/>
      <c r="AE1303" s="42"/>
      <c r="AF1303" s="42"/>
    </row>
    <row r="1304" spans="1:32" s="19" customFormat="1" x14ac:dyDescent="0.2">
      <c r="A1304" s="37"/>
      <c r="B1304" s="131"/>
      <c r="C1304" s="170"/>
      <c r="D1304" s="172"/>
      <c r="F1304" s="172"/>
      <c r="G1304" s="172"/>
      <c r="H1304" s="245"/>
      <c r="I1304" s="245"/>
      <c r="J1304" s="172"/>
      <c r="K1304" s="172"/>
      <c r="L1304" s="172"/>
      <c r="M1304" s="200"/>
      <c r="N1304" s="515"/>
      <c r="O1304" s="515"/>
      <c r="P1304" s="515"/>
      <c r="Q1304" s="371"/>
      <c r="R1304" s="371"/>
      <c r="S1304" s="371"/>
      <c r="T1304" s="371"/>
      <c r="U1304" s="29"/>
      <c r="V1304" s="30"/>
      <c r="W1304" s="30"/>
      <c r="X1304" s="29"/>
      <c r="Y1304" s="30"/>
      <c r="Z1304" s="30"/>
      <c r="AA1304" s="299"/>
      <c r="AE1304" s="42"/>
      <c r="AF1304" s="42"/>
    </row>
    <row r="1305" spans="1:32" s="19" customFormat="1" x14ac:dyDescent="0.2">
      <c r="A1305" s="37"/>
      <c r="B1305" s="131"/>
      <c r="C1305" s="170"/>
      <c r="D1305" s="172"/>
      <c r="F1305" s="172"/>
      <c r="G1305" s="172"/>
      <c r="H1305" s="245"/>
      <c r="I1305" s="245"/>
      <c r="J1305" s="172"/>
      <c r="K1305" s="172"/>
      <c r="L1305" s="172"/>
      <c r="M1305" s="200"/>
      <c r="N1305" s="515"/>
      <c r="O1305" s="515"/>
      <c r="P1305" s="515"/>
      <c r="Q1305" s="371"/>
      <c r="R1305" s="371"/>
      <c r="S1305" s="371"/>
      <c r="T1305" s="371"/>
      <c r="U1305" s="29"/>
      <c r="V1305" s="30"/>
      <c r="W1305" s="30"/>
      <c r="X1305" s="29"/>
      <c r="Y1305" s="30"/>
      <c r="Z1305" s="30"/>
      <c r="AA1305" s="299"/>
      <c r="AE1305" s="42"/>
      <c r="AF1305" s="42"/>
    </row>
    <row r="1306" spans="1:32" s="19" customFormat="1" x14ac:dyDescent="0.2">
      <c r="A1306" s="37"/>
      <c r="B1306" s="131"/>
      <c r="C1306" s="170"/>
      <c r="D1306" s="172"/>
      <c r="F1306" s="172"/>
      <c r="G1306" s="172"/>
      <c r="H1306" s="245"/>
      <c r="I1306" s="245"/>
      <c r="J1306" s="172"/>
      <c r="K1306" s="172"/>
      <c r="L1306" s="172"/>
      <c r="M1306" s="200"/>
      <c r="N1306" s="515"/>
      <c r="O1306" s="515"/>
      <c r="P1306" s="515"/>
      <c r="Q1306" s="371"/>
      <c r="R1306" s="371"/>
      <c r="S1306" s="371"/>
      <c r="T1306" s="371"/>
      <c r="U1306" s="29"/>
      <c r="V1306" s="30"/>
      <c r="W1306" s="30"/>
      <c r="X1306" s="29"/>
      <c r="Y1306" s="30"/>
      <c r="Z1306" s="30"/>
      <c r="AA1306" s="299"/>
      <c r="AE1306" s="42"/>
      <c r="AF1306" s="42"/>
    </row>
    <row r="1307" spans="1:32" s="19" customFormat="1" x14ac:dyDescent="0.2">
      <c r="A1307" s="37"/>
      <c r="B1307" s="131"/>
      <c r="C1307" s="170"/>
      <c r="D1307" s="172"/>
      <c r="F1307" s="172"/>
      <c r="G1307" s="172"/>
      <c r="H1307" s="245"/>
      <c r="I1307" s="245"/>
      <c r="J1307" s="172"/>
      <c r="K1307" s="172"/>
      <c r="L1307" s="172"/>
      <c r="M1307" s="200"/>
      <c r="N1307" s="515"/>
      <c r="O1307" s="515"/>
      <c r="P1307" s="515"/>
      <c r="Q1307" s="371"/>
      <c r="R1307" s="371"/>
      <c r="S1307" s="371"/>
      <c r="T1307" s="371"/>
      <c r="U1307" s="29"/>
      <c r="V1307" s="30"/>
      <c r="W1307" s="30"/>
      <c r="X1307" s="29"/>
      <c r="Y1307" s="30"/>
      <c r="Z1307" s="30"/>
      <c r="AA1307" s="299"/>
      <c r="AE1307" s="42"/>
      <c r="AF1307" s="42"/>
    </row>
    <row r="1308" spans="1:32" s="19" customFormat="1" x14ac:dyDescent="0.2">
      <c r="A1308" s="37"/>
      <c r="B1308" s="131"/>
      <c r="C1308" s="170"/>
      <c r="D1308" s="172"/>
      <c r="F1308" s="172"/>
      <c r="G1308" s="172"/>
      <c r="H1308" s="245"/>
      <c r="I1308" s="245"/>
      <c r="J1308" s="172"/>
      <c r="K1308" s="172"/>
      <c r="L1308" s="172"/>
      <c r="M1308" s="200"/>
      <c r="N1308" s="515"/>
      <c r="O1308" s="515"/>
      <c r="P1308" s="515"/>
      <c r="Q1308" s="371"/>
      <c r="R1308" s="371"/>
      <c r="S1308" s="371"/>
      <c r="T1308" s="371"/>
      <c r="U1308" s="29"/>
      <c r="V1308" s="30"/>
      <c r="W1308" s="30"/>
      <c r="X1308" s="29"/>
      <c r="Y1308" s="30"/>
      <c r="Z1308" s="30"/>
      <c r="AA1308" s="299"/>
      <c r="AE1308" s="42"/>
      <c r="AF1308" s="42"/>
    </row>
    <row r="1309" spans="1:32" s="19" customFormat="1" x14ac:dyDescent="0.2">
      <c r="A1309" s="37"/>
      <c r="B1309" s="131"/>
      <c r="C1309" s="170"/>
      <c r="D1309" s="172"/>
      <c r="F1309" s="172"/>
      <c r="G1309" s="172"/>
      <c r="H1309" s="245"/>
      <c r="I1309" s="245"/>
      <c r="J1309" s="172"/>
      <c r="K1309" s="172"/>
      <c r="L1309" s="172"/>
      <c r="M1309" s="200"/>
      <c r="N1309" s="515"/>
      <c r="O1309" s="515"/>
      <c r="P1309" s="515"/>
      <c r="Q1309" s="371"/>
      <c r="R1309" s="371"/>
      <c r="S1309" s="371"/>
      <c r="T1309" s="371"/>
      <c r="U1309" s="29"/>
      <c r="V1309" s="30"/>
      <c r="W1309" s="30"/>
      <c r="X1309" s="29"/>
      <c r="Y1309" s="30"/>
      <c r="Z1309" s="30"/>
      <c r="AA1309" s="299"/>
      <c r="AE1309" s="42"/>
      <c r="AF1309" s="42"/>
    </row>
    <row r="1310" spans="1:32" s="19" customFormat="1" x14ac:dyDescent="0.2">
      <c r="A1310" s="37"/>
      <c r="B1310" s="131"/>
      <c r="C1310" s="170"/>
      <c r="D1310" s="172"/>
      <c r="F1310" s="172"/>
      <c r="G1310" s="172"/>
      <c r="H1310" s="245"/>
      <c r="I1310" s="245"/>
      <c r="J1310" s="172"/>
      <c r="K1310" s="172"/>
      <c r="L1310" s="172"/>
      <c r="M1310" s="200"/>
      <c r="N1310" s="515"/>
      <c r="O1310" s="515"/>
      <c r="P1310" s="515"/>
      <c r="Q1310" s="371"/>
      <c r="R1310" s="371"/>
      <c r="S1310" s="371"/>
      <c r="T1310" s="371"/>
      <c r="U1310" s="29"/>
      <c r="V1310" s="30"/>
      <c r="W1310" s="30"/>
      <c r="X1310" s="29"/>
      <c r="Y1310" s="30"/>
      <c r="Z1310" s="30"/>
      <c r="AA1310" s="299"/>
      <c r="AE1310" s="42"/>
      <c r="AF1310" s="42"/>
    </row>
    <row r="1311" spans="1:32" s="31" customFormat="1" ht="19" x14ac:dyDescent="0.25">
      <c r="A1311" s="132"/>
      <c r="B1311" s="131"/>
      <c r="C1311" s="186"/>
      <c r="D1311" s="187"/>
      <c r="E1311" s="4"/>
      <c r="F1311" s="187"/>
      <c r="G1311" s="187"/>
      <c r="H1311" s="271"/>
      <c r="I1311" s="271"/>
      <c r="J1311" s="187"/>
      <c r="K1311" s="187"/>
      <c r="L1311" s="187"/>
      <c r="M1311" s="204"/>
      <c r="N1311" s="522"/>
      <c r="O1311" s="522"/>
      <c r="P1311" s="522"/>
      <c r="Q1311" s="376"/>
      <c r="R1311" s="376"/>
      <c r="S1311" s="376"/>
      <c r="T1311" s="376"/>
      <c r="U1311" s="35"/>
      <c r="V1311" s="36"/>
      <c r="W1311" s="36"/>
      <c r="X1311" s="35"/>
      <c r="Y1311" s="36"/>
      <c r="Z1311" s="36"/>
      <c r="AA1311" s="304"/>
      <c r="AE1311" s="46"/>
      <c r="AF1311" s="46"/>
    </row>
    <row r="1312" spans="1:32" s="23" customFormat="1" ht="19" x14ac:dyDescent="0.25">
      <c r="A1312" s="128"/>
      <c r="B1312" s="131"/>
      <c r="C1312" s="175"/>
      <c r="D1312" s="165"/>
      <c r="E1312" s="4"/>
      <c r="F1312" s="165"/>
      <c r="G1312" s="165"/>
      <c r="H1312" s="265"/>
      <c r="I1312" s="265"/>
      <c r="J1312" s="165"/>
      <c r="K1312" s="165"/>
      <c r="L1312" s="165"/>
      <c r="M1312" s="202"/>
      <c r="N1312" s="516"/>
      <c r="O1312" s="516"/>
      <c r="P1312" s="516"/>
      <c r="Q1312" s="318"/>
      <c r="R1312" s="318"/>
      <c r="S1312" s="318"/>
      <c r="T1312" s="318"/>
      <c r="U1312" s="29"/>
      <c r="V1312" s="30"/>
      <c r="W1312" s="30"/>
      <c r="X1312" s="29"/>
      <c r="Y1312" s="30"/>
      <c r="Z1312" s="30"/>
      <c r="AA1312" s="305"/>
      <c r="AE1312" s="44"/>
      <c r="AF1312" s="44"/>
    </row>
    <row r="1313" spans="1:32" ht="19" x14ac:dyDescent="0.25">
      <c r="A1313">
        <v>1</v>
      </c>
      <c r="B1313" s="3" t="s">
        <v>1606</v>
      </c>
      <c r="E1313" s="4"/>
      <c r="K1313" s="164"/>
      <c r="L1313" s="164"/>
      <c r="M1313" s="198"/>
      <c r="N1313" s="523"/>
      <c r="O1313" s="523"/>
      <c r="P1313" s="523"/>
      <c r="Q1313" s="377"/>
      <c r="R1313" s="377"/>
      <c r="S1313" s="377"/>
      <c r="T1313" s="377"/>
      <c r="U1313" s="17"/>
      <c r="V1313" s="5"/>
      <c r="W1313" s="5"/>
      <c r="X1313" s="17"/>
      <c r="Y1313" s="5"/>
      <c r="Z1313" s="5"/>
      <c r="AA1313" s="306"/>
      <c r="AE1313" s="39"/>
      <c r="AF1313" s="39"/>
    </row>
    <row r="1314" spans="1:32" ht="19" x14ac:dyDescent="0.25">
      <c r="B1314" s="3"/>
      <c r="E1314" s="4"/>
      <c r="K1314" s="164"/>
      <c r="L1314" s="164"/>
      <c r="M1314" s="198"/>
      <c r="N1314" s="523"/>
      <c r="O1314" s="523"/>
      <c r="P1314" s="523"/>
      <c r="Q1314" s="377"/>
      <c r="R1314" s="377"/>
      <c r="S1314" s="377"/>
      <c r="T1314" s="377"/>
      <c r="U1314" s="17"/>
      <c r="V1314" s="5"/>
      <c r="W1314" s="5"/>
      <c r="X1314" s="17"/>
      <c r="Y1314" s="5"/>
      <c r="Z1314" s="5"/>
      <c r="AA1314" s="306"/>
      <c r="AE1314" s="39"/>
      <c r="AF1314" s="39"/>
    </row>
    <row r="1315" spans="1:32" ht="19" x14ac:dyDescent="0.25">
      <c r="A1315" s="6"/>
      <c r="B1315" s="3"/>
      <c r="E1315" s="4"/>
      <c r="K1315" s="164"/>
      <c r="L1315" s="164"/>
      <c r="M1315" s="198"/>
      <c r="N1315" s="523"/>
      <c r="O1315" s="523"/>
      <c r="P1315" s="523"/>
      <c r="Q1315" s="377"/>
      <c r="R1315" s="377"/>
      <c r="S1315" s="377"/>
      <c r="T1315" s="377"/>
      <c r="U1315" s="17"/>
      <c r="V1315" s="5"/>
      <c r="W1315" s="5"/>
      <c r="X1315" s="17"/>
      <c r="Y1315" s="5"/>
      <c r="Z1315" s="5"/>
      <c r="AA1315" s="306"/>
      <c r="AE1315" s="39"/>
      <c r="AF1315" s="39"/>
    </row>
    <row r="1316" spans="1:32" ht="19" x14ac:dyDescent="0.25">
      <c r="A1316" s="3"/>
      <c r="B1316" s="3"/>
      <c r="E1316" s="4"/>
      <c r="K1316" s="164"/>
      <c r="L1316" s="164"/>
      <c r="M1316" s="198"/>
      <c r="N1316" s="523"/>
      <c r="O1316" s="523"/>
      <c r="P1316" s="523"/>
      <c r="Q1316" s="377"/>
      <c r="R1316" s="377"/>
      <c r="S1316" s="377"/>
      <c r="T1316" s="377"/>
      <c r="U1316" s="17"/>
      <c r="V1316" s="5"/>
      <c r="W1316" s="5"/>
      <c r="X1316" s="17"/>
      <c r="Y1316" s="5"/>
      <c r="Z1316" s="5"/>
      <c r="AA1316" s="306"/>
      <c r="AE1316" s="39"/>
      <c r="AF1316" s="39"/>
    </row>
    <row r="1317" spans="1:32" ht="19" x14ac:dyDescent="0.25">
      <c r="A1317" s="3"/>
      <c r="B1317" s="3"/>
      <c r="E1317" s="4"/>
      <c r="K1317" s="164"/>
      <c r="L1317" s="164"/>
      <c r="M1317" s="198"/>
      <c r="N1317" s="523"/>
      <c r="O1317" s="523"/>
      <c r="P1317" s="523"/>
      <c r="Q1317" s="377"/>
      <c r="R1317" s="377"/>
      <c r="S1317" s="377"/>
      <c r="T1317" s="377"/>
      <c r="U1317" s="17"/>
      <c r="V1317" s="5"/>
      <c r="W1317" s="5"/>
      <c r="X1317" s="17"/>
      <c r="Y1317" s="5"/>
      <c r="Z1317" s="5"/>
      <c r="AA1317" s="306"/>
      <c r="AE1317" s="39"/>
      <c r="AF1317" s="39"/>
    </row>
    <row r="1318" spans="1:32" ht="19" x14ac:dyDescent="0.25">
      <c r="A1318" s="3"/>
      <c r="B1318" s="3"/>
      <c r="E1318" s="4"/>
      <c r="K1318" s="164"/>
      <c r="L1318" s="164"/>
      <c r="M1318" s="198"/>
      <c r="N1318" s="523"/>
      <c r="O1318" s="523"/>
      <c r="P1318" s="523"/>
      <c r="Q1318" s="377"/>
      <c r="R1318" s="377"/>
      <c r="S1318" s="377"/>
      <c r="T1318" s="377"/>
      <c r="U1318" s="17"/>
      <c r="V1318" s="5"/>
      <c r="W1318" s="5"/>
      <c r="X1318" s="17"/>
      <c r="Y1318" s="5"/>
      <c r="Z1318" s="5"/>
      <c r="AA1318" s="306"/>
      <c r="AE1318" s="39"/>
      <c r="AF1318" s="39"/>
    </row>
    <row r="1319" spans="1:32" ht="19" x14ac:dyDescent="0.25">
      <c r="A1319" s="3"/>
      <c r="B1319" s="3"/>
      <c r="K1319" s="164"/>
      <c r="L1319" s="164"/>
      <c r="M1319" s="198"/>
      <c r="N1319" s="523"/>
      <c r="O1319" s="523"/>
      <c r="P1319" s="523"/>
      <c r="Q1319" s="377"/>
      <c r="R1319" s="377"/>
      <c r="S1319" s="377"/>
      <c r="T1319" s="377"/>
      <c r="U1319" s="17"/>
      <c r="V1319" s="5"/>
      <c r="W1319" s="5"/>
      <c r="X1319" s="17"/>
      <c r="Y1319" s="5"/>
      <c r="Z1319" s="5"/>
      <c r="AA1319" s="306"/>
      <c r="AE1319" s="39"/>
      <c r="AF1319" s="39"/>
    </row>
    <row r="1320" spans="1:32" ht="19" x14ac:dyDescent="0.25">
      <c r="A1320" s="3"/>
      <c r="B1320" s="3"/>
      <c r="K1320" s="164"/>
      <c r="L1320" s="164"/>
      <c r="M1320" s="198"/>
      <c r="N1320" s="523"/>
      <c r="O1320" s="523"/>
      <c r="P1320" s="523"/>
      <c r="Q1320" s="377"/>
      <c r="R1320" s="377"/>
      <c r="S1320" s="377"/>
      <c r="T1320" s="377"/>
      <c r="U1320" s="17"/>
      <c r="V1320" s="5"/>
      <c r="W1320" s="5"/>
      <c r="X1320" s="17"/>
      <c r="Y1320" s="5"/>
      <c r="Z1320" s="5"/>
      <c r="AA1320" s="306"/>
      <c r="AE1320" s="39"/>
      <c r="AF1320" s="39"/>
    </row>
    <row r="1324" spans="1:32" x14ac:dyDescent="0.2">
      <c r="C1324" s="90"/>
      <c r="D1324" s="90"/>
      <c r="F1324" s="90"/>
      <c r="G1324" s="90"/>
      <c r="H1324" s="261"/>
      <c r="I1324" s="261"/>
      <c r="J1324" s="90"/>
      <c r="AE1324"/>
      <c r="AF1324"/>
    </row>
    <row r="1325" spans="1:32" x14ac:dyDescent="0.2">
      <c r="C1325" s="90"/>
      <c r="D1325" s="90"/>
      <c r="F1325" s="90"/>
      <c r="G1325" s="90"/>
      <c r="H1325" s="261"/>
      <c r="I1325" s="261"/>
      <c r="J1325" s="90"/>
      <c r="AE1325"/>
      <c r="AF1325"/>
    </row>
    <row r="1326" spans="1:32" x14ac:dyDescent="0.2">
      <c r="C1326" s="90"/>
      <c r="D1326" s="90"/>
      <c r="F1326" s="90"/>
      <c r="G1326" s="90"/>
      <c r="H1326" s="261"/>
      <c r="I1326" s="261"/>
      <c r="J1326" s="90"/>
      <c r="AE1326"/>
      <c r="AF1326"/>
    </row>
    <row r="1327" spans="1:32" x14ac:dyDescent="0.2">
      <c r="C1327" s="90"/>
      <c r="D1327" s="90"/>
      <c r="F1327" s="90"/>
      <c r="G1327" s="90"/>
      <c r="H1327" s="261"/>
      <c r="I1327" s="261"/>
      <c r="J1327" s="90"/>
      <c r="AE1327"/>
      <c r="AF1327"/>
    </row>
    <row r="1328" spans="1:32" x14ac:dyDescent="0.2">
      <c r="C1328" s="90"/>
      <c r="D1328" s="90"/>
      <c r="F1328" s="90"/>
      <c r="G1328" s="90"/>
      <c r="H1328" s="261"/>
      <c r="I1328" s="261"/>
      <c r="J1328" s="90"/>
      <c r="V1328" t="s">
        <v>852</v>
      </c>
      <c r="W1328" t="s">
        <v>852</v>
      </c>
      <c r="Y1328" t="s">
        <v>852</v>
      </c>
      <c r="Z1328" t="s">
        <v>852</v>
      </c>
      <c r="AE1328"/>
      <c r="AF1328"/>
    </row>
  </sheetData>
  <mergeCells count="5">
    <mergeCell ref="U5:W5"/>
    <mergeCell ref="X5:Z5"/>
    <mergeCell ref="A2:AC2"/>
    <mergeCell ref="A3:AC3"/>
    <mergeCell ref="A4:AC4"/>
  </mergeCells>
  <phoneticPr fontId="16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L19"/>
  <sheetViews>
    <sheetView zoomScale="125" zoomScaleNormal="125" zoomScalePageLayoutView="125" workbookViewId="0">
      <selection activeCell="L15" sqref="L15"/>
    </sheetView>
  </sheetViews>
  <sheetFormatPr baseColWidth="10" defaultColWidth="11.5" defaultRowHeight="15" x14ac:dyDescent="0.2"/>
  <cols>
    <col min="1" max="1" width="2.6640625" customWidth="1"/>
    <col min="2" max="2" width="5.5" customWidth="1"/>
    <col min="3" max="3" width="18.5" hidden="1" customWidth="1"/>
    <col min="4" max="4" width="16" hidden="1" customWidth="1"/>
    <col min="5" max="5" width="10" hidden="1" customWidth="1"/>
    <col min="6" max="6" width="9.6640625" customWidth="1"/>
    <col min="7" max="7" width="9" customWidth="1"/>
    <col min="8" max="8" width="13" customWidth="1"/>
    <col min="9" max="9" width="10.33203125" style="536" customWidth="1"/>
    <col min="10" max="10" width="10.5" style="534" hidden="1" customWidth="1"/>
    <col min="11" max="11" width="11.83203125" style="534" hidden="1" customWidth="1"/>
    <col min="12" max="12" width="12.5" style="536" customWidth="1"/>
    <col min="13" max="13" width="10.6640625" hidden="1" customWidth="1"/>
    <col min="14" max="14" width="9.1640625" customWidth="1"/>
    <col min="15" max="15" width="9" customWidth="1"/>
    <col min="16" max="16" width="13.33203125" customWidth="1"/>
    <col min="17" max="17" width="11.1640625" style="536" customWidth="1"/>
    <col min="18" max="18" width="10.6640625" hidden="1" customWidth="1"/>
    <col min="19" max="19" width="12.33203125" hidden="1" customWidth="1"/>
    <col min="20" max="20" width="14.1640625" style="533" customWidth="1"/>
    <col min="21" max="22" width="11.33203125" style="715" customWidth="1"/>
    <col min="23" max="23" width="11.5" customWidth="1"/>
    <col min="24" max="24" width="3" customWidth="1"/>
  </cols>
  <sheetData>
    <row r="1" spans="2:38" ht="16" thickBot="1" x14ac:dyDescent="0.25">
      <c r="I1"/>
      <c r="J1"/>
      <c r="K1"/>
      <c r="L1"/>
      <c r="Q1"/>
      <c r="T1"/>
      <c r="U1" s="1"/>
      <c r="V1" s="1"/>
    </row>
    <row r="2" spans="2:38" ht="21" customHeight="1" thickTop="1" thickBot="1" x14ac:dyDescent="0.25">
      <c r="B2" s="672"/>
      <c r="C2" s="639" t="s">
        <v>27</v>
      </c>
      <c r="D2" s="639" t="s">
        <v>27</v>
      </c>
      <c r="E2" s="639"/>
      <c r="F2" s="763" t="s">
        <v>1747</v>
      </c>
      <c r="G2" s="764"/>
      <c r="H2" s="764"/>
      <c r="I2" s="764"/>
      <c r="J2" s="764"/>
      <c r="K2" s="764"/>
      <c r="L2" s="765"/>
      <c r="M2" s="640"/>
      <c r="N2" s="763" t="s">
        <v>1738</v>
      </c>
      <c r="O2" s="764"/>
      <c r="P2" s="764"/>
      <c r="Q2" s="764"/>
      <c r="R2" s="764"/>
      <c r="S2" s="764"/>
      <c r="T2" s="766"/>
      <c r="U2" s="713"/>
      <c r="V2" s="713"/>
      <c r="W2" s="641" t="s">
        <v>27</v>
      </c>
    </row>
    <row r="3" spans="2:38" ht="58" customHeight="1" thickTop="1" thickBot="1" x14ac:dyDescent="0.25">
      <c r="B3" s="642" t="s">
        <v>3</v>
      </c>
      <c r="C3" s="643" t="s">
        <v>1607</v>
      </c>
      <c r="D3" s="643" t="s">
        <v>5</v>
      </c>
      <c r="E3" s="644" t="s">
        <v>1608</v>
      </c>
      <c r="F3" s="721" t="s">
        <v>1758</v>
      </c>
      <c r="G3" s="645" t="s">
        <v>1757</v>
      </c>
      <c r="H3" s="648" t="s">
        <v>1759</v>
      </c>
      <c r="I3" s="646" t="s">
        <v>1609</v>
      </c>
      <c r="J3" s="647" t="s">
        <v>1610</v>
      </c>
      <c r="K3" s="647" t="s">
        <v>1748</v>
      </c>
      <c r="L3" s="648" t="s">
        <v>1749</v>
      </c>
      <c r="M3" s="676" t="s">
        <v>1750</v>
      </c>
      <c r="N3" s="721" t="s">
        <v>1758</v>
      </c>
      <c r="O3" s="645" t="s">
        <v>1757</v>
      </c>
      <c r="P3" s="648" t="s">
        <v>1759</v>
      </c>
      <c r="Q3" s="677" t="s">
        <v>1609</v>
      </c>
      <c r="R3" s="649" t="s">
        <v>1610</v>
      </c>
      <c r="S3" s="649" t="s">
        <v>1748</v>
      </c>
      <c r="T3" s="650" t="s">
        <v>1749</v>
      </c>
      <c r="U3" s="714"/>
      <c r="V3" s="714"/>
      <c r="W3" s="651" t="s">
        <v>1750</v>
      </c>
    </row>
    <row r="4" spans="2:38" ht="20" customHeight="1" thickTop="1" x14ac:dyDescent="0.2">
      <c r="B4" s="652" t="s">
        <v>13</v>
      </c>
      <c r="C4" s="653" t="s">
        <v>14</v>
      </c>
      <c r="D4" s="654" t="s">
        <v>15</v>
      </c>
      <c r="E4" s="653"/>
      <c r="F4" s="693">
        <f>+'Overview T0'!J6</f>
        <v>9</v>
      </c>
      <c r="G4" s="694">
        <f>+'Overview T0'!L6</f>
        <v>38</v>
      </c>
      <c r="H4" s="722">
        <f>+'root col (T0)'!K5</f>
        <v>0.66666666666666663</v>
      </c>
      <c r="I4" s="695">
        <f>+'root col (T0)'!S5</f>
        <v>5.2631578947368418E-2</v>
      </c>
      <c r="J4" s="696">
        <f t="shared" ref="J4:J15" si="0">+G4*L4</f>
        <v>4</v>
      </c>
      <c r="K4" s="696">
        <f t="shared" ref="K4:K15" si="1">+G4-J4</f>
        <v>34</v>
      </c>
      <c r="L4" s="697">
        <f>+'Overview T0'!M6</f>
        <v>0.10526315789473684</v>
      </c>
      <c r="M4" s="655">
        <f>1-L4</f>
        <v>0.89473684210526316</v>
      </c>
      <c r="N4" s="678">
        <f>+'Overview T1'!I6</f>
        <v>7</v>
      </c>
      <c r="O4" s="679">
        <f>+'Overview T1'!L6</f>
        <v>44</v>
      </c>
      <c r="P4" s="727">
        <v>1</v>
      </c>
      <c r="Q4" s="680">
        <f>+'Overview T1'!M6</f>
        <v>0.70454545454545459</v>
      </c>
      <c r="R4" s="679">
        <f>+O4*T4</f>
        <v>31</v>
      </c>
      <c r="S4" s="679">
        <f>+O4-R4</f>
        <v>13</v>
      </c>
      <c r="T4" s="681">
        <f>+'Overview T1'!M6</f>
        <v>0.70454545454545459</v>
      </c>
      <c r="U4" s="675"/>
      <c r="V4" s="675"/>
      <c r="W4" s="673">
        <f>1-T4</f>
        <v>0.29545454545454541</v>
      </c>
      <c r="Y4">
        <f t="shared" ref="Y4:Y15" si="2">+G4-O4</f>
        <v>-6</v>
      </c>
    </row>
    <row r="5" spans="2:38" ht="20" customHeight="1" x14ac:dyDescent="0.2">
      <c r="B5" s="656" t="s">
        <v>18</v>
      </c>
      <c r="C5" s="657" t="s">
        <v>19</v>
      </c>
      <c r="D5" s="657" t="s">
        <v>20</v>
      </c>
      <c r="E5" s="657"/>
      <c r="F5" s="698">
        <f>+'Overview T0'!J7</f>
        <v>6</v>
      </c>
      <c r="G5" s="699">
        <f>+'Overview T0'!L7</f>
        <v>31</v>
      </c>
      <c r="H5" s="723">
        <f>+'root col (T0)'!K25+'root col (T0)'!J30+'root col (T0)'!K49</f>
        <v>0.75</v>
      </c>
      <c r="I5" s="700">
        <f>+'Overview T0'!K7</f>
        <v>9.7096774193548396E-2</v>
      </c>
      <c r="J5" s="701">
        <f t="shared" si="0"/>
        <v>3</v>
      </c>
      <c r="K5" s="701">
        <f t="shared" si="1"/>
        <v>28</v>
      </c>
      <c r="L5" s="702">
        <f>+'Overview T0'!M7</f>
        <v>9.6774193548387094E-2</v>
      </c>
      <c r="M5" s="655">
        <f t="shared" ref="M5:M15" si="3">1-L5</f>
        <v>0.90322580645161288</v>
      </c>
      <c r="N5" s="682">
        <f>+'Overview T1'!I7</f>
        <v>11</v>
      </c>
      <c r="O5" s="679">
        <f>+'Overview T1'!L7</f>
        <v>73</v>
      </c>
      <c r="P5" s="727">
        <v>1</v>
      </c>
      <c r="Q5" s="680">
        <f>+'root col (T1)'!Q189</f>
        <v>0.72602739726027399</v>
      </c>
      <c r="R5" s="679">
        <f t="shared" ref="R5:R15" si="4">+O5*T5</f>
        <v>57</v>
      </c>
      <c r="S5" s="679">
        <f t="shared" ref="S5:S15" si="5">+O5-R5</f>
        <v>16</v>
      </c>
      <c r="T5" s="681">
        <f>+'Overview T1'!M7</f>
        <v>0.78082191780821919</v>
      </c>
      <c r="U5" s="675"/>
      <c r="V5" s="675"/>
      <c r="W5" s="673">
        <f t="shared" ref="W5:W15" si="6">1-T5</f>
        <v>0.21917808219178081</v>
      </c>
      <c r="Y5">
        <f t="shared" si="2"/>
        <v>-42</v>
      </c>
    </row>
    <row r="6" spans="2:38" ht="20" customHeight="1" x14ac:dyDescent="0.2">
      <c r="B6" s="658" t="s">
        <v>21</v>
      </c>
      <c r="C6" s="659" t="s">
        <v>22</v>
      </c>
      <c r="D6" s="660" t="s">
        <v>23</v>
      </c>
      <c r="E6" s="660"/>
      <c r="F6" s="698">
        <f>+'Overview T0'!J8</f>
        <v>8</v>
      </c>
      <c r="G6" s="699">
        <f>+'Overview T0'!L8</f>
        <v>45</v>
      </c>
      <c r="H6" s="723">
        <f>+'root col (T0)'!K78</f>
        <v>0.75</v>
      </c>
      <c r="I6" s="700">
        <f>+'Overview T0'!K8</f>
        <v>6.6666666666666666E-2</v>
      </c>
      <c r="J6" s="701">
        <f t="shared" si="0"/>
        <v>3</v>
      </c>
      <c r="K6" s="701">
        <f t="shared" si="1"/>
        <v>42</v>
      </c>
      <c r="L6" s="702">
        <f>+'Overview T0'!M8</f>
        <v>6.6666666666666666E-2</v>
      </c>
      <c r="M6" s="655">
        <f t="shared" si="3"/>
        <v>0.93333333333333335</v>
      </c>
      <c r="N6" s="682">
        <f>+'Overview T1'!I8</f>
        <v>11</v>
      </c>
      <c r="O6" s="679">
        <f>+'Overview T1'!L8</f>
        <v>49</v>
      </c>
      <c r="P6" s="727">
        <v>1</v>
      </c>
      <c r="Q6" s="680">
        <f>+'root col (T1)'!Q91</f>
        <v>0.77551020408163263</v>
      </c>
      <c r="R6" s="679">
        <f t="shared" si="4"/>
        <v>37</v>
      </c>
      <c r="S6" s="679">
        <f t="shared" si="5"/>
        <v>12</v>
      </c>
      <c r="T6" s="681">
        <f>+'Overview T1'!M8</f>
        <v>0.75510204081632648</v>
      </c>
      <c r="U6" s="675"/>
      <c r="V6" s="675"/>
      <c r="W6" s="673">
        <f t="shared" si="6"/>
        <v>0.24489795918367352</v>
      </c>
      <c r="Y6">
        <f t="shared" si="2"/>
        <v>-4</v>
      </c>
    </row>
    <row r="7" spans="2:38" ht="20" customHeight="1" x14ac:dyDescent="0.2">
      <c r="B7" s="658" t="s">
        <v>24</v>
      </c>
      <c r="C7" s="659" t="s">
        <v>25</v>
      </c>
      <c r="D7" s="660" t="s">
        <v>26</v>
      </c>
      <c r="E7" s="660"/>
      <c r="F7" s="698">
        <f>+'Overview T0'!J9</f>
        <v>28</v>
      </c>
      <c r="G7" s="699">
        <f>+'Overview T0'!L9</f>
        <v>88</v>
      </c>
      <c r="H7" s="723">
        <f>+'root col (T0)'!K128</f>
        <v>0.8</v>
      </c>
      <c r="I7" s="700">
        <f>+'Overview T0'!K9</f>
        <v>0.2156818181818182</v>
      </c>
      <c r="J7" s="701">
        <f t="shared" si="0"/>
        <v>19</v>
      </c>
      <c r="K7" s="701">
        <f t="shared" si="1"/>
        <v>69</v>
      </c>
      <c r="L7" s="702">
        <f>+'Overview T0'!M9</f>
        <v>0.21590909090909091</v>
      </c>
      <c r="M7" s="655">
        <f t="shared" si="3"/>
        <v>0.78409090909090906</v>
      </c>
      <c r="N7" s="682">
        <f>+'Overview T1'!I9</f>
        <v>19</v>
      </c>
      <c r="O7" s="679">
        <f>+'Overview T1'!L9</f>
        <v>83</v>
      </c>
      <c r="P7" s="727">
        <v>1</v>
      </c>
      <c r="Q7" s="680">
        <f>+'root col (T1)'!R7</f>
        <v>0.84678655370300926</v>
      </c>
      <c r="R7" s="679">
        <f t="shared" si="4"/>
        <v>73.87</v>
      </c>
      <c r="S7" s="679">
        <f t="shared" si="5"/>
        <v>9.1299999999999955</v>
      </c>
      <c r="T7" s="681">
        <f>+'Overview T1'!M9</f>
        <v>0.89</v>
      </c>
      <c r="U7" s="675"/>
      <c r="V7" s="675"/>
      <c r="W7" s="673">
        <f t="shared" si="6"/>
        <v>0.10999999999999999</v>
      </c>
      <c r="Y7" s="61">
        <f t="shared" si="2"/>
        <v>5</v>
      </c>
      <c r="AA7" t="s">
        <v>1613</v>
      </c>
      <c r="AB7" s="82">
        <f>+F15+N15</f>
        <v>275</v>
      </c>
      <c r="AD7" s="536"/>
      <c r="AE7" s="536"/>
      <c r="AH7" s="536"/>
      <c r="AK7" s="533"/>
    </row>
    <row r="8" spans="2:38" ht="20" customHeight="1" x14ac:dyDescent="0.2">
      <c r="B8" s="658" t="s">
        <v>28</v>
      </c>
      <c r="C8" s="659" t="s">
        <v>29</v>
      </c>
      <c r="D8" s="660" t="s">
        <v>30</v>
      </c>
      <c r="E8" s="660"/>
      <c r="F8" s="698">
        <f>+'Overview T0'!J10</f>
        <v>19</v>
      </c>
      <c r="G8" s="699">
        <f>+'Overview T0'!L10</f>
        <v>77</v>
      </c>
      <c r="H8" s="723">
        <f>+'root col (T0)'!K233</f>
        <v>1</v>
      </c>
      <c r="I8" s="700">
        <f>+'Overview T0'!K10</f>
        <v>0.50649350649350655</v>
      </c>
      <c r="J8" s="701">
        <f t="shared" si="0"/>
        <v>38.999999999999993</v>
      </c>
      <c r="K8" s="701">
        <f t="shared" si="1"/>
        <v>38.000000000000007</v>
      </c>
      <c r="L8" s="702">
        <f>+'Overview T0'!M10</f>
        <v>0.50649350649350644</v>
      </c>
      <c r="M8" s="655">
        <f t="shared" si="3"/>
        <v>0.49350649350649356</v>
      </c>
      <c r="N8" s="682">
        <f>+'Overview T1'!I10</f>
        <v>19</v>
      </c>
      <c r="O8" s="679">
        <f>+'Overview T1'!L10</f>
        <v>102</v>
      </c>
      <c r="P8" s="727">
        <v>1</v>
      </c>
      <c r="Q8" s="680">
        <f>+'Overview T1'!M10</f>
        <v>0.99019607843137258</v>
      </c>
      <c r="R8" s="679">
        <f t="shared" si="4"/>
        <v>101</v>
      </c>
      <c r="S8" s="679">
        <f t="shared" si="5"/>
        <v>1</v>
      </c>
      <c r="T8" s="681">
        <f>+'Overview T1'!M10</f>
        <v>0.99019607843137258</v>
      </c>
      <c r="U8" s="675"/>
      <c r="V8" s="675"/>
      <c r="W8" s="673">
        <f t="shared" si="6"/>
        <v>9.8039215686274161E-3</v>
      </c>
      <c r="Y8">
        <f t="shared" si="2"/>
        <v>-25</v>
      </c>
      <c r="AA8" t="s">
        <v>1614</v>
      </c>
      <c r="AB8" s="82">
        <f>+G15+O15</f>
        <v>1305</v>
      </c>
      <c r="AD8" s="536"/>
      <c r="AE8" s="536"/>
      <c r="AH8" s="536"/>
      <c r="AK8" s="533"/>
    </row>
    <row r="9" spans="2:38" ht="20" customHeight="1" x14ac:dyDescent="0.2">
      <c r="B9" s="658" t="s">
        <v>34</v>
      </c>
      <c r="C9" s="659" t="s">
        <v>35</v>
      </c>
      <c r="D9" s="660" t="s">
        <v>36</v>
      </c>
      <c r="E9" s="660"/>
      <c r="F9" s="698">
        <f>+'Overview T0'!J11</f>
        <v>19</v>
      </c>
      <c r="G9" s="699">
        <f>+'Overview T0'!L11</f>
        <v>71</v>
      </c>
      <c r="H9" s="723">
        <f>+'root col (T0)'!K312</f>
        <v>0</v>
      </c>
      <c r="I9" s="700">
        <f>+'Overview T0'!K11</f>
        <v>9.3943661971830988E-2</v>
      </c>
      <c r="J9" s="701">
        <f t="shared" si="0"/>
        <v>6</v>
      </c>
      <c r="K9" s="701">
        <f t="shared" si="1"/>
        <v>65</v>
      </c>
      <c r="L9" s="702">
        <f>+'Overview T0'!M11</f>
        <v>8.4507042253521125E-2</v>
      </c>
      <c r="M9" s="655">
        <f t="shared" si="3"/>
        <v>0.91549295774647887</v>
      </c>
      <c r="N9" s="682">
        <f>+'Overview T1'!I11</f>
        <v>17</v>
      </c>
      <c r="O9" s="679">
        <f>+'Overview T1'!L11</f>
        <v>62</v>
      </c>
      <c r="P9" s="727">
        <v>1</v>
      </c>
      <c r="Q9" s="680">
        <f>+'Overview T1'!M11</f>
        <v>0.9838709677419355</v>
      </c>
      <c r="R9" s="679">
        <f t="shared" si="4"/>
        <v>61</v>
      </c>
      <c r="S9" s="679">
        <f t="shared" si="5"/>
        <v>1</v>
      </c>
      <c r="T9" s="681">
        <f>+'Overview T1'!M11</f>
        <v>0.9838709677419355</v>
      </c>
      <c r="U9" s="675"/>
      <c r="V9" s="675"/>
      <c r="W9" s="673">
        <f t="shared" si="6"/>
        <v>1.6129032258064502E-2</v>
      </c>
      <c r="Y9">
        <f t="shared" si="2"/>
        <v>9</v>
      </c>
      <c r="AA9" s="536"/>
      <c r="AB9" s="536" t="s">
        <v>1615</v>
      </c>
      <c r="AC9" t="s">
        <v>1616</v>
      </c>
      <c r="AH9" s="536"/>
      <c r="AK9" s="533"/>
    </row>
    <row r="10" spans="2:38" ht="20" customHeight="1" x14ac:dyDescent="0.2">
      <c r="B10" s="658" t="s">
        <v>37</v>
      </c>
      <c r="C10" s="659" t="s">
        <v>38</v>
      </c>
      <c r="D10" s="660" t="s">
        <v>39</v>
      </c>
      <c r="E10" s="660"/>
      <c r="F10" s="698">
        <f>+'Overview T0'!J12</f>
        <v>3</v>
      </c>
      <c r="G10" s="699">
        <f>+'Overview T0'!L12</f>
        <v>9</v>
      </c>
      <c r="H10" s="723">
        <f>+'root col (T0)'!K391</f>
        <v>0.5</v>
      </c>
      <c r="I10" s="700">
        <f>+'Overview T0'!K12</f>
        <v>0.1111111111111111</v>
      </c>
      <c r="J10" s="701">
        <f t="shared" si="0"/>
        <v>1</v>
      </c>
      <c r="K10" s="701">
        <f t="shared" si="1"/>
        <v>8</v>
      </c>
      <c r="L10" s="702">
        <f>+'Overview T0'!M12</f>
        <v>0.1111111111111111</v>
      </c>
      <c r="M10" s="655">
        <f t="shared" si="3"/>
        <v>0.88888888888888884</v>
      </c>
      <c r="N10" s="682">
        <f>+'Overview T1'!I12</f>
        <v>16</v>
      </c>
      <c r="O10" s="679">
        <f>+'Overview T1'!L12</f>
        <v>67</v>
      </c>
      <c r="P10" s="727">
        <v>1</v>
      </c>
      <c r="Q10" s="680">
        <f>+'root col (T1)'!Q503</f>
        <v>0.9838308457711441</v>
      </c>
      <c r="R10" s="679">
        <f t="shared" si="4"/>
        <v>62.31</v>
      </c>
      <c r="S10" s="679">
        <f t="shared" si="5"/>
        <v>4.6899999999999977</v>
      </c>
      <c r="T10" s="681">
        <f>+'Overview T1'!M12</f>
        <v>0.93</v>
      </c>
      <c r="U10" s="675"/>
      <c r="V10" s="675"/>
      <c r="W10" s="673">
        <f t="shared" si="6"/>
        <v>6.9999999999999951E-2</v>
      </c>
      <c r="Y10">
        <f t="shared" si="2"/>
        <v>-58</v>
      </c>
      <c r="AA10" s="536" t="s">
        <v>1617</v>
      </c>
      <c r="AB10" s="544">
        <f>0.86*G15</f>
        <v>503.96</v>
      </c>
      <c r="AC10" s="82">
        <f>0.15*O15</f>
        <v>107.85</v>
      </c>
      <c r="AH10" s="536"/>
      <c r="AK10" s="533"/>
    </row>
    <row r="11" spans="2:38" ht="20" customHeight="1" x14ac:dyDescent="0.2">
      <c r="B11" s="658" t="s">
        <v>40</v>
      </c>
      <c r="C11" s="659" t="s">
        <v>41</v>
      </c>
      <c r="D11" s="661" t="s">
        <v>42</v>
      </c>
      <c r="E11" s="657"/>
      <c r="F11" s="698">
        <f>+'Overview T0'!J13</f>
        <v>10</v>
      </c>
      <c r="G11" s="699">
        <f>+'Overview T0'!L13</f>
        <v>52</v>
      </c>
      <c r="H11" s="723">
        <f>+'root col (T0)'!K449</f>
        <v>0.8</v>
      </c>
      <c r="I11" s="700">
        <f>+'Overview T0'!K13</f>
        <v>9.6153846153846159E-2</v>
      </c>
      <c r="J11" s="701">
        <f t="shared" si="0"/>
        <v>5</v>
      </c>
      <c r="K11" s="701">
        <f t="shared" si="1"/>
        <v>47</v>
      </c>
      <c r="L11" s="702">
        <f>+'Overview T0'!M13</f>
        <v>9.6153846153846159E-2</v>
      </c>
      <c r="M11" s="655">
        <f t="shared" si="3"/>
        <v>0.90384615384615385</v>
      </c>
      <c r="N11" s="682">
        <f>+'Overview T1'!I13</f>
        <v>8</v>
      </c>
      <c r="O11" s="679">
        <f>+'Overview T1'!L13</f>
        <v>40</v>
      </c>
      <c r="P11" s="727">
        <v>1</v>
      </c>
      <c r="Q11" s="680">
        <f>+'root col (T1)'!Q458</f>
        <v>0.75</v>
      </c>
      <c r="R11" s="679">
        <f t="shared" si="4"/>
        <v>33</v>
      </c>
      <c r="S11" s="679">
        <f t="shared" si="5"/>
        <v>7</v>
      </c>
      <c r="T11" s="681">
        <f>+'Overview T1'!M13</f>
        <v>0.82499999999999996</v>
      </c>
      <c r="U11" s="675"/>
      <c r="V11" s="675"/>
      <c r="W11" s="673">
        <f t="shared" si="6"/>
        <v>0.17500000000000004</v>
      </c>
      <c r="Y11" s="61">
        <f t="shared" si="2"/>
        <v>12</v>
      </c>
      <c r="AA11" s="536" t="s">
        <v>1618</v>
      </c>
      <c r="AB11" s="544">
        <f>+G15-AB10</f>
        <v>82.04000000000002</v>
      </c>
      <c r="AC11" s="82">
        <f>+O15-AC10</f>
        <v>611.15</v>
      </c>
      <c r="AH11" s="536"/>
      <c r="AK11" s="533"/>
    </row>
    <row r="12" spans="2:38" s="62" customFormat="1" ht="20" customHeight="1" x14ac:dyDescent="0.2">
      <c r="B12" s="662" t="s">
        <v>43</v>
      </c>
      <c r="C12" s="663" t="s">
        <v>44</v>
      </c>
      <c r="D12" s="664" t="s">
        <v>45</v>
      </c>
      <c r="E12" s="665"/>
      <c r="F12" s="703">
        <f>+'Overview T0'!J14</f>
        <v>9</v>
      </c>
      <c r="G12" s="679">
        <f>+'Overview T0'!L14</f>
        <v>64</v>
      </c>
      <c r="H12" s="724">
        <f>+'root col (T0)'!K529</f>
        <v>0.2</v>
      </c>
      <c r="I12" s="700">
        <f>+'Overview T0'!K14</f>
        <v>4.6875E-2</v>
      </c>
      <c r="J12" s="704">
        <f t="shared" si="0"/>
        <v>3</v>
      </c>
      <c r="K12" s="701">
        <f t="shared" si="1"/>
        <v>61</v>
      </c>
      <c r="L12" s="702">
        <f>+'Overview T0'!M14</f>
        <v>4.6875E-2</v>
      </c>
      <c r="M12" s="655">
        <f t="shared" si="3"/>
        <v>0.953125</v>
      </c>
      <c r="N12" s="682">
        <f>+'Overview T1'!I14</f>
        <v>12</v>
      </c>
      <c r="O12" s="679">
        <f>+'Overview T1'!L14</f>
        <v>70</v>
      </c>
      <c r="P12" s="727">
        <v>1</v>
      </c>
      <c r="Q12" s="680">
        <f>+'root col (T1)'!Q683</f>
        <v>0.8</v>
      </c>
      <c r="R12" s="679">
        <f>+'root col (T1)'!M683</f>
        <v>55</v>
      </c>
      <c r="S12" s="679">
        <f t="shared" si="5"/>
        <v>15</v>
      </c>
      <c r="T12" s="681">
        <f>+'root col (T1)'!L683</f>
        <v>0.7857142857142857</v>
      </c>
      <c r="U12" s="675"/>
      <c r="V12" s="675"/>
      <c r="W12" s="673">
        <f t="shared" si="6"/>
        <v>0.2142857142857143</v>
      </c>
      <c r="Y12">
        <f t="shared" si="2"/>
        <v>-6</v>
      </c>
      <c r="AA12"/>
      <c r="AB12"/>
      <c r="AC12"/>
      <c r="AD12" s="536"/>
      <c r="AE12" s="536" t="s">
        <v>27</v>
      </c>
      <c r="AF12" s="365" t="s">
        <v>27</v>
      </c>
      <c r="AG12"/>
      <c r="AH12" s="536"/>
      <c r="AI12"/>
      <c r="AJ12"/>
      <c r="AK12" s="533"/>
      <c r="AL12"/>
    </row>
    <row r="13" spans="2:38" ht="20" customHeight="1" x14ac:dyDescent="0.2">
      <c r="B13" s="658" t="s">
        <v>709</v>
      </c>
      <c r="C13" s="659" t="s">
        <v>1611</v>
      </c>
      <c r="D13" s="666" t="s">
        <v>51</v>
      </c>
      <c r="E13" s="666"/>
      <c r="F13" s="698">
        <f>+'Overview T0'!J15</f>
        <v>17</v>
      </c>
      <c r="G13" s="699">
        <f>+'Overview T0'!L15</f>
        <v>109</v>
      </c>
      <c r="H13" s="723">
        <f>+'root col (T0)'!K594</f>
        <v>0</v>
      </c>
      <c r="I13" s="700">
        <f>+'Overview T0'!K15</f>
        <v>0</v>
      </c>
      <c r="J13" s="701">
        <f t="shared" si="0"/>
        <v>0</v>
      </c>
      <c r="K13" s="701">
        <f t="shared" si="1"/>
        <v>109</v>
      </c>
      <c r="L13" s="702">
        <f>+'Overview T0'!M15</f>
        <v>0</v>
      </c>
      <c r="M13" s="655">
        <f t="shared" si="3"/>
        <v>1</v>
      </c>
      <c r="N13" s="682">
        <f>+'Overview T1'!I15+'Overview T1'!I16</f>
        <v>23</v>
      </c>
      <c r="O13" s="679">
        <f>+'Overview T1'!L15+'Overview T1'!L16</f>
        <v>104</v>
      </c>
      <c r="P13" s="727">
        <v>1</v>
      </c>
      <c r="Q13" s="680">
        <f>+('Overview T1'!K15+'Overview T1'!K16)/2</f>
        <v>0.87343413729128017</v>
      </c>
      <c r="R13" s="683">
        <f>+'root col (T1)'!M633+'root col (T1)'!M575</f>
        <v>95</v>
      </c>
      <c r="S13" s="679">
        <f t="shared" si="5"/>
        <v>9</v>
      </c>
      <c r="T13" s="681">
        <f>+R13/O13</f>
        <v>0.91346153846153844</v>
      </c>
      <c r="U13" s="675"/>
      <c r="V13" s="675"/>
      <c r="W13" s="673">
        <f t="shared" si="6"/>
        <v>8.6538461538461564E-2</v>
      </c>
      <c r="Y13" s="61">
        <f t="shared" si="2"/>
        <v>5</v>
      </c>
      <c r="AD13" s="536"/>
      <c r="AE13" s="536"/>
      <c r="AF13" s="82" t="s">
        <v>27</v>
      </c>
      <c r="AH13" s="536"/>
      <c r="AK13" s="533"/>
    </row>
    <row r="14" spans="2:38" ht="20" customHeight="1" thickBot="1" x14ac:dyDescent="0.25">
      <c r="B14" s="667" t="s">
        <v>1326</v>
      </c>
      <c r="C14" s="660" t="s">
        <v>1612</v>
      </c>
      <c r="D14" s="660" t="s">
        <v>55</v>
      </c>
      <c r="E14" s="660"/>
      <c r="F14" s="705">
        <f>+'Overview T0'!J16</f>
        <v>1</v>
      </c>
      <c r="G14" s="706">
        <f>+'Overview T0'!L16</f>
        <v>2</v>
      </c>
      <c r="H14" s="725">
        <f>+'root col (T0)'!K716</f>
        <v>0</v>
      </c>
      <c r="I14" s="707">
        <f>+'Overview T0'!K16</f>
        <v>0</v>
      </c>
      <c r="J14" s="708">
        <f t="shared" si="0"/>
        <v>0</v>
      </c>
      <c r="K14" s="708">
        <f t="shared" si="1"/>
        <v>2</v>
      </c>
      <c r="L14" s="709">
        <f>+'Overview T0'!M16</f>
        <v>0</v>
      </c>
      <c r="M14" s="668">
        <f t="shared" si="3"/>
        <v>1</v>
      </c>
      <c r="N14" s="684">
        <f>+'Overview T1'!I17</f>
        <v>3</v>
      </c>
      <c r="O14" s="685">
        <f>+'Overview T1'!L17</f>
        <v>25</v>
      </c>
      <c r="P14" s="727">
        <v>1</v>
      </c>
      <c r="Q14" s="686">
        <f>+'root col (T1)'!Q432</f>
        <v>0.56000000000000005</v>
      </c>
      <c r="R14" s="685">
        <f t="shared" si="4"/>
        <v>15</v>
      </c>
      <c r="S14" s="685">
        <f t="shared" si="5"/>
        <v>10</v>
      </c>
      <c r="T14" s="687">
        <f>+'root col (T1)'!L432</f>
        <v>0.6</v>
      </c>
      <c r="U14" s="675"/>
      <c r="V14" s="675"/>
      <c r="W14" s="673">
        <f t="shared" si="6"/>
        <v>0.4</v>
      </c>
      <c r="Y14">
        <f t="shared" si="2"/>
        <v>-23</v>
      </c>
      <c r="AD14" s="536"/>
      <c r="AE14" s="536"/>
      <c r="AH14" s="536"/>
      <c r="AK14" s="533">
        <f>+O15+G15</f>
        <v>1305</v>
      </c>
    </row>
    <row r="15" spans="2:38" s="8" customFormat="1" ht="20" customHeight="1" thickTop="1" thickBot="1" x14ac:dyDescent="0.25">
      <c r="B15" s="669" t="s">
        <v>1739</v>
      </c>
      <c r="C15" s="670"/>
      <c r="D15" s="670"/>
      <c r="E15" s="670"/>
      <c r="F15" s="710">
        <f>+'Overview T0'!J17</f>
        <v>129</v>
      </c>
      <c r="G15" s="691">
        <f>+'Overview T0'!L17</f>
        <v>586</v>
      </c>
      <c r="H15" s="726">
        <f>+'root col (T0)'!K4</f>
        <v>0.58333333333333337</v>
      </c>
      <c r="I15" s="690">
        <f>+'root col (T0)'!T4</f>
        <v>0.1303539378749905</v>
      </c>
      <c r="J15" s="711">
        <f t="shared" si="0"/>
        <v>83</v>
      </c>
      <c r="K15" s="711">
        <f t="shared" si="1"/>
        <v>503</v>
      </c>
      <c r="L15" s="712">
        <f>+'Overview T0'!M17</f>
        <v>0.14163822525597269</v>
      </c>
      <c r="M15" s="671">
        <f t="shared" si="3"/>
        <v>0.85836177474402731</v>
      </c>
      <c r="N15" s="688">
        <f>+'Overview T1'!I19</f>
        <v>146</v>
      </c>
      <c r="O15" s="689">
        <f>+'Overview T1'!L19</f>
        <v>719</v>
      </c>
      <c r="P15" s="728">
        <f>AVERAGE(P4:P14)</f>
        <v>1</v>
      </c>
      <c r="Q15" s="690">
        <f>+'root col (T1)'!R6</f>
        <v>0.84678655370300926</v>
      </c>
      <c r="R15" s="689">
        <f t="shared" si="4"/>
        <v>621</v>
      </c>
      <c r="S15" s="691">
        <f t="shared" si="5"/>
        <v>98</v>
      </c>
      <c r="T15" s="692">
        <f>+'Overview T1'!M19</f>
        <v>0.86369958275382475</v>
      </c>
      <c r="U15" s="675"/>
      <c r="V15" s="675"/>
      <c r="W15" s="674">
        <f t="shared" si="6"/>
        <v>0.13630041724617525</v>
      </c>
      <c r="Y15">
        <f t="shared" si="2"/>
        <v>-133</v>
      </c>
    </row>
    <row r="16" spans="2:38" ht="16" thickTop="1" x14ac:dyDescent="0.2">
      <c r="B16" s="534"/>
      <c r="O16" t="s">
        <v>27</v>
      </c>
    </row>
    <row r="17" spans="2:2" ht="16" x14ac:dyDescent="0.2">
      <c r="B17" s="535" t="s">
        <v>1740</v>
      </c>
    </row>
    <row r="18" spans="2:2" ht="16" x14ac:dyDescent="0.2">
      <c r="B18" s="435"/>
    </row>
    <row r="19" spans="2:2" ht="16" x14ac:dyDescent="0.2">
      <c r="B19" s="66" t="s">
        <v>1744</v>
      </c>
    </row>
  </sheetData>
  <mergeCells count="2">
    <mergeCell ref="F2:L2"/>
    <mergeCell ref="N2:T2"/>
  </mergeCells>
  <pageMargins left="0.75" right="0.75" top="1" bottom="1" header="0.5" footer="0.5"/>
  <pageSetup paperSize="9" scale="97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T120"/>
  <sheetViews>
    <sheetView showGridLines="0"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5" sqref="C5"/>
    </sheetView>
  </sheetViews>
  <sheetFormatPr baseColWidth="10" defaultColWidth="11.5" defaultRowHeight="15" x14ac:dyDescent="0.2"/>
  <cols>
    <col min="1" max="1" width="11.5" style="771"/>
    <col min="2" max="2" width="6.1640625" style="771" customWidth="1"/>
    <col min="3" max="3" width="7.5" style="773" customWidth="1"/>
    <col min="4" max="4" width="9.5" style="773" customWidth="1"/>
    <col min="5" max="5" width="6.83203125" style="773" customWidth="1"/>
    <col min="6" max="6" width="8.1640625" style="771" customWidth="1"/>
    <col min="7" max="7" width="8.6640625" style="771" customWidth="1"/>
    <col min="8" max="8" width="9.6640625" style="771" customWidth="1"/>
    <col min="9" max="9" width="7.5" style="773" customWidth="1"/>
    <col min="10" max="10" width="7.1640625" style="771" customWidth="1"/>
    <col min="11" max="11" width="8.33203125" style="771" customWidth="1"/>
    <col min="12" max="12" width="9.1640625" style="771" customWidth="1"/>
    <col min="13" max="13" width="7.33203125" style="773" customWidth="1"/>
    <col min="14" max="14" width="7.6640625" style="771" customWidth="1"/>
    <col min="15" max="15" width="8.33203125" style="771" customWidth="1"/>
    <col min="16" max="16" width="8.5" style="771" customWidth="1"/>
    <col min="17" max="17" width="7.1640625" style="774" customWidth="1"/>
    <col min="18" max="18" width="10.6640625" style="770" customWidth="1"/>
    <col min="19" max="19" width="9.5" style="770" customWidth="1"/>
    <col min="20" max="20" width="10" style="770" customWidth="1"/>
    <col min="21" max="21" width="8.1640625" style="814" customWidth="1"/>
    <col min="22" max="22" width="11.5" style="799" customWidth="1"/>
    <col min="23" max="98" width="11.5" style="799"/>
    <col min="99" max="16384" width="11.5" style="771"/>
  </cols>
  <sheetData>
    <row r="1" spans="1:98" s="769" customFormat="1" ht="16" x14ac:dyDescent="0.2">
      <c r="A1" s="836" t="s">
        <v>1766</v>
      </c>
      <c r="B1" s="836"/>
      <c r="C1" s="836"/>
      <c r="D1" s="836"/>
      <c r="E1" s="836"/>
      <c r="F1" s="836"/>
      <c r="G1" s="836"/>
      <c r="H1" s="836"/>
      <c r="I1" s="836"/>
      <c r="J1" s="836"/>
      <c r="K1" s="836"/>
      <c r="L1" s="836"/>
      <c r="M1" s="836"/>
      <c r="N1" s="836"/>
      <c r="O1" s="836"/>
      <c r="P1" s="836"/>
      <c r="Q1" s="836"/>
      <c r="R1" s="836"/>
      <c r="S1" s="836"/>
      <c r="T1" s="836"/>
      <c r="U1" s="812"/>
      <c r="V1" s="813"/>
      <c r="W1" s="813"/>
      <c r="X1" s="813"/>
      <c r="Y1" s="813"/>
      <c r="Z1" s="813"/>
      <c r="AA1" s="813"/>
      <c r="AB1" s="813"/>
      <c r="AC1" s="813"/>
      <c r="AD1" s="813"/>
      <c r="AE1" s="813"/>
      <c r="AF1" s="813"/>
      <c r="AG1" s="813"/>
      <c r="AH1" s="813"/>
      <c r="AI1" s="813"/>
      <c r="AJ1" s="813"/>
      <c r="AK1" s="813"/>
      <c r="AL1" s="813"/>
      <c r="AM1" s="813"/>
      <c r="AN1" s="813"/>
      <c r="AO1" s="813"/>
      <c r="AP1" s="813"/>
      <c r="AQ1" s="813"/>
      <c r="AR1" s="813"/>
      <c r="AS1" s="813"/>
      <c r="AT1" s="813"/>
      <c r="AU1" s="813"/>
      <c r="AV1" s="813"/>
      <c r="AW1" s="813"/>
      <c r="AX1" s="813"/>
      <c r="AY1" s="813"/>
      <c r="AZ1" s="813"/>
      <c r="BA1" s="813"/>
      <c r="BB1" s="813"/>
      <c r="BC1" s="813"/>
      <c r="BD1" s="813"/>
      <c r="BE1" s="813"/>
      <c r="BF1" s="813"/>
      <c r="BG1" s="813"/>
      <c r="BH1" s="813"/>
      <c r="BI1" s="813"/>
      <c r="BJ1" s="813"/>
      <c r="BK1" s="813"/>
      <c r="BL1" s="813"/>
      <c r="BM1" s="813"/>
      <c r="BN1" s="813"/>
      <c r="BO1" s="813"/>
      <c r="BP1" s="813"/>
      <c r="BQ1" s="813"/>
      <c r="BR1" s="813"/>
      <c r="BS1" s="813"/>
      <c r="BT1" s="813"/>
      <c r="BU1" s="813"/>
      <c r="BV1" s="813"/>
      <c r="BW1" s="813"/>
      <c r="BX1" s="813"/>
      <c r="BY1" s="813"/>
      <c r="BZ1" s="813"/>
      <c r="CA1" s="813"/>
      <c r="CB1" s="813"/>
      <c r="CC1" s="813"/>
      <c r="CD1" s="813"/>
      <c r="CE1" s="813"/>
      <c r="CF1" s="813"/>
      <c r="CG1" s="813"/>
      <c r="CH1" s="813"/>
      <c r="CI1" s="813"/>
      <c r="CJ1" s="813"/>
      <c r="CK1" s="813"/>
      <c r="CL1" s="813"/>
      <c r="CM1" s="813"/>
      <c r="CN1" s="813"/>
      <c r="CO1" s="813"/>
      <c r="CP1" s="813"/>
      <c r="CQ1" s="813"/>
      <c r="CR1" s="813"/>
      <c r="CS1" s="813"/>
      <c r="CT1" s="813"/>
    </row>
    <row r="2" spans="1:98" x14ac:dyDescent="0.2">
      <c r="A2" s="837" t="s">
        <v>1767</v>
      </c>
      <c r="B2" s="837"/>
      <c r="C2" s="837"/>
      <c r="D2" s="837"/>
      <c r="E2" s="837"/>
      <c r="F2" s="837"/>
      <c r="G2" s="837"/>
      <c r="H2" s="837"/>
      <c r="I2" s="837"/>
      <c r="J2" s="837"/>
      <c r="K2" s="837"/>
      <c r="L2" s="837"/>
      <c r="M2" s="837"/>
      <c r="N2" s="837"/>
      <c r="O2" s="837"/>
      <c r="P2" s="837"/>
      <c r="Q2" s="837"/>
      <c r="R2" s="837"/>
      <c r="S2" s="837"/>
      <c r="T2" s="837"/>
    </row>
    <row r="3" spans="1:98" x14ac:dyDescent="0.2">
      <c r="A3" s="772"/>
    </row>
    <row r="4" spans="1:98" ht="32" customHeight="1" x14ac:dyDescent="0.2">
      <c r="A4" s="775" t="s">
        <v>27</v>
      </c>
      <c r="B4" s="829" t="s">
        <v>1775</v>
      </c>
      <c r="C4" s="829"/>
      <c r="D4" s="829"/>
      <c r="E4" s="829"/>
      <c r="F4" s="829" t="s">
        <v>1776</v>
      </c>
      <c r="G4" s="829"/>
      <c r="H4" s="829"/>
      <c r="I4" s="829"/>
      <c r="J4" s="829" t="s">
        <v>1777</v>
      </c>
      <c r="K4" s="829"/>
      <c r="L4" s="829"/>
      <c r="M4" s="829"/>
      <c r="N4" s="830" t="s">
        <v>1768</v>
      </c>
      <c r="O4" s="830"/>
      <c r="P4" s="830"/>
      <c r="Q4" s="830"/>
      <c r="R4" s="829" t="s">
        <v>1769</v>
      </c>
      <c r="S4" s="829"/>
      <c r="T4" s="829"/>
      <c r="U4" s="815"/>
    </row>
    <row r="5" spans="1:98" ht="60" customHeight="1" x14ac:dyDescent="0.2">
      <c r="A5" s="838" t="s">
        <v>1629</v>
      </c>
      <c r="B5" s="831" t="s">
        <v>1772</v>
      </c>
      <c r="C5" s="832" t="s">
        <v>1632</v>
      </c>
      <c r="D5" s="832" t="s">
        <v>1773</v>
      </c>
      <c r="E5" s="832" t="s">
        <v>1633</v>
      </c>
      <c r="F5" s="831" t="s">
        <v>1772</v>
      </c>
      <c r="G5" s="831" t="s">
        <v>1632</v>
      </c>
      <c r="H5" s="832" t="s">
        <v>1773</v>
      </c>
      <c r="I5" s="832" t="s">
        <v>1633</v>
      </c>
      <c r="J5" s="831" t="s">
        <v>1772</v>
      </c>
      <c r="K5" s="831" t="s">
        <v>1632</v>
      </c>
      <c r="L5" s="832" t="s">
        <v>1773</v>
      </c>
      <c r="M5" s="832" t="s">
        <v>1633</v>
      </c>
      <c r="N5" s="835" t="s">
        <v>1772</v>
      </c>
      <c r="O5" s="833" t="s">
        <v>1632</v>
      </c>
      <c r="P5" s="832" t="s">
        <v>1773</v>
      </c>
      <c r="Q5" s="834" t="s">
        <v>1633</v>
      </c>
      <c r="R5" s="810" t="s">
        <v>1774</v>
      </c>
      <c r="S5" s="810" t="s">
        <v>1764</v>
      </c>
      <c r="T5" s="810" t="s">
        <v>1765</v>
      </c>
      <c r="U5" s="767"/>
    </row>
    <row r="6" spans="1:98" s="782" customFormat="1" ht="14.25" customHeight="1" x14ac:dyDescent="0.2">
      <c r="A6" s="777" t="s">
        <v>25</v>
      </c>
      <c r="B6" s="778"/>
      <c r="C6" s="779"/>
      <c r="D6" s="779"/>
      <c r="E6" s="779"/>
      <c r="F6" s="778"/>
      <c r="G6" s="778"/>
      <c r="H6" s="778"/>
      <c r="I6" s="779"/>
      <c r="J6" s="778"/>
      <c r="K6" s="778"/>
      <c r="L6" s="778"/>
      <c r="M6" s="779"/>
      <c r="N6" s="778"/>
      <c r="O6" s="778"/>
      <c r="P6" s="778"/>
      <c r="Q6" s="824"/>
      <c r="R6" s="780"/>
      <c r="S6" s="780"/>
      <c r="T6" s="781"/>
      <c r="U6" s="816"/>
      <c r="V6" s="817"/>
      <c r="W6" s="817"/>
      <c r="X6" s="817"/>
      <c r="Y6" s="817"/>
      <c r="Z6" s="817"/>
      <c r="AA6" s="817"/>
      <c r="AB6" s="817"/>
      <c r="AC6" s="817"/>
      <c r="AD6" s="817"/>
      <c r="AE6" s="817"/>
      <c r="AF6" s="817"/>
      <c r="AG6" s="817"/>
      <c r="AH6" s="817"/>
      <c r="AI6" s="817"/>
      <c r="AJ6" s="817"/>
      <c r="AK6" s="817"/>
      <c r="AL6" s="817"/>
      <c r="AM6" s="817"/>
      <c r="AN6" s="817"/>
      <c r="AO6" s="817"/>
      <c r="AP6" s="817"/>
      <c r="AQ6" s="817"/>
      <c r="AR6" s="817"/>
      <c r="AS6" s="817"/>
      <c r="AT6" s="817"/>
      <c r="AU6" s="817"/>
      <c r="AV6" s="817"/>
      <c r="AW6" s="817"/>
      <c r="AX6" s="817"/>
      <c r="AY6" s="817"/>
      <c r="AZ6" s="817"/>
      <c r="BA6" s="817"/>
      <c r="BB6" s="817"/>
      <c r="BC6" s="817"/>
      <c r="BD6" s="817"/>
      <c r="BE6" s="817"/>
      <c r="BF6" s="817"/>
      <c r="BG6" s="817"/>
      <c r="BH6" s="817"/>
      <c r="BI6" s="817"/>
      <c r="BJ6" s="817"/>
      <c r="BK6" s="817"/>
      <c r="BL6" s="817"/>
      <c r="BM6" s="817"/>
      <c r="BN6" s="817"/>
      <c r="BO6" s="817"/>
      <c r="BP6" s="817"/>
      <c r="BQ6" s="817"/>
      <c r="BR6" s="817"/>
      <c r="BS6" s="817"/>
      <c r="BT6" s="817"/>
      <c r="BU6" s="817"/>
      <c r="BV6" s="817"/>
      <c r="BW6" s="817"/>
      <c r="BX6" s="817"/>
      <c r="BY6" s="817"/>
      <c r="BZ6" s="817"/>
      <c r="CA6" s="817"/>
      <c r="CB6" s="817"/>
      <c r="CC6" s="817"/>
      <c r="CD6" s="817"/>
      <c r="CE6" s="817"/>
      <c r="CF6" s="817"/>
      <c r="CG6" s="817"/>
      <c r="CH6" s="817"/>
      <c r="CI6" s="817"/>
      <c r="CJ6" s="817"/>
      <c r="CK6" s="817"/>
      <c r="CL6" s="817"/>
      <c r="CM6" s="817"/>
      <c r="CN6" s="817"/>
      <c r="CO6" s="817"/>
      <c r="CP6" s="817"/>
      <c r="CQ6" s="817"/>
      <c r="CR6" s="817"/>
      <c r="CS6" s="817"/>
      <c r="CT6" s="817"/>
    </row>
    <row r="7" spans="1:98" ht="15" customHeight="1" x14ac:dyDescent="0.2">
      <c r="A7" s="783" t="s">
        <v>1621</v>
      </c>
      <c r="B7" s="783">
        <v>7</v>
      </c>
      <c r="C7" s="784">
        <v>8.9</v>
      </c>
      <c r="D7" s="784">
        <v>6</v>
      </c>
      <c r="E7" s="784">
        <f>+B7/D7</f>
        <v>1.1666666666666667</v>
      </c>
      <c r="F7" s="783">
        <v>7</v>
      </c>
      <c r="G7" s="783">
        <v>8.3000000000000007</v>
      </c>
      <c r="H7" s="783">
        <v>6</v>
      </c>
      <c r="I7" s="784">
        <f>+F7/H7</f>
        <v>1.1666666666666667</v>
      </c>
      <c r="J7" s="783">
        <v>17</v>
      </c>
      <c r="K7" s="783">
        <v>11.4</v>
      </c>
      <c r="L7" s="783">
        <v>16</v>
      </c>
      <c r="M7" s="784">
        <f>+J7/L7</f>
        <v>1.0625</v>
      </c>
      <c r="N7" s="784">
        <f>SUM(B7:B12,F7:F12,J7:J12)/18</f>
        <v>9.0555555555555554</v>
      </c>
      <c r="O7" s="784">
        <f>SUM(C7:C12,G7:G12,K7:K12)/18</f>
        <v>12.466666666666667</v>
      </c>
      <c r="P7" s="785">
        <f>SUM(D7:D12,H7:H12,L7:L12)/18</f>
        <v>7.916666666666667</v>
      </c>
      <c r="Q7" s="825">
        <f>SUM(E7:E12,I7:I12,M7:M12)/18</f>
        <v>1.2165680628447366</v>
      </c>
      <c r="R7" s="786"/>
      <c r="S7" s="786"/>
      <c r="T7" s="784"/>
      <c r="U7" s="818"/>
    </row>
    <row r="8" spans="1:98" ht="15" customHeight="1" x14ac:dyDescent="0.2">
      <c r="A8" s="783" t="s">
        <v>1622</v>
      </c>
      <c r="B8" s="783">
        <v>6</v>
      </c>
      <c r="C8" s="784">
        <v>13.3</v>
      </c>
      <c r="D8" s="788">
        <v>6</v>
      </c>
      <c r="E8" s="788">
        <f t="shared" ref="E8:E12" si="0">+B8/D8</f>
        <v>1</v>
      </c>
      <c r="F8" s="789">
        <v>8</v>
      </c>
      <c r="G8" s="789">
        <v>13.6</v>
      </c>
      <c r="H8" s="789">
        <v>6</v>
      </c>
      <c r="I8" s="788">
        <f t="shared" ref="I8:I12" si="1">+F8/H8</f>
        <v>1.3333333333333333</v>
      </c>
      <c r="J8" s="789">
        <v>15</v>
      </c>
      <c r="K8" s="789">
        <v>10.1</v>
      </c>
      <c r="L8" s="789">
        <v>10.8</v>
      </c>
      <c r="M8" s="788">
        <f t="shared" ref="M8:M12" si="2">+J8/L8</f>
        <v>1.3888888888888888</v>
      </c>
      <c r="N8" s="783"/>
      <c r="O8" s="783"/>
      <c r="P8" s="783"/>
      <c r="Q8" s="825"/>
      <c r="R8" s="786"/>
      <c r="S8" s="786"/>
      <c r="T8" s="784"/>
      <c r="U8" s="818"/>
    </row>
    <row r="9" spans="1:98" ht="15" customHeight="1" x14ac:dyDescent="0.2">
      <c r="A9" s="783" t="s">
        <v>1623</v>
      </c>
      <c r="B9" s="783">
        <v>3</v>
      </c>
      <c r="C9" s="784">
        <v>15.7</v>
      </c>
      <c r="D9" s="788">
        <v>6</v>
      </c>
      <c r="E9" s="788">
        <f t="shared" si="0"/>
        <v>0.5</v>
      </c>
      <c r="F9" s="789">
        <v>7</v>
      </c>
      <c r="G9" s="789">
        <v>10.4</v>
      </c>
      <c r="H9" s="789">
        <v>6</v>
      </c>
      <c r="I9" s="788">
        <f t="shared" si="1"/>
        <v>1.1666666666666667</v>
      </c>
      <c r="J9" s="789">
        <v>7</v>
      </c>
      <c r="K9" s="789">
        <v>16</v>
      </c>
      <c r="L9" s="789">
        <v>9.5</v>
      </c>
      <c r="M9" s="788">
        <f t="shared" si="2"/>
        <v>0.73684210526315785</v>
      </c>
      <c r="N9" s="783"/>
      <c r="O9" s="783"/>
      <c r="P9" s="783"/>
      <c r="Q9" s="825"/>
      <c r="R9" s="786"/>
      <c r="S9" s="786"/>
      <c r="T9" s="784"/>
      <c r="U9" s="818"/>
    </row>
    <row r="10" spans="1:98" ht="15" customHeight="1" x14ac:dyDescent="0.2">
      <c r="A10" s="783" t="s">
        <v>1624</v>
      </c>
      <c r="B10" s="783">
        <v>7</v>
      </c>
      <c r="C10" s="784">
        <v>16.3</v>
      </c>
      <c r="D10" s="788">
        <v>6</v>
      </c>
      <c r="E10" s="788">
        <f t="shared" si="0"/>
        <v>1.1666666666666667</v>
      </c>
      <c r="F10" s="789">
        <v>8</v>
      </c>
      <c r="G10" s="789">
        <v>12.8</v>
      </c>
      <c r="H10" s="789">
        <v>6</v>
      </c>
      <c r="I10" s="788">
        <f t="shared" si="1"/>
        <v>1.3333333333333333</v>
      </c>
      <c r="J10" s="789">
        <v>12</v>
      </c>
      <c r="K10" s="789">
        <v>6.8</v>
      </c>
      <c r="L10" s="789">
        <v>18.8</v>
      </c>
      <c r="M10" s="788">
        <f t="shared" si="2"/>
        <v>0.63829787234042545</v>
      </c>
      <c r="N10" s="783"/>
      <c r="O10" s="783"/>
      <c r="P10" s="783"/>
      <c r="Q10" s="825"/>
      <c r="R10" s="786"/>
      <c r="S10" s="786"/>
      <c r="T10" s="784"/>
      <c r="U10" s="818"/>
    </row>
    <row r="11" spans="1:98" ht="15" customHeight="1" x14ac:dyDescent="0.2">
      <c r="A11" s="783" t="s">
        <v>1625</v>
      </c>
      <c r="B11" s="783">
        <v>4</v>
      </c>
      <c r="C11" s="784">
        <v>16.3</v>
      </c>
      <c r="D11" s="788">
        <v>6</v>
      </c>
      <c r="E11" s="788">
        <f t="shared" si="0"/>
        <v>0.66666666666666663</v>
      </c>
      <c r="F11" s="789">
        <v>14</v>
      </c>
      <c r="G11" s="789">
        <v>13.7</v>
      </c>
      <c r="H11" s="789">
        <v>5.8</v>
      </c>
      <c r="I11" s="788">
        <f t="shared" si="1"/>
        <v>2.4137931034482758</v>
      </c>
      <c r="J11" s="789">
        <v>13</v>
      </c>
      <c r="K11" s="789">
        <v>12.6</v>
      </c>
      <c r="L11" s="789">
        <v>9.8000000000000007</v>
      </c>
      <c r="M11" s="788">
        <f t="shared" si="2"/>
        <v>1.3265306122448979</v>
      </c>
      <c r="N11" s="783"/>
      <c r="O11" s="783"/>
      <c r="P11" s="783"/>
      <c r="Q11" s="825"/>
      <c r="R11" s="786"/>
      <c r="S11" s="786"/>
      <c r="T11" s="784"/>
      <c r="U11" s="818"/>
    </row>
    <row r="12" spans="1:98" ht="15" customHeight="1" x14ac:dyDescent="0.2">
      <c r="A12" s="783" t="s">
        <v>1626</v>
      </c>
      <c r="B12" s="783">
        <v>4</v>
      </c>
      <c r="C12" s="784">
        <v>15.3</v>
      </c>
      <c r="D12" s="788">
        <v>6</v>
      </c>
      <c r="E12" s="788">
        <f t="shared" si="0"/>
        <v>0.66666666666666663</v>
      </c>
      <c r="F12" s="789">
        <v>12</v>
      </c>
      <c r="G12" s="789">
        <v>10.3</v>
      </c>
      <c r="H12" s="789">
        <v>5</v>
      </c>
      <c r="I12" s="788">
        <f t="shared" si="1"/>
        <v>2.4</v>
      </c>
      <c r="J12" s="789">
        <v>12</v>
      </c>
      <c r="K12" s="789">
        <v>12.6</v>
      </c>
      <c r="L12" s="789">
        <v>6.8</v>
      </c>
      <c r="M12" s="788">
        <f t="shared" si="2"/>
        <v>1.7647058823529411</v>
      </c>
      <c r="N12" s="783"/>
      <c r="O12" s="783"/>
      <c r="P12" s="783"/>
      <c r="Q12" s="825"/>
      <c r="R12" s="786">
        <v>18</v>
      </c>
      <c r="S12" s="786">
        <f>+O7*18</f>
        <v>224.4</v>
      </c>
      <c r="T12" s="784">
        <f>+S12/10</f>
        <v>22.44</v>
      </c>
      <c r="U12" s="818"/>
    </row>
    <row r="13" spans="1:98" s="782" customFormat="1" ht="15" customHeight="1" x14ac:dyDescent="0.2">
      <c r="A13" s="777" t="s">
        <v>1630</v>
      </c>
      <c r="B13" s="781" t="s">
        <v>27</v>
      </c>
      <c r="C13" s="790"/>
      <c r="D13" s="790"/>
      <c r="E13" s="790"/>
      <c r="F13" s="781"/>
      <c r="G13" s="781"/>
      <c r="H13" s="781"/>
      <c r="I13" s="790"/>
      <c r="J13" s="781"/>
      <c r="K13" s="781"/>
      <c r="L13" s="781"/>
      <c r="M13" s="790"/>
      <c r="N13" s="781"/>
      <c r="O13" s="781"/>
      <c r="P13" s="781"/>
      <c r="Q13" s="826"/>
      <c r="R13" s="791"/>
      <c r="S13" s="791"/>
      <c r="T13" s="791"/>
      <c r="U13" s="819"/>
      <c r="V13" s="817"/>
      <c r="W13" s="817"/>
      <c r="X13" s="817"/>
      <c r="Y13" s="817"/>
      <c r="Z13" s="817"/>
      <c r="AA13" s="817"/>
      <c r="AB13" s="817"/>
      <c r="AC13" s="817"/>
      <c r="AD13" s="817"/>
      <c r="AE13" s="817"/>
      <c r="AF13" s="817"/>
      <c r="AG13" s="817"/>
      <c r="AH13" s="817"/>
      <c r="AI13" s="817"/>
      <c r="AJ13" s="817"/>
      <c r="AK13" s="817"/>
      <c r="AL13" s="817"/>
      <c r="AM13" s="817"/>
      <c r="AN13" s="817"/>
      <c r="AO13" s="817"/>
      <c r="AP13" s="817"/>
      <c r="AQ13" s="817"/>
      <c r="AR13" s="817"/>
      <c r="AS13" s="817"/>
      <c r="AT13" s="817"/>
      <c r="AU13" s="817"/>
      <c r="AV13" s="817"/>
      <c r="AW13" s="817"/>
      <c r="AX13" s="817"/>
      <c r="AY13" s="817"/>
      <c r="AZ13" s="817"/>
      <c r="BA13" s="817"/>
      <c r="BB13" s="817"/>
      <c r="BC13" s="817"/>
      <c r="BD13" s="817"/>
      <c r="BE13" s="817"/>
      <c r="BF13" s="817"/>
      <c r="BG13" s="817"/>
      <c r="BH13" s="817"/>
      <c r="BI13" s="817"/>
      <c r="BJ13" s="817"/>
      <c r="BK13" s="817"/>
      <c r="BL13" s="817"/>
      <c r="BM13" s="817"/>
      <c r="BN13" s="817"/>
      <c r="BO13" s="817"/>
      <c r="BP13" s="817"/>
      <c r="BQ13" s="817"/>
      <c r="BR13" s="817"/>
      <c r="BS13" s="817"/>
      <c r="BT13" s="817"/>
      <c r="BU13" s="817"/>
      <c r="BV13" s="817"/>
      <c r="BW13" s="817"/>
      <c r="BX13" s="817"/>
      <c r="BY13" s="817"/>
      <c r="BZ13" s="817"/>
      <c r="CA13" s="817"/>
      <c r="CB13" s="817"/>
      <c r="CC13" s="817"/>
      <c r="CD13" s="817"/>
      <c r="CE13" s="817"/>
      <c r="CF13" s="817"/>
      <c r="CG13" s="817"/>
      <c r="CH13" s="817"/>
      <c r="CI13" s="817"/>
      <c r="CJ13" s="817"/>
      <c r="CK13" s="817"/>
      <c r="CL13" s="817"/>
      <c r="CM13" s="817"/>
      <c r="CN13" s="817"/>
      <c r="CO13" s="817"/>
      <c r="CP13" s="817"/>
      <c r="CQ13" s="817"/>
      <c r="CR13" s="817"/>
      <c r="CS13" s="817"/>
      <c r="CT13" s="817"/>
    </row>
    <row r="14" spans="1:98" ht="15" customHeight="1" x14ac:dyDescent="0.2">
      <c r="A14" s="783" t="s">
        <v>1621</v>
      </c>
      <c r="B14" s="783">
        <v>8</v>
      </c>
      <c r="C14" s="784">
        <v>14.3</v>
      </c>
      <c r="D14" s="788">
        <v>4.5</v>
      </c>
      <c r="E14" s="788">
        <f>+B14/D14</f>
        <v>1.7777777777777777</v>
      </c>
      <c r="F14" s="789">
        <v>34</v>
      </c>
      <c r="G14" s="789">
        <v>13.2</v>
      </c>
      <c r="H14" s="788">
        <v>17</v>
      </c>
      <c r="I14" s="788">
        <f>F14/H14</f>
        <v>2</v>
      </c>
      <c r="J14" s="789">
        <v>17</v>
      </c>
      <c r="K14" s="789">
        <v>9.1999999999999993</v>
      </c>
      <c r="L14" s="788">
        <v>7.8</v>
      </c>
      <c r="M14" s="784">
        <f t="shared" ref="M14:M19" si="3">J14/L14</f>
        <v>2.1794871794871797</v>
      </c>
      <c r="N14" s="784">
        <f>SUM(B14:B19,F14:F19,J14:J19)/18</f>
        <v>10.055555555555555</v>
      </c>
      <c r="O14" s="784">
        <f>SUM(C14:C19,G14:G19,K14:K19)/18</f>
        <v>12.3</v>
      </c>
      <c r="P14" s="785">
        <f>SUM(D14:D19,H14:H19,L14:L19)/18</f>
        <v>6.0166666666666657</v>
      </c>
      <c r="Q14" s="825">
        <f>SUM(E14:E19,I14:I19,M14:M19)/18</f>
        <v>1.6689932782606218</v>
      </c>
      <c r="R14" s="786"/>
      <c r="S14" s="786"/>
      <c r="T14" s="786"/>
      <c r="U14" s="798"/>
    </row>
    <row r="15" spans="1:98" ht="15" customHeight="1" x14ac:dyDescent="0.2">
      <c r="A15" s="783" t="s">
        <v>1622</v>
      </c>
      <c r="B15" s="783">
        <v>13</v>
      </c>
      <c r="C15" s="784">
        <v>18.2</v>
      </c>
      <c r="D15" s="788">
        <v>4.8</v>
      </c>
      <c r="E15" s="788">
        <f t="shared" ref="E15:E26" si="4">+B15/D15</f>
        <v>2.7083333333333335</v>
      </c>
      <c r="F15" s="789">
        <v>5</v>
      </c>
      <c r="G15" s="789">
        <v>8.1</v>
      </c>
      <c r="H15" s="788">
        <v>3</v>
      </c>
      <c r="I15" s="788">
        <f t="shared" ref="I15:I19" si="5">F15/H15</f>
        <v>1.6666666666666667</v>
      </c>
      <c r="J15" s="789">
        <v>11</v>
      </c>
      <c r="K15" s="789">
        <v>12.8</v>
      </c>
      <c r="L15" s="788">
        <v>6.8</v>
      </c>
      <c r="M15" s="784">
        <f t="shared" si="3"/>
        <v>1.6176470588235294</v>
      </c>
      <c r="N15" s="783" t="s">
        <v>27</v>
      </c>
      <c r="O15" s="783"/>
      <c r="P15" s="783"/>
      <c r="Q15" s="825"/>
      <c r="R15" s="786"/>
      <c r="S15" s="786"/>
      <c r="T15" s="786"/>
      <c r="U15" s="798"/>
    </row>
    <row r="16" spans="1:98" ht="15" customHeight="1" x14ac:dyDescent="0.2">
      <c r="A16" s="783" t="s">
        <v>1623</v>
      </c>
      <c r="B16" s="783">
        <v>10</v>
      </c>
      <c r="C16" s="784">
        <v>19.5</v>
      </c>
      <c r="D16" s="788">
        <v>7.1</v>
      </c>
      <c r="E16" s="788">
        <f t="shared" si="4"/>
        <v>1.4084507042253522</v>
      </c>
      <c r="F16" s="789">
        <v>9</v>
      </c>
      <c r="G16" s="789">
        <v>12</v>
      </c>
      <c r="H16" s="788">
        <v>6</v>
      </c>
      <c r="I16" s="788">
        <f t="shared" si="5"/>
        <v>1.5</v>
      </c>
      <c r="J16" s="789">
        <v>11</v>
      </c>
      <c r="K16" s="789">
        <v>8.6</v>
      </c>
      <c r="L16" s="788">
        <v>11.3</v>
      </c>
      <c r="M16" s="784">
        <f t="shared" si="3"/>
        <v>0.97345132743362828</v>
      </c>
      <c r="N16" s="783"/>
      <c r="O16" s="783"/>
      <c r="P16" s="783"/>
      <c r="Q16" s="825"/>
      <c r="R16" s="786"/>
      <c r="S16" s="786"/>
      <c r="T16" s="786"/>
      <c r="U16" s="798"/>
    </row>
    <row r="17" spans="1:98" ht="15" customHeight="1" x14ac:dyDescent="0.2">
      <c r="A17" s="783" t="s">
        <v>1624</v>
      </c>
      <c r="B17" s="783">
        <v>9</v>
      </c>
      <c r="C17" s="784">
        <v>11.1</v>
      </c>
      <c r="D17" s="788">
        <v>4.5</v>
      </c>
      <c r="E17" s="788">
        <f t="shared" si="4"/>
        <v>2</v>
      </c>
      <c r="F17" s="789">
        <v>8</v>
      </c>
      <c r="G17" s="789">
        <v>5.9</v>
      </c>
      <c r="H17" s="788">
        <v>4.5</v>
      </c>
      <c r="I17" s="788">
        <f t="shared" si="5"/>
        <v>1.7777777777777777</v>
      </c>
      <c r="J17" s="789">
        <v>8</v>
      </c>
      <c r="K17" s="789">
        <v>8.3000000000000007</v>
      </c>
      <c r="L17" s="788">
        <v>5</v>
      </c>
      <c r="M17" s="784">
        <f t="shared" si="3"/>
        <v>1.6</v>
      </c>
      <c r="N17" s="783"/>
      <c r="O17" s="783"/>
      <c r="P17" s="783"/>
      <c r="Q17" s="825"/>
      <c r="R17" s="786"/>
      <c r="S17" s="786"/>
      <c r="T17" s="786"/>
      <c r="U17" s="798"/>
    </row>
    <row r="18" spans="1:98" ht="15" customHeight="1" x14ac:dyDescent="0.2">
      <c r="A18" s="783" t="s">
        <v>1625</v>
      </c>
      <c r="B18" s="783">
        <v>7</v>
      </c>
      <c r="C18" s="784">
        <v>14.6</v>
      </c>
      <c r="D18" s="788">
        <v>6</v>
      </c>
      <c r="E18" s="788">
        <f t="shared" si="4"/>
        <v>1.1666666666666667</v>
      </c>
      <c r="F18" s="789">
        <v>4</v>
      </c>
      <c r="G18" s="789">
        <v>8.4</v>
      </c>
      <c r="H18" s="788">
        <v>4</v>
      </c>
      <c r="I18" s="788">
        <f t="shared" si="5"/>
        <v>1</v>
      </c>
      <c r="J18" s="789">
        <v>9</v>
      </c>
      <c r="K18" s="789">
        <v>15.6</v>
      </c>
      <c r="L18" s="788">
        <v>3.6</v>
      </c>
      <c r="M18" s="784">
        <f t="shared" si="3"/>
        <v>2.5</v>
      </c>
      <c r="N18" s="783"/>
      <c r="O18" s="783"/>
      <c r="P18" s="783"/>
      <c r="Q18" s="825"/>
      <c r="R18" s="786"/>
      <c r="S18" s="786"/>
      <c r="T18" s="786"/>
      <c r="U18" s="798"/>
    </row>
    <row r="19" spans="1:98" ht="15" customHeight="1" x14ac:dyDescent="0.2">
      <c r="A19" s="783" t="s">
        <v>1626</v>
      </c>
      <c r="B19" s="783">
        <v>6</v>
      </c>
      <c r="C19" s="784">
        <v>15.6</v>
      </c>
      <c r="D19" s="788">
        <v>4.0999999999999996</v>
      </c>
      <c r="E19" s="788">
        <f t="shared" si="4"/>
        <v>1.4634146341463417</v>
      </c>
      <c r="F19" s="789">
        <v>9</v>
      </c>
      <c r="G19" s="789">
        <v>10.3</v>
      </c>
      <c r="H19" s="788">
        <v>5.0999999999999996</v>
      </c>
      <c r="I19" s="788">
        <f t="shared" si="5"/>
        <v>1.7647058823529413</v>
      </c>
      <c r="J19" s="789">
        <v>3</v>
      </c>
      <c r="K19" s="789">
        <v>15.7</v>
      </c>
      <c r="L19" s="788">
        <v>3.2</v>
      </c>
      <c r="M19" s="784">
        <f t="shared" si="3"/>
        <v>0.9375</v>
      </c>
      <c r="N19" s="783"/>
      <c r="O19" s="783"/>
      <c r="P19" s="783"/>
      <c r="Q19" s="825"/>
      <c r="R19" s="786">
        <v>18</v>
      </c>
      <c r="S19" s="786">
        <f>+O14*18</f>
        <v>221.4</v>
      </c>
      <c r="T19" s="784">
        <f>+S19/10</f>
        <v>22.14</v>
      </c>
      <c r="U19" s="818"/>
    </row>
    <row r="20" spans="1:98" s="782" customFormat="1" ht="15" customHeight="1" x14ac:dyDescent="0.2">
      <c r="A20" s="777" t="s">
        <v>19</v>
      </c>
      <c r="B20" s="781"/>
      <c r="C20" s="790"/>
      <c r="D20" s="790"/>
      <c r="E20" s="790"/>
      <c r="F20" s="781"/>
      <c r="G20" s="781"/>
      <c r="H20" s="781"/>
      <c r="I20" s="790"/>
      <c r="J20" s="781"/>
      <c r="K20" s="781"/>
      <c r="L20" s="781"/>
      <c r="M20" s="790"/>
      <c r="N20" s="781"/>
      <c r="O20" s="781"/>
      <c r="P20" s="781"/>
      <c r="Q20" s="826"/>
      <c r="R20" s="791"/>
      <c r="S20" s="791"/>
      <c r="T20" s="791"/>
      <c r="U20" s="819"/>
      <c r="V20" s="817"/>
      <c r="W20" s="817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  <c r="AP20" s="817"/>
      <c r="AQ20" s="817"/>
      <c r="AR20" s="817"/>
      <c r="AS20" s="817"/>
      <c r="AT20" s="817"/>
      <c r="AU20" s="817"/>
      <c r="AV20" s="817"/>
      <c r="AW20" s="817"/>
      <c r="AX20" s="817"/>
      <c r="AY20" s="817"/>
      <c r="AZ20" s="817"/>
      <c r="BA20" s="817"/>
      <c r="BB20" s="817"/>
      <c r="BC20" s="817"/>
      <c r="BD20" s="817"/>
      <c r="BE20" s="817"/>
      <c r="BF20" s="817"/>
      <c r="BG20" s="817"/>
      <c r="BH20" s="817"/>
      <c r="BI20" s="817"/>
      <c r="BJ20" s="817"/>
      <c r="BK20" s="817"/>
      <c r="BL20" s="817"/>
      <c r="BM20" s="817"/>
      <c r="BN20" s="817"/>
      <c r="BO20" s="817"/>
      <c r="BP20" s="817"/>
      <c r="BQ20" s="817"/>
      <c r="BR20" s="817"/>
      <c r="BS20" s="817"/>
      <c r="BT20" s="817"/>
      <c r="BU20" s="817"/>
      <c r="BV20" s="817"/>
      <c r="BW20" s="817"/>
      <c r="BX20" s="817"/>
      <c r="BY20" s="817"/>
      <c r="BZ20" s="817"/>
      <c r="CA20" s="817"/>
      <c r="CB20" s="817"/>
      <c r="CC20" s="817"/>
      <c r="CD20" s="817"/>
      <c r="CE20" s="817"/>
      <c r="CF20" s="817"/>
      <c r="CG20" s="817"/>
      <c r="CH20" s="817"/>
      <c r="CI20" s="817"/>
      <c r="CJ20" s="817"/>
      <c r="CK20" s="817"/>
      <c r="CL20" s="817"/>
      <c r="CM20" s="817"/>
      <c r="CN20" s="817"/>
      <c r="CO20" s="817"/>
      <c r="CP20" s="817"/>
      <c r="CQ20" s="817"/>
      <c r="CR20" s="817"/>
      <c r="CS20" s="817"/>
      <c r="CT20" s="817"/>
    </row>
    <row r="21" spans="1:98" ht="15" customHeight="1" x14ac:dyDescent="0.2">
      <c r="A21" s="783" t="s">
        <v>1621</v>
      </c>
      <c r="B21" s="783">
        <v>10</v>
      </c>
      <c r="C21" s="784">
        <v>12.2</v>
      </c>
      <c r="D21" s="784">
        <f>SUM(H21:H26,L21:L26)/12</f>
        <v>4.4083333333333332</v>
      </c>
      <c r="E21" s="784">
        <f t="shared" si="4"/>
        <v>2.2684310018903591</v>
      </c>
      <c r="F21" s="783">
        <v>18</v>
      </c>
      <c r="G21" s="783">
        <v>10.7</v>
      </c>
      <c r="H21" s="783">
        <v>3.6</v>
      </c>
      <c r="I21" s="784">
        <f>F21/H21</f>
        <v>5</v>
      </c>
      <c r="J21" s="783">
        <v>13</v>
      </c>
      <c r="K21" s="783">
        <v>11.5</v>
      </c>
      <c r="L21" s="783">
        <v>10.5</v>
      </c>
      <c r="M21" s="784">
        <f>J21/L21</f>
        <v>1.2380952380952381</v>
      </c>
      <c r="N21" s="784">
        <f>SUM(B21:B26,F21:F26,J21:J26)/18</f>
        <v>12.666666666666666</v>
      </c>
      <c r="O21" s="784">
        <f>SUM(C21:C26,G21:G26,K21:K26)/18</f>
        <v>10.516666666666667</v>
      </c>
      <c r="P21" s="784">
        <f>SUM(D21:D26,H21:H26,L21:L26)/18</f>
        <v>4.3240740740740735</v>
      </c>
      <c r="Q21" s="825">
        <f>SUM(E21:E26,I21:I26,M21:M26)/18</f>
        <v>3.2903755682264433</v>
      </c>
      <c r="R21" s="786"/>
      <c r="S21" s="786"/>
      <c r="T21" s="786"/>
      <c r="U21" s="798"/>
    </row>
    <row r="22" spans="1:98" ht="15" customHeight="1" x14ac:dyDescent="0.2">
      <c r="A22" s="783" t="s">
        <v>1622</v>
      </c>
      <c r="B22" s="783">
        <v>14</v>
      </c>
      <c r="C22" s="784">
        <v>11.1</v>
      </c>
      <c r="D22" s="784">
        <f t="shared" ref="D22:D26" si="6">SUM(H22:H27,L22:L27)/12</f>
        <v>3.2333333333333338</v>
      </c>
      <c r="E22" s="784">
        <f t="shared" si="4"/>
        <v>4.3298969072164946</v>
      </c>
      <c r="F22" s="783">
        <v>22</v>
      </c>
      <c r="G22" s="783">
        <v>9</v>
      </c>
      <c r="H22" s="783">
        <v>4.5</v>
      </c>
      <c r="I22" s="784">
        <f t="shared" ref="I22:I26" si="7">F22/H22</f>
        <v>4.8888888888888893</v>
      </c>
      <c r="J22" s="783">
        <v>10</v>
      </c>
      <c r="K22" s="783">
        <v>8.8000000000000007</v>
      </c>
      <c r="L22" s="783">
        <v>3.1</v>
      </c>
      <c r="M22" s="784">
        <f t="shared" ref="M22:M26" si="8">J22/L22</f>
        <v>3.225806451612903</v>
      </c>
      <c r="N22" s="783" t="s">
        <v>27</v>
      </c>
      <c r="O22" s="783"/>
      <c r="P22" s="783"/>
      <c r="Q22" s="825"/>
      <c r="R22" s="786"/>
      <c r="S22" s="786"/>
      <c r="T22" s="786"/>
      <c r="U22" s="798"/>
    </row>
    <row r="23" spans="1:98" ht="15" customHeight="1" x14ac:dyDescent="0.2">
      <c r="A23" s="783" t="s">
        <v>1623</v>
      </c>
      <c r="B23" s="783">
        <v>10</v>
      </c>
      <c r="C23" s="784">
        <v>10.8</v>
      </c>
      <c r="D23" s="784">
        <f t="shared" si="6"/>
        <v>3.8083333333333336</v>
      </c>
      <c r="E23" s="784">
        <f t="shared" si="4"/>
        <v>2.6258205689277898</v>
      </c>
      <c r="F23" s="783">
        <v>14</v>
      </c>
      <c r="G23" s="783">
        <v>8.9</v>
      </c>
      <c r="H23" s="783">
        <v>3</v>
      </c>
      <c r="I23" s="784">
        <f t="shared" si="7"/>
        <v>4.666666666666667</v>
      </c>
      <c r="J23" s="783">
        <v>23</v>
      </c>
      <c r="K23" s="783">
        <v>10.6</v>
      </c>
      <c r="L23" s="783">
        <v>3.3</v>
      </c>
      <c r="M23" s="784">
        <f t="shared" si="8"/>
        <v>6.9696969696969697</v>
      </c>
      <c r="N23" s="783"/>
      <c r="O23" s="783"/>
      <c r="P23" s="783"/>
      <c r="Q23" s="825"/>
      <c r="R23" s="786"/>
      <c r="S23" s="786"/>
      <c r="T23" s="786"/>
      <c r="U23" s="798"/>
    </row>
    <row r="24" spans="1:98" ht="15" customHeight="1" x14ac:dyDescent="0.2">
      <c r="A24" s="783" t="s">
        <v>1624</v>
      </c>
      <c r="B24" s="783">
        <v>8</v>
      </c>
      <c r="C24" s="784">
        <v>10.4</v>
      </c>
      <c r="D24" s="784">
        <f t="shared" si="6"/>
        <v>4.1500000000000004</v>
      </c>
      <c r="E24" s="784">
        <f t="shared" si="4"/>
        <v>1.9277108433734937</v>
      </c>
      <c r="F24" s="783">
        <v>9</v>
      </c>
      <c r="G24" s="783">
        <v>13.4</v>
      </c>
      <c r="H24" s="783">
        <v>5</v>
      </c>
      <c r="I24" s="784">
        <f t="shared" si="7"/>
        <v>1.8</v>
      </c>
      <c r="J24" s="783">
        <v>9</v>
      </c>
      <c r="K24" s="783">
        <v>10.7</v>
      </c>
      <c r="L24" s="783">
        <v>2.2999999999999998</v>
      </c>
      <c r="M24" s="784">
        <f t="shared" si="8"/>
        <v>3.9130434782608701</v>
      </c>
      <c r="N24" s="783"/>
      <c r="O24" s="783"/>
      <c r="P24" s="783"/>
      <c r="Q24" s="825"/>
      <c r="R24" s="786"/>
      <c r="S24" s="786"/>
      <c r="T24" s="786"/>
      <c r="U24" s="798"/>
    </row>
    <row r="25" spans="1:98" ht="15" customHeight="1" x14ac:dyDescent="0.2">
      <c r="A25" s="783" t="s">
        <v>1625</v>
      </c>
      <c r="B25" s="783">
        <v>11</v>
      </c>
      <c r="C25" s="784">
        <v>9.8000000000000007</v>
      </c>
      <c r="D25" s="784">
        <f t="shared" si="6"/>
        <v>4.5750000000000002</v>
      </c>
      <c r="E25" s="784">
        <f t="shared" si="4"/>
        <v>2.4043715846994536</v>
      </c>
      <c r="F25" s="783">
        <v>13</v>
      </c>
      <c r="G25" s="783">
        <v>10.199999999999999</v>
      </c>
      <c r="H25" s="783">
        <v>3.3</v>
      </c>
      <c r="I25" s="784">
        <f t="shared" si="7"/>
        <v>3.9393939393939394</v>
      </c>
      <c r="J25" s="783">
        <v>11</v>
      </c>
      <c r="K25" s="783">
        <v>9.5</v>
      </c>
      <c r="L25" s="783">
        <v>2.8</v>
      </c>
      <c r="M25" s="784">
        <f t="shared" si="8"/>
        <v>3.9285714285714288</v>
      </c>
      <c r="N25" s="783"/>
      <c r="O25" s="783"/>
      <c r="P25" s="783"/>
      <c r="Q25" s="825"/>
      <c r="R25" s="786"/>
      <c r="S25" s="786"/>
      <c r="T25" s="786"/>
      <c r="U25" s="798"/>
    </row>
    <row r="26" spans="1:98" ht="15" customHeight="1" x14ac:dyDescent="0.2">
      <c r="A26" s="783" t="s">
        <v>1626</v>
      </c>
      <c r="B26" s="783">
        <v>10</v>
      </c>
      <c r="C26" s="784">
        <v>9.8000000000000007</v>
      </c>
      <c r="D26" s="784">
        <f t="shared" si="6"/>
        <v>4.7583333333333337</v>
      </c>
      <c r="E26" s="784">
        <f t="shared" si="4"/>
        <v>2.1015761821366024</v>
      </c>
      <c r="F26" s="783">
        <v>12</v>
      </c>
      <c r="G26" s="783">
        <v>12.4</v>
      </c>
      <c r="H26" s="783">
        <v>5.8</v>
      </c>
      <c r="I26" s="784">
        <f t="shared" si="7"/>
        <v>2.0689655172413794</v>
      </c>
      <c r="J26" s="783">
        <v>11</v>
      </c>
      <c r="K26" s="783">
        <v>9.5</v>
      </c>
      <c r="L26" s="783">
        <v>5.7</v>
      </c>
      <c r="M26" s="784">
        <f t="shared" si="8"/>
        <v>1.9298245614035088</v>
      </c>
      <c r="N26" s="783"/>
      <c r="O26" s="783"/>
      <c r="P26" s="783"/>
      <c r="Q26" s="825"/>
      <c r="R26" s="786">
        <v>18</v>
      </c>
      <c r="S26" s="786">
        <f>+O21*18</f>
        <v>189.3</v>
      </c>
      <c r="T26" s="784">
        <f>+S26/10</f>
        <v>18.93</v>
      </c>
      <c r="U26" s="818"/>
    </row>
    <row r="27" spans="1:98" s="782" customFormat="1" ht="15" customHeight="1" x14ac:dyDescent="0.2">
      <c r="A27" s="777" t="s">
        <v>14</v>
      </c>
      <c r="B27" s="781"/>
      <c r="C27" s="790"/>
      <c r="D27" s="790"/>
      <c r="E27" s="790"/>
      <c r="F27" s="781"/>
      <c r="G27" s="781"/>
      <c r="H27" s="781"/>
      <c r="I27" s="790"/>
      <c r="J27" s="781"/>
      <c r="K27" s="781"/>
      <c r="L27" s="781"/>
      <c r="M27" s="790"/>
      <c r="N27" s="781"/>
      <c r="O27" s="781"/>
      <c r="P27" s="781"/>
      <c r="Q27" s="826"/>
      <c r="R27" s="791"/>
      <c r="S27" s="791"/>
      <c r="T27" s="791"/>
      <c r="U27" s="819"/>
      <c r="V27" s="817"/>
      <c r="W27" s="817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  <c r="AP27" s="817"/>
      <c r="AQ27" s="817"/>
      <c r="AR27" s="817"/>
      <c r="AS27" s="817"/>
      <c r="AT27" s="817"/>
      <c r="AU27" s="817"/>
      <c r="AV27" s="817"/>
      <c r="AW27" s="817"/>
      <c r="AX27" s="817"/>
      <c r="AY27" s="817"/>
      <c r="AZ27" s="817"/>
      <c r="BA27" s="817"/>
      <c r="BB27" s="817"/>
      <c r="BC27" s="817"/>
      <c r="BD27" s="817"/>
      <c r="BE27" s="817"/>
      <c r="BF27" s="817"/>
      <c r="BG27" s="817"/>
      <c r="BH27" s="817"/>
      <c r="BI27" s="817"/>
      <c r="BJ27" s="817"/>
      <c r="BK27" s="817"/>
      <c r="BL27" s="817"/>
      <c r="BM27" s="817"/>
      <c r="BN27" s="817"/>
      <c r="BO27" s="817"/>
      <c r="BP27" s="817"/>
      <c r="BQ27" s="817"/>
      <c r="BR27" s="817"/>
      <c r="BS27" s="817"/>
      <c r="BT27" s="817"/>
      <c r="BU27" s="817"/>
      <c r="BV27" s="817"/>
      <c r="BW27" s="817"/>
      <c r="BX27" s="817"/>
      <c r="BY27" s="817"/>
      <c r="BZ27" s="817"/>
      <c r="CA27" s="817"/>
      <c r="CB27" s="817"/>
      <c r="CC27" s="817"/>
      <c r="CD27" s="817"/>
      <c r="CE27" s="817"/>
      <c r="CF27" s="817"/>
      <c r="CG27" s="817"/>
      <c r="CH27" s="817"/>
      <c r="CI27" s="817"/>
      <c r="CJ27" s="817"/>
      <c r="CK27" s="817"/>
      <c r="CL27" s="817"/>
      <c r="CM27" s="817"/>
      <c r="CN27" s="817"/>
      <c r="CO27" s="817"/>
      <c r="CP27" s="817"/>
      <c r="CQ27" s="817"/>
      <c r="CR27" s="817"/>
      <c r="CS27" s="817"/>
      <c r="CT27" s="817"/>
    </row>
    <row r="28" spans="1:98" ht="15" customHeight="1" x14ac:dyDescent="0.2">
      <c r="A28" s="783" t="s">
        <v>1621</v>
      </c>
      <c r="B28" s="783">
        <v>16</v>
      </c>
      <c r="C28" s="784">
        <v>8.9</v>
      </c>
      <c r="D28" s="784">
        <v>4.4000000000000004</v>
      </c>
      <c r="E28" s="784">
        <f>B28/D28</f>
        <v>3.6363636363636362</v>
      </c>
      <c r="F28" s="783">
        <v>39</v>
      </c>
      <c r="G28" s="783">
        <v>16.5</v>
      </c>
      <c r="H28" s="783">
        <v>8.4</v>
      </c>
      <c r="I28" s="784">
        <f>F28/H28</f>
        <v>4.6428571428571423</v>
      </c>
      <c r="J28" s="783">
        <v>12</v>
      </c>
      <c r="K28" s="783">
        <v>13.2</v>
      </c>
      <c r="L28" s="783">
        <v>6.1</v>
      </c>
      <c r="M28" s="784">
        <f>J28/L28</f>
        <v>1.9672131147540985</v>
      </c>
      <c r="N28" s="784">
        <f>SUM(B28:B33,F28:F33,J28:J33)/18</f>
        <v>14.666666666666666</v>
      </c>
      <c r="O28" s="784">
        <f>SUM(C28:C33,G28:G33,K28:K33)/18</f>
        <v>9.9833333333333325</v>
      </c>
      <c r="P28" s="784">
        <f>SUM(D28:D33,H28:H33,L28:L33)/18</f>
        <v>5.4388888888888882</v>
      </c>
      <c r="Q28" s="825">
        <f>SUM(E28:E33,I28:I33,M28:M33)/18</f>
        <v>2.8376910256759196</v>
      </c>
      <c r="R28" s="786"/>
      <c r="S28" s="786"/>
      <c r="T28" s="786"/>
      <c r="U28" s="798"/>
    </row>
    <row r="29" spans="1:98" ht="15" customHeight="1" x14ac:dyDescent="0.2">
      <c r="A29" s="783" t="s">
        <v>1622</v>
      </c>
      <c r="B29" s="783">
        <v>13</v>
      </c>
      <c r="C29" s="784">
        <v>7.1</v>
      </c>
      <c r="D29" s="784">
        <v>5</v>
      </c>
      <c r="E29" s="784">
        <f t="shared" ref="E29:E33" si="9">B29/D29</f>
        <v>2.6</v>
      </c>
      <c r="F29" s="783">
        <v>10</v>
      </c>
      <c r="G29" s="783">
        <v>12.7</v>
      </c>
      <c r="H29" s="783">
        <v>5.9</v>
      </c>
      <c r="I29" s="784">
        <f t="shared" ref="I29:I33" si="10">F29/H29</f>
        <v>1.6949152542372881</v>
      </c>
      <c r="J29" s="783">
        <v>10</v>
      </c>
      <c r="K29" s="783">
        <v>10</v>
      </c>
      <c r="L29" s="783">
        <v>4.5</v>
      </c>
      <c r="M29" s="784">
        <f t="shared" ref="M29:M33" si="11">J29/L29</f>
        <v>2.2222222222222223</v>
      </c>
      <c r="N29" s="783" t="s">
        <v>27</v>
      </c>
      <c r="O29" s="783"/>
      <c r="P29" s="783"/>
      <c r="Q29" s="825"/>
      <c r="R29" s="786"/>
      <c r="S29" s="786"/>
      <c r="T29" s="786"/>
      <c r="U29" s="798"/>
    </row>
    <row r="30" spans="1:98" ht="15" customHeight="1" x14ac:dyDescent="0.2">
      <c r="A30" s="783" t="s">
        <v>1623</v>
      </c>
      <c r="B30" s="783">
        <v>7</v>
      </c>
      <c r="C30" s="784">
        <v>9.9</v>
      </c>
      <c r="D30" s="784">
        <v>5.2</v>
      </c>
      <c r="E30" s="784">
        <f t="shared" si="9"/>
        <v>1.346153846153846</v>
      </c>
      <c r="F30" s="783">
        <v>10</v>
      </c>
      <c r="G30" s="783">
        <v>10.3</v>
      </c>
      <c r="H30" s="783">
        <v>3.3</v>
      </c>
      <c r="I30" s="784">
        <f t="shared" si="10"/>
        <v>3.0303030303030303</v>
      </c>
      <c r="J30" s="783">
        <v>24</v>
      </c>
      <c r="K30" s="783">
        <v>11.1</v>
      </c>
      <c r="L30" s="783">
        <v>9.1</v>
      </c>
      <c r="M30" s="784">
        <f t="shared" si="11"/>
        <v>2.6373626373626373</v>
      </c>
      <c r="N30" s="783"/>
      <c r="O30" s="783"/>
      <c r="P30" s="783"/>
      <c r="Q30" s="825"/>
      <c r="R30" s="786"/>
      <c r="S30" s="786"/>
      <c r="T30" s="786"/>
      <c r="U30" s="798"/>
    </row>
    <row r="31" spans="1:98" ht="15" customHeight="1" x14ac:dyDescent="0.2">
      <c r="A31" s="783" t="s">
        <v>1624</v>
      </c>
      <c r="B31" s="783">
        <v>9</v>
      </c>
      <c r="C31" s="784">
        <v>6.6</v>
      </c>
      <c r="D31" s="784">
        <v>6.3</v>
      </c>
      <c r="E31" s="784">
        <f t="shared" si="9"/>
        <v>1.4285714285714286</v>
      </c>
      <c r="F31" s="783">
        <v>19</v>
      </c>
      <c r="G31" s="783">
        <v>8.5</v>
      </c>
      <c r="H31" s="783">
        <v>3.1</v>
      </c>
      <c r="I31" s="784">
        <f t="shared" si="10"/>
        <v>6.129032258064516</v>
      </c>
      <c r="J31" s="783">
        <v>9</v>
      </c>
      <c r="K31" s="783">
        <v>12.3</v>
      </c>
      <c r="L31" s="783">
        <v>5.2</v>
      </c>
      <c r="M31" s="784">
        <f t="shared" si="11"/>
        <v>1.7307692307692306</v>
      </c>
      <c r="N31" s="783"/>
      <c r="O31" s="783"/>
      <c r="P31" s="783"/>
      <c r="Q31" s="825"/>
      <c r="R31" s="786"/>
      <c r="S31" s="786"/>
      <c r="T31" s="786"/>
      <c r="U31" s="798"/>
    </row>
    <row r="32" spans="1:98" ht="15" customHeight="1" x14ac:dyDescent="0.2">
      <c r="A32" s="783" t="s">
        <v>1625</v>
      </c>
      <c r="B32" s="783">
        <v>10</v>
      </c>
      <c r="C32" s="784">
        <v>6.3</v>
      </c>
      <c r="D32" s="784">
        <v>3.4</v>
      </c>
      <c r="E32" s="784">
        <f t="shared" si="9"/>
        <v>2.9411764705882355</v>
      </c>
      <c r="F32" s="783">
        <v>9</v>
      </c>
      <c r="G32" s="783">
        <v>10.199999999999999</v>
      </c>
      <c r="H32" s="783">
        <v>2.8</v>
      </c>
      <c r="I32" s="784">
        <f t="shared" si="10"/>
        <v>3.2142857142857144</v>
      </c>
      <c r="J32" s="783">
        <v>9</v>
      </c>
      <c r="K32" s="783">
        <v>7.7</v>
      </c>
      <c r="L32" s="783">
        <v>1.9</v>
      </c>
      <c r="M32" s="784">
        <f t="shared" si="11"/>
        <v>4.7368421052631584</v>
      </c>
      <c r="N32" s="783"/>
      <c r="O32" s="783"/>
      <c r="P32" s="783"/>
      <c r="Q32" s="825"/>
      <c r="R32" s="786"/>
      <c r="S32" s="786"/>
      <c r="T32" s="786"/>
      <c r="U32" s="798"/>
    </row>
    <row r="33" spans="1:98" ht="15" customHeight="1" x14ac:dyDescent="0.2">
      <c r="A33" s="783" t="s">
        <v>1626</v>
      </c>
      <c r="B33" s="783">
        <v>6</v>
      </c>
      <c r="C33" s="784">
        <v>7.2</v>
      </c>
      <c r="D33" s="784">
        <v>4.5</v>
      </c>
      <c r="E33" s="784">
        <f t="shared" si="9"/>
        <v>1.3333333333333333</v>
      </c>
      <c r="F33" s="783">
        <v>30</v>
      </c>
      <c r="G33" s="783">
        <v>11.7</v>
      </c>
      <c r="H33" s="783">
        <v>8</v>
      </c>
      <c r="I33" s="784">
        <f t="shared" si="10"/>
        <v>3.75</v>
      </c>
      <c r="J33" s="783">
        <v>22</v>
      </c>
      <c r="K33" s="783">
        <v>9.5</v>
      </c>
      <c r="L33" s="783">
        <v>10.8</v>
      </c>
      <c r="M33" s="784">
        <f t="shared" si="11"/>
        <v>2.0370370370370368</v>
      </c>
      <c r="N33" s="783"/>
      <c r="O33" s="783"/>
      <c r="P33" s="783"/>
      <c r="Q33" s="825"/>
      <c r="R33" s="786">
        <v>18</v>
      </c>
      <c r="S33" s="786">
        <f>+O28*18</f>
        <v>179.7</v>
      </c>
      <c r="T33" s="784">
        <f>+S33/10</f>
        <v>17.97</v>
      </c>
      <c r="U33" s="818"/>
    </row>
    <row r="34" spans="1:98" s="782" customFormat="1" ht="15" customHeight="1" x14ac:dyDescent="0.2">
      <c r="A34" s="777" t="s">
        <v>1634</v>
      </c>
      <c r="B34" s="781"/>
      <c r="C34" s="790"/>
      <c r="D34" s="790"/>
      <c r="E34" s="790"/>
      <c r="F34" s="781"/>
      <c r="G34" s="781"/>
      <c r="H34" s="781"/>
      <c r="I34" s="790"/>
      <c r="J34" s="781"/>
      <c r="K34" s="781"/>
      <c r="L34" s="781"/>
      <c r="M34" s="790"/>
      <c r="N34" s="781"/>
      <c r="O34" s="781"/>
      <c r="P34" s="781"/>
      <c r="Q34" s="826"/>
      <c r="R34" s="791"/>
      <c r="S34" s="791"/>
      <c r="T34" s="791"/>
      <c r="U34" s="819"/>
      <c r="V34" s="817"/>
      <c r="W34" s="817"/>
      <c r="X34" s="817"/>
      <c r="Y34" s="817"/>
      <c r="Z34" s="817"/>
      <c r="AA34" s="817"/>
      <c r="AB34" s="817"/>
      <c r="AC34" s="817"/>
      <c r="AD34" s="817"/>
      <c r="AE34" s="817"/>
      <c r="AF34" s="817"/>
      <c r="AG34" s="817"/>
      <c r="AH34" s="817"/>
      <c r="AI34" s="817"/>
      <c r="AJ34" s="817"/>
      <c r="AK34" s="817"/>
      <c r="AL34" s="817"/>
      <c r="AM34" s="817"/>
      <c r="AN34" s="817"/>
      <c r="AO34" s="817"/>
      <c r="AP34" s="817"/>
      <c r="AQ34" s="817"/>
      <c r="AR34" s="817"/>
      <c r="AS34" s="817"/>
      <c r="AT34" s="817"/>
      <c r="AU34" s="817"/>
      <c r="AV34" s="817"/>
      <c r="AW34" s="817"/>
      <c r="AX34" s="817"/>
      <c r="AY34" s="817"/>
      <c r="AZ34" s="817"/>
      <c r="BA34" s="817"/>
      <c r="BB34" s="817"/>
      <c r="BC34" s="817"/>
      <c r="BD34" s="817"/>
      <c r="BE34" s="817"/>
      <c r="BF34" s="817"/>
      <c r="BG34" s="817"/>
      <c r="BH34" s="817"/>
      <c r="BI34" s="817"/>
      <c r="BJ34" s="817"/>
      <c r="BK34" s="817"/>
      <c r="BL34" s="817"/>
      <c r="BM34" s="817"/>
      <c r="BN34" s="817"/>
      <c r="BO34" s="817"/>
      <c r="BP34" s="817"/>
      <c r="BQ34" s="817"/>
      <c r="BR34" s="817"/>
      <c r="BS34" s="817"/>
      <c r="BT34" s="817"/>
      <c r="BU34" s="817"/>
      <c r="BV34" s="817"/>
      <c r="BW34" s="817"/>
      <c r="BX34" s="817"/>
      <c r="BY34" s="817"/>
      <c r="BZ34" s="817"/>
      <c r="CA34" s="817"/>
      <c r="CB34" s="817"/>
      <c r="CC34" s="817"/>
      <c r="CD34" s="817"/>
      <c r="CE34" s="817"/>
      <c r="CF34" s="817"/>
      <c r="CG34" s="817"/>
      <c r="CH34" s="817"/>
      <c r="CI34" s="817"/>
      <c r="CJ34" s="817"/>
      <c r="CK34" s="817"/>
      <c r="CL34" s="817"/>
      <c r="CM34" s="817"/>
      <c r="CN34" s="817"/>
      <c r="CO34" s="817"/>
      <c r="CP34" s="817"/>
      <c r="CQ34" s="817"/>
      <c r="CR34" s="817"/>
      <c r="CS34" s="817"/>
      <c r="CT34" s="817"/>
    </row>
    <row r="35" spans="1:98" x14ac:dyDescent="0.2">
      <c r="A35" s="783" t="s">
        <v>1621</v>
      </c>
      <c r="B35" s="783">
        <v>10</v>
      </c>
      <c r="C35" s="784">
        <v>14.6</v>
      </c>
      <c r="D35" s="784">
        <v>4.2</v>
      </c>
      <c r="E35" s="784">
        <f>B35/D35</f>
        <v>2.3809523809523809</v>
      </c>
      <c r="F35" s="783">
        <v>6</v>
      </c>
      <c r="G35" s="783">
        <v>17.8</v>
      </c>
      <c r="H35" s="783">
        <v>3.7</v>
      </c>
      <c r="I35" s="784">
        <f>F35/H35</f>
        <v>1.6216216216216215</v>
      </c>
      <c r="J35" s="783">
        <v>7</v>
      </c>
      <c r="K35" s="783">
        <v>7.4</v>
      </c>
      <c r="L35" s="783">
        <v>2.2999999999999998</v>
      </c>
      <c r="M35" s="784">
        <f>J35/L35</f>
        <v>3.0434782608695654</v>
      </c>
      <c r="N35" s="784">
        <f>SUM(B35:B40,F35:F40,J35:J40)/18</f>
        <v>11.222222222222221</v>
      </c>
      <c r="O35" s="784">
        <f>SUM(C35:C40,G35:G40,K35:K40)/18</f>
        <v>13.272222222222222</v>
      </c>
      <c r="P35" s="784">
        <f>SUM(D35:D40,H35:H40,L35:L40)/18</f>
        <v>3.3944444444444439</v>
      </c>
      <c r="Q35" s="825">
        <f>SUM(E35:E40,I35:I40,M35:M40)/18</f>
        <v>3.3081060248378096</v>
      </c>
      <c r="R35" s="786"/>
      <c r="S35" s="786"/>
      <c r="T35" s="786"/>
      <c r="U35" s="798"/>
    </row>
    <row r="36" spans="1:98" x14ac:dyDescent="0.2">
      <c r="A36" s="783" t="s">
        <v>1622</v>
      </c>
      <c r="B36" s="783">
        <v>7</v>
      </c>
      <c r="C36" s="784">
        <v>13.6</v>
      </c>
      <c r="D36" s="784">
        <v>1.6</v>
      </c>
      <c r="E36" s="784">
        <f t="shared" ref="E36:E40" si="12">B36/D36</f>
        <v>4.375</v>
      </c>
      <c r="F36" s="783">
        <v>12</v>
      </c>
      <c r="G36" s="783">
        <v>16.2</v>
      </c>
      <c r="H36" s="783">
        <v>3.5</v>
      </c>
      <c r="I36" s="784">
        <f t="shared" ref="I36:I40" si="13">F36/H36</f>
        <v>3.4285714285714284</v>
      </c>
      <c r="J36" s="783">
        <v>14</v>
      </c>
      <c r="K36" s="783">
        <v>13.5</v>
      </c>
      <c r="L36" s="783">
        <v>3.4</v>
      </c>
      <c r="M36" s="784">
        <f t="shared" ref="M36:M40" si="14">J36/L36</f>
        <v>4.1176470588235299</v>
      </c>
      <c r="N36" s="783" t="s">
        <v>27</v>
      </c>
      <c r="O36" s="783"/>
      <c r="P36" s="783"/>
      <c r="Q36" s="825"/>
      <c r="R36" s="786"/>
      <c r="S36" s="786"/>
      <c r="T36" s="786"/>
      <c r="U36" s="798"/>
    </row>
    <row r="37" spans="1:98" x14ac:dyDescent="0.2">
      <c r="A37" s="783" t="s">
        <v>1623</v>
      </c>
      <c r="B37" s="783">
        <v>15</v>
      </c>
      <c r="C37" s="784">
        <v>14.2</v>
      </c>
      <c r="D37" s="784">
        <v>5.4</v>
      </c>
      <c r="E37" s="784">
        <f t="shared" si="12"/>
        <v>2.7777777777777777</v>
      </c>
      <c r="F37" s="783">
        <v>6</v>
      </c>
      <c r="G37" s="783">
        <v>11.3</v>
      </c>
      <c r="H37" s="783">
        <v>2.6</v>
      </c>
      <c r="I37" s="784">
        <f t="shared" si="13"/>
        <v>2.3076923076923075</v>
      </c>
      <c r="J37" s="783">
        <v>9</v>
      </c>
      <c r="K37" s="783">
        <v>10.5</v>
      </c>
      <c r="L37" s="783">
        <v>2.4</v>
      </c>
      <c r="M37" s="784">
        <f t="shared" si="14"/>
        <v>3.75</v>
      </c>
      <c r="N37" s="783"/>
      <c r="O37" s="783"/>
      <c r="P37" s="783"/>
      <c r="Q37" s="825"/>
      <c r="R37" s="786"/>
      <c r="S37" s="786"/>
      <c r="T37" s="786"/>
      <c r="U37" s="798"/>
    </row>
    <row r="38" spans="1:98" x14ac:dyDescent="0.2">
      <c r="A38" s="783" t="s">
        <v>1624</v>
      </c>
      <c r="B38" s="783">
        <v>18</v>
      </c>
      <c r="C38" s="784">
        <v>14.9</v>
      </c>
      <c r="D38" s="784">
        <v>4.5</v>
      </c>
      <c r="E38" s="784">
        <f t="shared" si="12"/>
        <v>4</v>
      </c>
      <c r="F38" s="783">
        <v>6</v>
      </c>
      <c r="G38" s="783">
        <v>12.1</v>
      </c>
      <c r="H38" s="783">
        <v>2.7</v>
      </c>
      <c r="I38" s="784">
        <f t="shared" si="13"/>
        <v>2.2222222222222219</v>
      </c>
      <c r="J38" s="783">
        <v>14</v>
      </c>
      <c r="K38" s="783">
        <v>12.1</v>
      </c>
      <c r="L38" s="783">
        <v>3</v>
      </c>
      <c r="M38" s="784">
        <f t="shared" si="14"/>
        <v>4.666666666666667</v>
      </c>
      <c r="N38" s="783"/>
      <c r="O38" s="783"/>
      <c r="P38" s="783"/>
      <c r="Q38" s="825"/>
      <c r="R38" s="786"/>
      <c r="S38" s="786"/>
      <c r="T38" s="786"/>
      <c r="U38" s="798"/>
    </row>
    <row r="39" spans="1:98" x14ac:dyDescent="0.2">
      <c r="A39" s="783" t="s">
        <v>1625</v>
      </c>
      <c r="B39" s="783">
        <v>9</v>
      </c>
      <c r="C39" s="784">
        <v>13.2</v>
      </c>
      <c r="D39" s="784">
        <v>2.2000000000000002</v>
      </c>
      <c r="E39" s="784">
        <f t="shared" si="12"/>
        <v>4.0909090909090908</v>
      </c>
      <c r="F39" s="783">
        <v>7</v>
      </c>
      <c r="G39" s="783">
        <v>12.1</v>
      </c>
      <c r="H39" s="783">
        <v>3.8</v>
      </c>
      <c r="I39" s="784">
        <f t="shared" si="13"/>
        <v>1.8421052631578949</v>
      </c>
      <c r="J39" s="783">
        <v>12</v>
      </c>
      <c r="K39" s="783">
        <v>13.5</v>
      </c>
      <c r="L39" s="783">
        <v>2.9</v>
      </c>
      <c r="M39" s="784">
        <f t="shared" si="14"/>
        <v>4.1379310344827589</v>
      </c>
      <c r="N39" s="783"/>
      <c r="O39" s="783"/>
      <c r="P39" s="783"/>
      <c r="Q39" s="825"/>
      <c r="R39" s="786"/>
      <c r="S39" s="786"/>
      <c r="T39" s="786"/>
      <c r="U39" s="798"/>
    </row>
    <row r="40" spans="1:98" x14ac:dyDescent="0.2">
      <c r="A40" s="783" t="s">
        <v>1626</v>
      </c>
      <c r="B40" s="783">
        <v>8</v>
      </c>
      <c r="C40" s="784">
        <v>11.6</v>
      </c>
      <c r="D40" s="784">
        <v>2.4</v>
      </c>
      <c r="E40" s="784">
        <f t="shared" si="12"/>
        <v>3.3333333333333335</v>
      </c>
      <c r="F40" s="783">
        <v>8</v>
      </c>
      <c r="G40" s="783">
        <v>12</v>
      </c>
      <c r="H40" s="783">
        <v>2.5</v>
      </c>
      <c r="I40" s="784">
        <f t="shared" si="13"/>
        <v>3.2</v>
      </c>
      <c r="J40" s="783">
        <v>34</v>
      </c>
      <c r="K40" s="783">
        <v>18.3</v>
      </c>
      <c r="L40" s="783">
        <v>8</v>
      </c>
      <c r="M40" s="784">
        <f t="shared" si="14"/>
        <v>4.25</v>
      </c>
      <c r="N40" s="783"/>
      <c r="O40" s="783"/>
      <c r="P40" s="783"/>
      <c r="Q40" s="825"/>
      <c r="R40" s="786">
        <v>18</v>
      </c>
      <c r="S40" s="786">
        <f>+O35*18</f>
        <v>238.9</v>
      </c>
      <c r="T40" s="784">
        <f>+S40/10</f>
        <v>23.89</v>
      </c>
      <c r="U40" s="818"/>
    </row>
    <row r="41" spans="1:98" s="797" customFormat="1" x14ac:dyDescent="0.2">
      <c r="A41" s="792" t="s">
        <v>41</v>
      </c>
      <c r="B41" s="793"/>
      <c r="C41" s="794"/>
      <c r="D41" s="794"/>
      <c r="E41" s="794"/>
      <c r="F41" s="793"/>
      <c r="G41" s="793"/>
      <c r="H41" s="793"/>
      <c r="I41" s="794"/>
      <c r="J41" s="793"/>
      <c r="K41" s="793"/>
      <c r="L41" s="793"/>
      <c r="M41" s="794"/>
      <c r="N41" s="793"/>
      <c r="O41" s="793"/>
      <c r="P41" s="793"/>
      <c r="Q41" s="827"/>
      <c r="R41" s="795"/>
      <c r="S41" s="795"/>
      <c r="T41" s="795"/>
      <c r="U41" s="796"/>
      <c r="V41" s="820"/>
      <c r="W41" s="820"/>
      <c r="X41" s="820"/>
      <c r="Y41" s="820"/>
      <c r="Z41" s="820"/>
      <c r="AA41" s="820"/>
      <c r="AB41" s="820"/>
      <c r="AC41" s="820"/>
      <c r="AD41" s="820"/>
      <c r="AE41" s="820"/>
      <c r="AF41" s="820"/>
      <c r="AG41" s="820"/>
      <c r="AH41" s="820"/>
      <c r="AI41" s="820"/>
      <c r="AJ41" s="820"/>
      <c r="AK41" s="820"/>
      <c r="AL41" s="820"/>
      <c r="AM41" s="820"/>
      <c r="AN41" s="820"/>
      <c r="AO41" s="820"/>
      <c r="AP41" s="820"/>
      <c r="AQ41" s="820"/>
      <c r="AR41" s="820"/>
      <c r="AS41" s="820"/>
      <c r="AT41" s="820"/>
      <c r="AU41" s="820"/>
      <c r="AV41" s="820"/>
      <c r="AW41" s="820"/>
      <c r="AX41" s="820"/>
      <c r="AY41" s="820"/>
      <c r="AZ41" s="820"/>
      <c r="BA41" s="820"/>
      <c r="BB41" s="820"/>
      <c r="BC41" s="820"/>
      <c r="BD41" s="820"/>
      <c r="BE41" s="820"/>
      <c r="BF41" s="820"/>
      <c r="BG41" s="820"/>
      <c r="BH41" s="820"/>
      <c r="BI41" s="820"/>
      <c r="BJ41" s="820"/>
      <c r="BK41" s="820"/>
      <c r="BL41" s="820"/>
      <c r="BM41" s="820"/>
      <c r="BN41" s="820"/>
      <c r="BO41" s="820"/>
      <c r="BP41" s="820"/>
      <c r="BQ41" s="820"/>
      <c r="BR41" s="820"/>
      <c r="BS41" s="820"/>
      <c r="BT41" s="820"/>
      <c r="BU41" s="820"/>
      <c r="BV41" s="820"/>
      <c r="BW41" s="820"/>
      <c r="BX41" s="820"/>
      <c r="BY41" s="820"/>
      <c r="BZ41" s="820"/>
      <c r="CA41" s="820"/>
      <c r="CB41" s="820"/>
      <c r="CC41" s="820"/>
      <c r="CD41" s="820"/>
      <c r="CE41" s="820"/>
      <c r="CF41" s="820"/>
      <c r="CG41" s="820"/>
      <c r="CH41" s="820"/>
      <c r="CI41" s="820"/>
      <c r="CJ41" s="820"/>
      <c r="CK41" s="820"/>
      <c r="CL41" s="820"/>
      <c r="CM41" s="820"/>
      <c r="CN41" s="820"/>
      <c r="CO41" s="820"/>
      <c r="CP41" s="820"/>
      <c r="CQ41" s="820"/>
      <c r="CR41" s="820"/>
      <c r="CS41" s="820"/>
      <c r="CT41" s="820"/>
    </row>
    <row r="42" spans="1:98" s="799" customFormat="1" x14ac:dyDescent="0.2">
      <c r="A42" s="783" t="s">
        <v>1621</v>
      </c>
      <c r="B42" s="783">
        <v>19</v>
      </c>
      <c r="C42" s="784">
        <v>16.5</v>
      </c>
      <c r="D42" s="784">
        <v>4.5</v>
      </c>
      <c r="E42" s="784">
        <f t="shared" ref="E42" si="15">B42/D42</f>
        <v>4.2222222222222223</v>
      </c>
      <c r="F42" s="783">
        <v>13</v>
      </c>
      <c r="G42" s="783">
        <v>15.3</v>
      </c>
      <c r="H42" s="783">
        <v>4.3</v>
      </c>
      <c r="I42" s="784">
        <f t="shared" ref="I42" si="16">F42/H42</f>
        <v>3.0232558139534884</v>
      </c>
      <c r="J42" s="783">
        <v>13</v>
      </c>
      <c r="K42" s="783">
        <v>10.9</v>
      </c>
      <c r="L42" s="783">
        <v>4.7</v>
      </c>
      <c r="M42" s="784">
        <f t="shared" ref="M42" si="17">J42/L42</f>
        <v>2.7659574468085104</v>
      </c>
      <c r="N42" s="784">
        <f>SUM(B42:B47,F42:F47,J42:J47)/18</f>
        <v>11</v>
      </c>
      <c r="O42" s="784">
        <f>SUM(C42:C47,G42:G47,K42:K47)/18</f>
        <v>13.783333333333335</v>
      </c>
      <c r="P42" s="784">
        <f>SUM(D42:D47,H42:H47,L42:L47)/18</f>
        <v>3.6222222222222222</v>
      </c>
      <c r="Q42" s="825">
        <f>SUM(E42:E47,I42:I47,M42:M47)/18</f>
        <v>3.1994005801950478</v>
      </c>
      <c r="R42" s="786"/>
      <c r="S42" s="786"/>
      <c r="T42" s="786"/>
      <c r="U42" s="798"/>
    </row>
    <row r="43" spans="1:98" s="799" customFormat="1" x14ac:dyDescent="0.2">
      <c r="A43" s="783" t="s">
        <v>1622</v>
      </c>
      <c r="B43" s="783">
        <v>5</v>
      </c>
      <c r="C43" s="784">
        <v>18</v>
      </c>
      <c r="D43" s="784">
        <v>2.2000000000000002</v>
      </c>
      <c r="E43" s="784">
        <f t="shared" ref="E43:E47" si="18">B43/D43</f>
        <v>2.2727272727272725</v>
      </c>
      <c r="F43" s="783">
        <v>9</v>
      </c>
      <c r="G43" s="783">
        <v>9.3000000000000007</v>
      </c>
      <c r="H43" s="783">
        <v>2.2000000000000002</v>
      </c>
      <c r="I43" s="784">
        <f t="shared" ref="I43:I47" si="19">F43/H43</f>
        <v>4.0909090909090908</v>
      </c>
      <c r="J43" s="783">
        <v>10</v>
      </c>
      <c r="K43" s="783">
        <v>12.4</v>
      </c>
      <c r="L43" s="783">
        <v>3.6</v>
      </c>
      <c r="M43" s="784">
        <f t="shared" ref="M43:M47" si="20">J43/L43</f>
        <v>2.7777777777777777</v>
      </c>
      <c r="N43" s="783" t="s">
        <v>27</v>
      </c>
      <c r="O43" s="783"/>
      <c r="P43" s="783"/>
      <c r="Q43" s="825"/>
      <c r="R43" s="786"/>
      <c r="S43" s="786"/>
      <c r="T43" s="786"/>
      <c r="U43" s="798"/>
    </row>
    <row r="44" spans="1:98" s="799" customFormat="1" x14ac:dyDescent="0.2">
      <c r="A44" s="783" t="s">
        <v>1623</v>
      </c>
      <c r="B44" s="783">
        <v>16</v>
      </c>
      <c r="C44" s="784">
        <v>12.1</v>
      </c>
      <c r="D44" s="784">
        <v>5.2</v>
      </c>
      <c r="E44" s="784">
        <f t="shared" si="18"/>
        <v>3.0769230769230766</v>
      </c>
      <c r="F44" s="783">
        <v>6</v>
      </c>
      <c r="G44" s="783">
        <v>14</v>
      </c>
      <c r="H44" s="783">
        <v>3.3</v>
      </c>
      <c r="I44" s="784">
        <f t="shared" si="19"/>
        <v>1.8181818181818183</v>
      </c>
      <c r="J44" s="783">
        <v>11</v>
      </c>
      <c r="K44" s="783">
        <v>16.399999999999999</v>
      </c>
      <c r="L44" s="783">
        <v>3.7</v>
      </c>
      <c r="M44" s="784">
        <f t="shared" si="20"/>
        <v>2.9729729729729728</v>
      </c>
      <c r="N44" s="783"/>
      <c r="O44" s="783"/>
      <c r="P44" s="783"/>
      <c r="Q44" s="825"/>
      <c r="R44" s="786"/>
      <c r="S44" s="786"/>
      <c r="T44" s="786"/>
      <c r="U44" s="798"/>
    </row>
    <row r="45" spans="1:98" s="799" customFormat="1" x14ac:dyDescent="0.2">
      <c r="A45" s="783" t="s">
        <v>1624</v>
      </c>
      <c r="B45" s="783">
        <v>7</v>
      </c>
      <c r="C45" s="784">
        <v>11.3</v>
      </c>
      <c r="D45" s="784">
        <v>2.7</v>
      </c>
      <c r="E45" s="784">
        <f t="shared" si="18"/>
        <v>2.5925925925925926</v>
      </c>
      <c r="F45" s="783">
        <v>9</v>
      </c>
      <c r="G45" s="783">
        <v>10.5</v>
      </c>
      <c r="H45" s="783">
        <v>2.8</v>
      </c>
      <c r="I45" s="784">
        <f t="shared" si="19"/>
        <v>3.2142857142857144</v>
      </c>
      <c r="J45" s="783">
        <v>12</v>
      </c>
      <c r="K45" s="783">
        <v>17.3</v>
      </c>
      <c r="L45" s="783">
        <v>3.5</v>
      </c>
      <c r="M45" s="784">
        <f t="shared" si="20"/>
        <v>3.4285714285714284</v>
      </c>
      <c r="N45" s="783"/>
      <c r="O45" s="783"/>
      <c r="P45" s="783"/>
      <c r="Q45" s="825"/>
      <c r="R45" s="786"/>
      <c r="S45" s="786"/>
      <c r="T45" s="786"/>
      <c r="U45" s="798"/>
    </row>
    <row r="46" spans="1:98" s="799" customFormat="1" x14ac:dyDescent="0.2">
      <c r="A46" s="783" t="s">
        <v>1625</v>
      </c>
      <c r="B46" s="783">
        <v>9</v>
      </c>
      <c r="C46" s="784">
        <v>15.3</v>
      </c>
      <c r="D46" s="784">
        <v>3.1</v>
      </c>
      <c r="E46" s="784">
        <f t="shared" si="18"/>
        <v>2.903225806451613</v>
      </c>
      <c r="F46" s="783">
        <v>11</v>
      </c>
      <c r="G46" s="783">
        <v>14.2</v>
      </c>
      <c r="H46" s="783">
        <v>6.4</v>
      </c>
      <c r="I46" s="784">
        <f t="shared" si="19"/>
        <v>1.71875</v>
      </c>
      <c r="J46" s="783">
        <v>11</v>
      </c>
      <c r="K46" s="783">
        <v>14.6</v>
      </c>
      <c r="L46" s="783">
        <v>4</v>
      </c>
      <c r="M46" s="784">
        <f t="shared" si="20"/>
        <v>2.75</v>
      </c>
      <c r="N46" s="783"/>
      <c r="O46" s="783"/>
      <c r="P46" s="783"/>
      <c r="Q46" s="825"/>
      <c r="R46" s="786"/>
      <c r="S46" s="786"/>
      <c r="T46" s="786"/>
      <c r="U46" s="798"/>
    </row>
    <row r="47" spans="1:98" s="800" customFormat="1" x14ac:dyDescent="0.2">
      <c r="A47" s="783" t="s">
        <v>1626</v>
      </c>
      <c r="B47" s="783">
        <v>24</v>
      </c>
      <c r="C47" s="784">
        <v>15.7</v>
      </c>
      <c r="D47" s="784">
        <v>2.4</v>
      </c>
      <c r="E47" s="784">
        <f t="shared" si="18"/>
        <v>10</v>
      </c>
      <c r="F47" s="783">
        <v>6</v>
      </c>
      <c r="G47" s="783">
        <v>8</v>
      </c>
      <c r="H47" s="783">
        <v>2.9</v>
      </c>
      <c r="I47" s="784">
        <f t="shared" si="19"/>
        <v>2.0689655172413794</v>
      </c>
      <c r="J47" s="783">
        <v>7</v>
      </c>
      <c r="K47" s="783">
        <v>16.3</v>
      </c>
      <c r="L47" s="783">
        <v>3.7</v>
      </c>
      <c r="M47" s="784">
        <f t="shared" si="20"/>
        <v>1.8918918918918919</v>
      </c>
      <c r="N47" s="783"/>
      <c r="O47" s="783"/>
      <c r="P47" s="783"/>
      <c r="Q47" s="825"/>
      <c r="R47" s="786">
        <v>18</v>
      </c>
      <c r="S47" s="786">
        <f>+O42*18</f>
        <v>248.10000000000002</v>
      </c>
      <c r="T47" s="784">
        <f>+S47/10</f>
        <v>24.810000000000002</v>
      </c>
      <c r="U47" s="818"/>
      <c r="V47" s="799"/>
      <c r="W47" s="799"/>
      <c r="X47" s="799"/>
      <c r="Y47" s="799"/>
      <c r="Z47" s="799"/>
      <c r="AA47" s="799"/>
      <c r="AB47" s="799"/>
      <c r="AC47" s="799"/>
      <c r="AD47" s="799"/>
      <c r="AE47" s="799"/>
      <c r="AF47" s="799"/>
      <c r="AG47" s="799"/>
      <c r="AH47" s="799"/>
      <c r="AI47" s="799"/>
      <c r="AJ47" s="799"/>
      <c r="AK47" s="799"/>
      <c r="AL47" s="799"/>
      <c r="AM47" s="799"/>
      <c r="AN47" s="799"/>
      <c r="AO47" s="799"/>
      <c r="AP47" s="799"/>
      <c r="AQ47" s="799"/>
      <c r="AR47" s="799"/>
      <c r="AS47" s="799"/>
      <c r="AT47" s="799"/>
      <c r="AU47" s="799"/>
      <c r="AV47" s="799"/>
      <c r="AW47" s="799"/>
      <c r="AX47" s="799"/>
      <c r="AY47" s="799"/>
      <c r="AZ47" s="799"/>
      <c r="BA47" s="799"/>
      <c r="BB47" s="799"/>
      <c r="BC47" s="799"/>
      <c r="BD47" s="799"/>
      <c r="BE47" s="799"/>
      <c r="BF47" s="799"/>
      <c r="BG47" s="799"/>
      <c r="BH47" s="799"/>
      <c r="BI47" s="799"/>
      <c r="BJ47" s="799"/>
      <c r="BK47" s="799"/>
      <c r="BL47" s="799"/>
      <c r="BM47" s="799"/>
      <c r="BN47" s="799"/>
      <c r="BO47" s="799"/>
      <c r="BP47" s="799"/>
      <c r="BQ47" s="799"/>
      <c r="BR47" s="799"/>
      <c r="BS47" s="799"/>
      <c r="BT47" s="799"/>
      <c r="BU47" s="799"/>
      <c r="BV47" s="799"/>
      <c r="BW47" s="799"/>
      <c r="BX47" s="799"/>
      <c r="BY47" s="799"/>
      <c r="BZ47" s="799"/>
      <c r="CA47" s="799"/>
      <c r="CB47" s="799"/>
      <c r="CC47" s="799"/>
      <c r="CD47" s="799"/>
      <c r="CE47" s="799"/>
      <c r="CF47" s="799"/>
      <c r="CG47" s="799"/>
      <c r="CH47" s="799"/>
      <c r="CI47" s="799"/>
      <c r="CJ47" s="799"/>
      <c r="CK47" s="799"/>
      <c r="CL47" s="799"/>
      <c r="CM47" s="799"/>
      <c r="CN47" s="799"/>
      <c r="CO47" s="799"/>
      <c r="CP47" s="799"/>
      <c r="CQ47" s="799"/>
      <c r="CR47" s="799"/>
      <c r="CS47" s="799"/>
      <c r="CT47" s="799"/>
    </row>
    <row r="48" spans="1:98" s="782" customFormat="1" x14ac:dyDescent="0.2">
      <c r="A48" s="777" t="s">
        <v>1612</v>
      </c>
      <c r="B48" s="781"/>
      <c r="C48" s="790"/>
      <c r="D48" s="790"/>
      <c r="E48" s="790"/>
      <c r="F48" s="781"/>
      <c r="G48" s="781"/>
      <c r="H48" s="781"/>
      <c r="I48" s="790"/>
      <c r="J48" s="781"/>
      <c r="K48" s="781"/>
      <c r="L48" s="781"/>
      <c r="M48" s="790"/>
      <c r="N48" s="781"/>
      <c r="O48" s="781"/>
      <c r="P48" s="781"/>
      <c r="Q48" s="826"/>
      <c r="R48" s="791"/>
      <c r="S48" s="791"/>
      <c r="T48" s="791"/>
      <c r="U48" s="819"/>
      <c r="V48" s="817"/>
      <c r="W48" s="817"/>
      <c r="X48" s="817"/>
      <c r="Y48" s="817"/>
      <c r="Z48" s="817"/>
      <c r="AA48" s="817"/>
      <c r="AB48" s="817"/>
      <c r="AC48" s="817"/>
      <c r="AD48" s="817"/>
      <c r="AE48" s="817"/>
      <c r="AF48" s="817"/>
      <c r="AG48" s="817"/>
      <c r="AH48" s="817"/>
      <c r="AI48" s="817"/>
      <c r="AJ48" s="817"/>
      <c r="AK48" s="817"/>
      <c r="AL48" s="817"/>
      <c r="AM48" s="817"/>
      <c r="AN48" s="817"/>
      <c r="AO48" s="817"/>
      <c r="AP48" s="817"/>
      <c r="AQ48" s="817"/>
      <c r="AR48" s="817"/>
      <c r="AS48" s="817"/>
      <c r="AT48" s="817"/>
      <c r="AU48" s="817"/>
      <c r="AV48" s="817"/>
      <c r="AW48" s="817"/>
      <c r="AX48" s="817"/>
      <c r="AY48" s="817"/>
      <c r="AZ48" s="817"/>
      <c r="BA48" s="817"/>
      <c r="BB48" s="817"/>
      <c r="BC48" s="817"/>
      <c r="BD48" s="817"/>
      <c r="BE48" s="817"/>
      <c r="BF48" s="817"/>
      <c r="BG48" s="817"/>
      <c r="BH48" s="817"/>
      <c r="BI48" s="817"/>
      <c r="BJ48" s="817"/>
      <c r="BK48" s="817"/>
      <c r="BL48" s="817"/>
      <c r="BM48" s="817"/>
      <c r="BN48" s="817"/>
      <c r="BO48" s="817"/>
      <c r="BP48" s="817"/>
      <c r="BQ48" s="817"/>
      <c r="BR48" s="817"/>
      <c r="BS48" s="817"/>
      <c r="BT48" s="817"/>
      <c r="BU48" s="817"/>
      <c r="BV48" s="817"/>
      <c r="BW48" s="817"/>
      <c r="BX48" s="817"/>
      <c r="BY48" s="817"/>
      <c r="BZ48" s="817"/>
      <c r="CA48" s="817"/>
      <c r="CB48" s="817"/>
      <c r="CC48" s="817"/>
      <c r="CD48" s="817"/>
      <c r="CE48" s="817"/>
      <c r="CF48" s="817"/>
      <c r="CG48" s="817"/>
      <c r="CH48" s="817"/>
      <c r="CI48" s="817"/>
      <c r="CJ48" s="817"/>
      <c r="CK48" s="817"/>
      <c r="CL48" s="817"/>
      <c r="CM48" s="817"/>
      <c r="CN48" s="817"/>
      <c r="CO48" s="817"/>
      <c r="CP48" s="817"/>
      <c r="CQ48" s="817"/>
      <c r="CR48" s="817"/>
      <c r="CS48" s="817"/>
      <c r="CT48" s="817"/>
    </row>
    <row r="49" spans="1:98" x14ac:dyDescent="0.2">
      <c r="A49" s="783" t="s">
        <v>1621</v>
      </c>
      <c r="B49" s="783">
        <v>1</v>
      </c>
      <c r="C49" s="784">
        <v>2</v>
      </c>
      <c r="D49" s="784">
        <v>0.4</v>
      </c>
      <c r="E49" s="784">
        <f t="shared" ref="E49:E53" si="21">B49/D49</f>
        <v>2.5</v>
      </c>
      <c r="F49" s="768" t="s">
        <v>1635</v>
      </c>
      <c r="G49" s="768"/>
      <c r="H49" s="783" t="s">
        <v>27</v>
      </c>
      <c r="I49" s="784"/>
      <c r="J49" s="783" t="s">
        <v>27</v>
      </c>
      <c r="K49" s="783" t="s">
        <v>27</v>
      </c>
      <c r="L49" s="783" t="s">
        <v>27</v>
      </c>
      <c r="M49" s="784"/>
      <c r="N49" s="784">
        <f>SUM(B49:B54)/5</f>
        <v>7</v>
      </c>
      <c r="O49" s="784">
        <f>SUM(C49:C54)/5</f>
        <v>5.3314285714285718</v>
      </c>
      <c r="P49" s="784">
        <f>SUM(D49:D54)/5</f>
        <v>2.96</v>
      </c>
      <c r="Q49" s="825">
        <f>SUM(E49:E54)/5</f>
        <v>2.5159771104471562</v>
      </c>
      <c r="R49" s="786"/>
      <c r="S49" s="786"/>
      <c r="T49" s="786"/>
      <c r="U49" s="798"/>
    </row>
    <row r="50" spans="1:98" x14ac:dyDescent="0.2">
      <c r="A50" s="783" t="s">
        <v>1622</v>
      </c>
      <c r="B50" s="783">
        <v>5</v>
      </c>
      <c r="C50" s="784">
        <f>33/5</f>
        <v>6.6</v>
      </c>
      <c r="D50" s="784">
        <v>2</v>
      </c>
      <c r="E50" s="784">
        <f t="shared" si="21"/>
        <v>2.5</v>
      </c>
      <c r="F50" s="783" t="s">
        <v>27</v>
      </c>
      <c r="G50" s="783" t="s">
        <v>27</v>
      </c>
      <c r="H50" s="783" t="s">
        <v>27</v>
      </c>
      <c r="I50" s="784"/>
      <c r="J50" s="783" t="s">
        <v>27</v>
      </c>
      <c r="K50" s="783" t="s">
        <v>27</v>
      </c>
      <c r="L50" s="783" t="s">
        <v>27</v>
      </c>
      <c r="M50" s="784"/>
      <c r="N50" s="783" t="s">
        <v>27</v>
      </c>
      <c r="O50" s="783"/>
      <c r="P50" s="783"/>
      <c r="Q50" s="825" t="s">
        <v>27</v>
      </c>
      <c r="R50" s="786"/>
      <c r="S50" s="786"/>
      <c r="T50" s="786"/>
      <c r="U50" s="798"/>
    </row>
    <row r="51" spans="1:98" x14ac:dyDescent="0.2">
      <c r="A51" s="783" t="s">
        <v>1623</v>
      </c>
      <c r="B51" s="783">
        <v>4</v>
      </c>
      <c r="C51" s="784">
        <f>17/4</f>
        <v>4.25</v>
      </c>
      <c r="D51" s="784">
        <v>1.3</v>
      </c>
      <c r="E51" s="784">
        <f t="shared" si="21"/>
        <v>3.0769230769230766</v>
      </c>
      <c r="F51" s="783" t="s">
        <v>27</v>
      </c>
      <c r="G51" s="783" t="s">
        <v>27</v>
      </c>
      <c r="H51" s="783" t="s">
        <v>27</v>
      </c>
      <c r="I51" s="784"/>
      <c r="J51" s="783" t="s">
        <v>27</v>
      </c>
      <c r="K51" s="783" t="s">
        <v>27</v>
      </c>
      <c r="L51" s="783" t="s">
        <v>27</v>
      </c>
      <c r="M51" s="784"/>
      <c r="N51" s="783"/>
      <c r="O51" s="783"/>
      <c r="P51" s="783"/>
      <c r="Q51" s="825"/>
      <c r="R51" s="786"/>
      <c r="S51" s="786"/>
      <c r="T51" s="786"/>
      <c r="U51" s="798"/>
    </row>
    <row r="52" spans="1:98" x14ac:dyDescent="0.2">
      <c r="A52" s="783" t="s">
        <v>1624</v>
      </c>
      <c r="B52" s="783">
        <v>11</v>
      </c>
      <c r="C52" s="784">
        <f>57/10</f>
        <v>5.7</v>
      </c>
      <c r="D52" s="784">
        <v>4.9000000000000004</v>
      </c>
      <c r="E52" s="784">
        <f t="shared" si="21"/>
        <v>2.2448979591836733</v>
      </c>
      <c r="F52" s="783" t="s">
        <v>27</v>
      </c>
      <c r="G52" s="783" t="s">
        <v>27</v>
      </c>
      <c r="H52" s="783" t="s">
        <v>27</v>
      </c>
      <c r="I52" s="784"/>
      <c r="J52" s="783" t="s">
        <v>27</v>
      </c>
      <c r="K52" s="783" t="s">
        <v>27</v>
      </c>
      <c r="L52" s="783" t="s">
        <v>27</v>
      </c>
      <c r="M52" s="784"/>
      <c r="N52" s="783"/>
      <c r="O52" s="783"/>
      <c r="P52" s="783"/>
      <c r="Q52" s="825"/>
      <c r="R52" s="786"/>
      <c r="S52" s="786"/>
      <c r="T52" s="786"/>
      <c r="U52" s="798"/>
    </row>
    <row r="53" spans="1:98" x14ac:dyDescent="0.2">
      <c r="A53" s="783" t="s">
        <v>1625</v>
      </c>
      <c r="B53" s="783">
        <v>14</v>
      </c>
      <c r="C53" s="784">
        <f>113.5/14</f>
        <v>8.1071428571428577</v>
      </c>
      <c r="D53" s="784">
        <v>6.2</v>
      </c>
      <c r="E53" s="784">
        <f t="shared" si="21"/>
        <v>2.258064516129032</v>
      </c>
      <c r="F53" s="783" t="s">
        <v>27</v>
      </c>
      <c r="G53" s="783" t="s">
        <v>27</v>
      </c>
      <c r="H53" s="783" t="s">
        <v>27</v>
      </c>
      <c r="I53" s="784"/>
      <c r="J53" s="783" t="s">
        <v>27</v>
      </c>
      <c r="K53" s="783" t="s">
        <v>27</v>
      </c>
      <c r="L53" s="783" t="s">
        <v>27</v>
      </c>
      <c r="M53" s="784"/>
      <c r="N53" s="783"/>
      <c r="O53" s="783"/>
      <c r="P53" s="783"/>
      <c r="Q53" s="825"/>
      <c r="R53" s="786"/>
      <c r="S53" s="786"/>
      <c r="T53" s="786"/>
      <c r="U53" s="798"/>
    </row>
    <row r="54" spans="1:98" x14ac:dyDescent="0.2">
      <c r="A54" s="783" t="s">
        <v>1626</v>
      </c>
      <c r="B54" s="783" t="s">
        <v>48</v>
      </c>
      <c r="C54" s="784" t="s">
        <v>48</v>
      </c>
      <c r="D54" s="784" t="s">
        <v>48</v>
      </c>
      <c r="E54" s="784" t="s">
        <v>48</v>
      </c>
      <c r="F54" s="783" t="s">
        <v>27</v>
      </c>
      <c r="G54" s="783" t="s">
        <v>27</v>
      </c>
      <c r="H54" s="783" t="s">
        <v>27</v>
      </c>
      <c r="I54" s="784"/>
      <c r="J54" s="783" t="s">
        <v>27</v>
      </c>
      <c r="K54" s="783" t="s">
        <v>27</v>
      </c>
      <c r="L54" s="783" t="s">
        <v>27</v>
      </c>
      <c r="M54" s="784"/>
      <c r="N54" s="783"/>
      <c r="O54" s="783"/>
      <c r="P54" s="783"/>
      <c r="Q54" s="825"/>
      <c r="R54" s="786">
        <v>5</v>
      </c>
      <c r="S54" s="786">
        <f>+O49*5</f>
        <v>26.657142857142858</v>
      </c>
      <c r="T54" s="784">
        <f>+S54/10</f>
        <v>2.6657142857142859</v>
      </c>
      <c r="U54" s="818"/>
    </row>
    <row r="55" spans="1:98" s="801" customFormat="1" x14ac:dyDescent="0.2">
      <c r="A55" s="777" t="s">
        <v>1619</v>
      </c>
      <c r="B55" s="781"/>
      <c r="C55" s="790"/>
      <c r="D55" s="790"/>
      <c r="E55" s="790"/>
      <c r="F55" s="781"/>
      <c r="G55" s="781"/>
      <c r="H55" s="781"/>
      <c r="I55" s="790"/>
      <c r="J55" s="781"/>
      <c r="K55" s="781"/>
      <c r="L55" s="781"/>
      <c r="M55" s="790"/>
      <c r="N55" s="781"/>
      <c r="O55" s="781"/>
      <c r="P55" s="781"/>
      <c r="Q55" s="826"/>
      <c r="R55" s="791"/>
      <c r="S55" s="791"/>
      <c r="T55" s="791"/>
      <c r="U55" s="819"/>
      <c r="V55" s="817"/>
      <c r="W55" s="817"/>
      <c r="X55" s="817"/>
      <c r="Y55" s="817"/>
      <c r="Z55" s="817"/>
      <c r="AA55" s="817"/>
      <c r="AB55" s="817"/>
      <c r="AC55" s="817"/>
      <c r="AD55" s="817"/>
      <c r="AE55" s="817"/>
      <c r="AF55" s="817"/>
      <c r="AG55" s="817"/>
      <c r="AH55" s="817"/>
      <c r="AI55" s="817"/>
      <c r="AJ55" s="817"/>
      <c r="AK55" s="817"/>
      <c r="AL55" s="817"/>
      <c r="AM55" s="817"/>
      <c r="AN55" s="817"/>
      <c r="AO55" s="817"/>
      <c r="AP55" s="817"/>
      <c r="AQ55" s="817"/>
      <c r="AR55" s="817"/>
      <c r="AS55" s="817"/>
      <c r="AT55" s="817"/>
      <c r="AU55" s="817"/>
      <c r="AV55" s="817"/>
      <c r="AW55" s="817"/>
      <c r="AX55" s="817"/>
      <c r="AY55" s="817"/>
      <c r="AZ55" s="817"/>
      <c r="BA55" s="817"/>
      <c r="BB55" s="817"/>
      <c r="BC55" s="817"/>
      <c r="BD55" s="817"/>
      <c r="BE55" s="817"/>
      <c r="BF55" s="817"/>
      <c r="BG55" s="817"/>
      <c r="BH55" s="817"/>
      <c r="BI55" s="817"/>
      <c r="BJ55" s="817"/>
      <c r="BK55" s="817"/>
      <c r="BL55" s="817"/>
      <c r="BM55" s="817"/>
      <c r="BN55" s="817"/>
      <c r="BO55" s="817"/>
      <c r="BP55" s="817"/>
      <c r="BQ55" s="817"/>
      <c r="BR55" s="817"/>
      <c r="BS55" s="817"/>
      <c r="BT55" s="817"/>
      <c r="BU55" s="817"/>
      <c r="BV55" s="817"/>
      <c r="BW55" s="817"/>
      <c r="BX55" s="817"/>
      <c r="BY55" s="817"/>
      <c r="BZ55" s="817"/>
      <c r="CA55" s="817"/>
      <c r="CB55" s="817"/>
      <c r="CC55" s="817"/>
      <c r="CD55" s="817"/>
      <c r="CE55" s="817"/>
      <c r="CF55" s="817"/>
      <c r="CG55" s="817"/>
      <c r="CH55" s="817"/>
      <c r="CI55" s="817"/>
      <c r="CJ55" s="817"/>
      <c r="CK55" s="817"/>
      <c r="CL55" s="817"/>
      <c r="CM55" s="817"/>
      <c r="CN55" s="817"/>
      <c r="CO55" s="817"/>
      <c r="CP55" s="817"/>
      <c r="CQ55" s="817"/>
      <c r="CR55" s="817"/>
      <c r="CS55" s="817"/>
      <c r="CT55" s="817"/>
    </row>
    <row r="56" spans="1:98" s="799" customFormat="1" x14ac:dyDescent="0.2">
      <c r="A56" s="783" t="s">
        <v>1621</v>
      </c>
      <c r="B56" s="783">
        <v>17</v>
      </c>
      <c r="C56" s="784">
        <v>10.1</v>
      </c>
      <c r="D56" s="784">
        <v>6.5</v>
      </c>
      <c r="E56" s="784">
        <f t="shared" ref="E56:E61" si="22">B56/D56</f>
        <v>2.6153846153846154</v>
      </c>
      <c r="F56" s="783">
        <v>5</v>
      </c>
      <c r="G56" s="783">
        <v>11.8</v>
      </c>
      <c r="H56" s="783">
        <v>4.2</v>
      </c>
      <c r="I56" s="784">
        <f t="shared" ref="I56:I61" si="23">F56/H56</f>
        <v>1.1904761904761905</v>
      </c>
      <c r="J56" s="783">
        <v>12</v>
      </c>
      <c r="K56" s="783">
        <v>9.6</v>
      </c>
      <c r="L56" s="783">
        <v>4.5999999999999996</v>
      </c>
      <c r="M56" s="784">
        <f t="shared" ref="M56:M61" si="24">J56/L56</f>
        <v>2.6086956521739131</v>
      </c>
      <c r="N56" s="784">
        <f>SUM(B56:B61,F56:F61,J56:J61)/18</f>
        <v>11.166666666666666</v>
      </c>
      <c r="O56" s="784">
        <f>SUM(C56:C61,G56:G61,K56:K61)/18</f>
        <v>10.866666666666665</v>
      </c>
      <c r="P56" s="784">
        <f>SUM(D56:D61,H56:H61,L56:L61)/18</f>
        <v>4.655555555555555</v>
      </c>
      <c r="Q56" s="825">
        <f>SUM(E56:E61,I56:I61,M56:M61)/18</f>
        <v>2.6329807672586991</v>
      </c>
      <c r="R56" s="786"/>
      <c r="S56" s="786"/>
      <c r="T56" s="786"/>
      <c r="U56" s="798"/>
    </row>
    <row r="57" spans="1:98" s="799" customFormat="1" x14ac:dyDescent="0.2">
      <c r="A57" s="783" t="s">
        <v>1622</v>
      </c>
      <c r="B57" s="783">
        <v>14</v>
      </c>
      <c r="C57" s="784">
        <v>13.2</v>
      </c>
      <c r="D57" s="784">
        <v>6.1</v>
      </c>
      <c r="E57" s="784">
        <f t="shared" si="22"/>
        <v>2.2950819672131151</v>
      </c>
      <c r="F57" s="783">
        <v>6</v>
      </c>
      <c r="G57" s="783">
        <v>11</v>
      </c>
      <c r="H57" s="783">
        <v>3.2</v>
      </c>
      <c r="I57" s="784">
        <f t="shared" si="23"/>
        <v>1.875</v>
      </c>
      <c r="J57" s="783">
        <v>12</v>
      </c>
      <c r="K57" s="783">
        <v>14.3</v>
      </c>
      <c r="L57" s="783">
        <v>4.5</v>
      </c>
      <c r="M57" s="784">
        <f t="shared" si="24"/>
        <v>2.6666666666666665</v>
      </c>
      <c r="N57" s="783" t="s">
        <v>27</v>
      </c>
      <c r="O57" s="783"/>
      <c r="P57" s="783"/>
      <c r="Q57" s="825"/>
      <c r="R57" s="786"/>
      <c r="S57" s="786"/>
      <c r="T57" s="786"/>
      <c r="U57" s="798"/>
    </row>
    <row r="58" spans="1:98" s="799" customFormat="1" x14ac:dyDescent="0.2">
      <c r="A58" s="783" t="s">
        <v>1623</v>
      </c>
      <c r="B58" s="783">
        <v>6</v>
      </c>
      <c r="C58" s="784">
        <v>6.5</v>
      </c>
      <c r="D58" s="784">
        <v>1.9</v>
      </c>
      <c r="E58" s="784">
        <f t="shared" si="22"/>
        <v>3.1578947368421053</v>
      </c>
      <c r="F58" s="783">
        <v>13</v>
      </c>
      <c r="G58" s="783">
        <v>9.1</v>
      </c>
      <c r="H58" s="783">
        <v>4.3</v>
      </c>
      <c r="I58" s="784">
        <f t="shared" si="23"/>
        <v>3.0232558139534884</v>
      </c>
      <c r="J58" s="783">
        <v>12</v>
      </c>
      <c r="K58" s="783">
        <v>15.5</v>
      </c>
      <c r="L58" s="783">
        <v>6.6</v>
      </c>
      <c r="M58" s="784">
        <f t="shared" si="24"/>
        <v>1.8181818181818183</v>
      </c>
      <c r="N58" s="783"/>
      <c r="O58" s="783"/>
      <c r="P58" s="783"/>
      <c r="Q58" s="825"/>
      <c r="R58" s="786"/>
      <c r="S58" s="786"/>
      <c r="T58" s="786"/>
      <c r="U58" s="798"/>
    </row>
    <row r="59" spans="1:98" s="799" customFormat="1" x14ac:dyDescent="0.2">
      <c r="A59" s="783" t="s">
        <v>1624</v>
      </c>
      <c r="B59" s="783">
        <v>16</v>
      </c>
      <c r="C59" s="784">
        <v>15.7</v>
      </c>
      <c r="D59" s="784">
        <v>7.5</v>
      </c>
      <c r="E59" s="784">
        <f t="shared" si="22"/>
        <v>2.1333333333333333</v>
      </c>
      <c r="F59" s="783">
        <v>8</v>
      </c>
      <c r="G59" s="783">
        <v>6.1</v>
      </c>
      <c r="H59" s="783">
        <v>2.2000000000000002</v>
      </c>
      <c r="I59" s="784">
        <f t="shared" si="23"/>
        <v>3.6363636363636362</v>
      </c>
      <c r="J59" s="783">
        <v>17</v>
      </c>
      <c r="K59" s="783">
        <v>7.6</v>
      </c>
      <c r="L59" s="783">
        <v>3.8</v>
      </c>
      <c r="M59" s="784">
        <f t="shared" si="24"/>
        <v>4.4736842105263159</v>
      </c>
      <c r="N59" s="783"/>
      <c r="O59" s="783"/>
      <c r="P59" s="783"/>
      <c r="Q59" s="825"/>
      <c r="R59" s="786"/>
      <c r="S59" s="786"/>
      <c r="T59" s="786"/>
      <c r="U59" s="798"/>
    </row>
    <row r="60" spans="1:98" s="799" customFormat="1" x14ac:dyDescent="0.2">
      <c r="A60" s="783" t="s">
        <v>1625</v>
      </c>
      <c r="B60" s="783">
        <v>11</v>
      </c>
      <c r="C60" s="784">
        <v>14.9</v>
      </c>
      <c r="D60" s="784">
        <v>8.1</v>
      </c>
      <c r="E60" s="784">
        <f t="shared" si="22"/>
        <v>1.3580246913580247</v>
      </c>
      <c r="F60" s="783">
        <v>12</v>
      </c>
      <c r="G60" s="783">
        <v>11.2</v>
      </c>
      <c r="H60" s="783">
        <v>5.0999999999999996</v>
      </c>
      <c r="I60" s="784">
        <f t="shared" si="23"/>
        <v>2.3529411764705883</v>
      </c>
      <c r="J60" s="783">
        <v>10</v>
      </c>
      <c r="K60" s="783">
        <v>11.7</v>
      </c>
      <c r="L60" s="783">
        <v>2.5</v>
      </c>
      <c r="M60" s="784">
        <f t="shared" si="24"/>
        <v>4</v>
      </c>
      <c r="N60" s="783"/>
      <c r="O60" s="783"/>
      <c r="P60" s="783"/>
      <c r="Q60" s="825"/>
      <c r="R60" s="786"/>
      <c r="S60" s="786"/>
      <c r="T60" s="786"/>
      <c r="U60" s="798"/>
    </row>
    <row r="61" spans="1:98" s="800" customFormat="1" x14ac:dyDescent="0.2">
      <c r="A61" s="783" t="s">
        <v>1626</v>
      </c>
      <c r="B61" s="783">
        <v>7</v>
      </c>
      <c r="C61" s="784">
        <v>11.1</v>
      </c>
      <c r="D61" s="784">
        <v>2.5</v>
      </c>
      <c r="E61" s="784">
        <f t="shared" si="22"/>
        <v>2.8</v>
      </c>
      <c r="F61" s="783">
        <v>10</v>
      </c>
      <c r="G61" s="783">
        <v>6</v>
      </c>
      <c r="H61" s="783">
        <v>6.9</v>
      </c>
      <c r="I61" s="784">
        <f t="shared" si="23"/>
        <v>1.4492753623188406</v>
      </c>
      <c r="J61" s="783">
        <v>13</v>
      </c>
      <c r="K61" s="783">
        <v>10.199999999999999</v>
      </c>
      <c r="L61" s="783">
        <v>3.3</v>
      </c>
      <c r="M61" s="784">
        <f t="shared" si="24"/>
        <v>3.9393939393939394</v>
      </c>
      <c r="N61" s="783"/>
      <c r="O61" s="783"/>
      <c r="P61" s="783"/>
      <c r="Q61" s="825"/>
      <c r="R61" s="786">
        <v>18</v>
      </c>
      <c r="S61" s="786">
        <f>+O56*18</f>
        <v>195.59999999999997</v>
      </c>
      <c r="T61" s="784">
        <f>+S61/10</f>
        <v>19.559999999999995</v>
      </c>
      <c r="U61" s="818"/>
      <c r="V61" s="799"/>
      <c r="W61" s="799"/>
      <c r="X61" s="799"/>
      <c r="Y61" s="799"/>
      <c r="Z61" s="799"/>
      <c r="AA61" s="799"/>
      <c r="AB61" s="799"/>
      <c r="AC61" s="799"/>
      <c r="AD61" s="799"/>
      <c r="AE61" s="799"/>
      <c r="AF61" s="799"/>
      <c r="AG61" s="799"/>
      <c r="AH61" s="799"/>
      <c r="AI61" s="799"/>
      <c r="AJ61" s="799"/>
      <c r="AK61" s="799"/>
      <c r="AL61" s="799"/>
      <c r="AM61" s="799"/>
      <c r="AN61" s="799"/>
      <c r="AO61" s="799"/>
      <c r="AP61" s="799"/>
      <c r="AQ61" s="799"/>
      <c r="AR61" s="799"/>
      <c r="AS61" s="799"/>
      <c r="AT61" s="799"/>
      <c r="AU61" s="799"/>
      <c r="AV61" s="799"/>
      <c r="AW61" s="799"/>
      <c r="AX61" s="799"/>
      <c r="AY61" s="799"/>
      <c r="AZ61" s="799"/>
      <c r="BA61" s="799"/>
      <c r="BB61" s="799"/>
      <c r="BC61" s="799"/>
      <c r="BD61" s="799"/>
      <c r="BE61" s="799"/>
      <c r="BF61" s="799"/>
      <c r="BG61" s="799"/>
      <c r="BH61" s="799"/>
      <c r="BI61" s="799"/>
      <c r="BJ61" s="799"/>
      <c r="BK61" s="799"/>
      <c r="BL61" s="799"/>
      <c r="BM61" s="799"/>
      <c r="BN61" s="799"/>
      <c r="BO61" s="799"/>
      <c r="BP61" s="799"/>
      <c r="BQ61" s="799"/>
      <c r="BR61" s="799"/>
      <c r="BS61" s="799"/>
      <c r="BT61" s="799"/>
      <c r="BU61" s="799"/>
      <c r="BV61" s="799"/>
      <c r="BW61" s="799"/>
      <c r="BX61" s="799"/>
      <c r="BY61" s="799"/>
      <c r="BZ61" s="799"/>
      <c r="CA61" s="799"/>
      <c r="CB61" s="799"/>
      <c r="CC61" s="799"/>
      <c r="CD61" s="799"/>
      <c r="CE61" s="799"/>
      <c r="CF61" s="799"/>
      <c r="CG61" s="799"/>
      <c r="CH61" s="799"/>
      <c r="CI61" s="799"/>
      <c r="CJ61" s="799"/>
      <c r="CK61" s="799"/>
      <c r="CL61" s="799"/>
      <c r="CM61" s="799"/>
      <c r="CN61" s="799"/>
      <c r="CO61" s="799"/>
      <c r="CP61" s="799"/>
      <c r="CQ61" s="799"/>
      <c r="CR61" s="799"/>
      <c r="CS61" s="799"/>
      <c r="CT61" s="799"/>
    </row>
    <row r="62" spans="1:98" s="801" customFormat="1" x14ac:dyDescent="0.2">
      <c r="A62" s="777" t="s">
        <v>1620</v>
      </c>
      <c r="B62" s="781"/>
      <c r="C62" s="790"/>
      <c r="D62" s="790"/>
      <c r="E62" s="790"/>
      <c r="F62" s="781"/>
      <c r="G62" s="781"/>
      <c r="H62" s="781"/>
      <c r="I62" s="790"/>
      <c r="J62" s="781"/>
      <c r="K62" s="781"/>
      <c r="L62" s="781"/>
      <c r="M62" s="790"/>
      <c r="N62" s="781"/>
      <c r="O62" s="781"/>
      <c r="P62" s="781"/>
      <c r="Q62" s="826"/>
      <c r="R62" s="791"/>
      <c r="S62" s="791"/>
      <c r="T62" s="791"/>
      <c r="U62" s="819"/>
      <c r="V62" s="817"/>
      <c r="W62" s="817"/>
      <c r="X62" s="817"/>
      <c r="Y62" s="817"/>
      <c r="Z62" s="817"/>
      <c r="AA62" s="817"/>
      <c r="AB62" s="817"/>
      <c r="AC62" s="817"/>
      <c r="AD62" s="817"/>
      <c r="AE62" s="817"/>
      <c r="AF62" s="817"/>
      <c r="AG62" s="817"/>
      <c r="AH62" s="817"/>
      <c r="AI62" s="817"/>
      <c r="AJ62" s="817"/>
      <c r="AK62" s="817"/>
      <c r="AL62" s="817"/>
      <c r="AM62" s="817"/>
      <c r="AN62" s="817"/>
      <c r="AO62" s="817"/>
      <c r="AP62" s="817"/>
      <c r="AQ62" s="817"/>
      <c r="AR62" s="817"/>
      <c r="AS62" s="817"/>
      <c r="AT62" s="817"/>
      <c r="AU62" s="817"/>
      <c r="AV62" s="817"/>
      <c r="AW62" s="817"/>
      <c r="AX62" s="817"/>
      <c r="AY62" s="817"/>
      <c r="AZ62" s="817"/>
      <c r="BA62" s="817"/>
      <c r="BB62" s="817"/>
      <c r="BC62" s="817"/>
      <c r="BD62" s="817"/>
      <c r="BE62" s="817"/>
      <c r="BF62" s="817"/>
      <c r="BG62" s="817"/>
      <c r="BH62" s="817"/>
      <c r="BI62" s="817"/>
      <c r="BJ62" s="817"/>
      <c r="BK62" s="817"/>
      <c r="BL62" s="817"/>
      <c r="BM62" s="817"/>
      <c r="BN62" s="817"/>
      <c r="BO62" s="817"/>
      <c r="BP62" s="817"/>
      <c r="BQ62" s="817"/>
      <c r="BR62" s="817"/>
      <c r="BS62" s="817"/>
      <c r="BT62" s="817"/>
      <c r="BU62" s="817"/>
      <c r="BV62" s="817"/>
      <c r="BW62" s="817"/>
      <c r="BX62" s="817"/>
      <c r="BY62" s="817"/>
      <c r="BZ62" s="817"/>
      <c r="CA62" s="817"/>
      <c r="CB62" s="817"/>
      <c r="CC62" s="817"/>
      <c r="CD62" s="817"/>
      <c r="CE62" s="817"/>
      <c r="CF62" s="817"/>
      <c r="CG62" s="817"/>
      <c r="CH62" s="817"/>
      <c r="CI62" s="817"/>
      <c r="CJ62" s="817"/>
      <c r="CK62" s="817"/>
      <c r="CL62" s="817"/>
      <c r="CM62" s="817"/>
      <c r="CN62" s="817"/>
      <c r="CO62" s="817"/>
      <c r="CP62" s="817"/>
      <c r="CQ62" s="817"/>
      <c r="CR62" s="817"/>
      <c r="CS62" s="817"/>
      <c r="CT62" s="817"/>
    </row>
    <row r="63" spans="1:98" s="799" customFormat="1" x14ac:dyDescent="0.2">
      <c r="A63" s="783" t="s">
        <v>1621</v>
      </c>
      <c r="B63" s="802">
        <v>21</v>
      </c>
      <c r="C63" s="784">
        <v>7.6</v>
      </c>
      <c r="D63" s="784">
        <v>4.5999999999999996</v>
      </c>
      <c r="E63" s="784">
        <f t="shared" ref="E63:E68" si="25">B63/D63</f>
        <v>4.5652173913043486</v>
      </c>
      <c r="F63" s="783">
        <v>11</v>
      </c>
      <c r="G63" s="784">
        <f>(4+9+11+6+5+9+13+3+4+4)/10</f>
        <v>6.8</v>
      </c>
      <c r="H63" s="784">
        <v>2.9</v>
      </c>
      <c r="I63" s="784">
        <f t="shared" ref="I63:I68" si="26">F63/H63</f>
        <v>3.7931034482758621</v>
      </c>
      <c r="J63" s="784">
        <v>19</v>
      </c>
      <c r="K63" s="784">
        <f>(0.2+0.7+0.1+0.4+0.8+0.2+0.2+0.2+1.4+1.1+1.3+0.4+1.8+1.2+0.7+0.6+0.2+1.2+1.1)/19*10</f>
        <v>7.2631578947368407</v>
      </c>
      <c r="L63" s="784">
        <v>5.2</v>
      </c>
      <c r="M63" s="784">
        <f t="shared" ref="M63:M68" si="27">J63/L63</f>
        <v>3.6538461538461537</v>
      </c>
      <c r="N63" s="784">
        <f>SUM(B63:B68,F63:F68,J63:J68)/18</f>
        <v>11.277777777777779</v>
      </c>
      <c r="O63" s="784">
        <f>SUM(C63:C68,G63:G68,K63:K68)/18</f>
        <v>7.1681111448655299</v>
      </c>
      <c r="P63" s="784">
        <f>SUM(D63:D68,H63:H68,L63:L68)/18</f>
        <v>3.3055555555555554</v>
      </c>
      <c r="Q63" s="825">
        <f>SUM(E63:E68,I63:I68,M63:M68)/18</f>
        <v>3.4656446033362536</v>
      </c>
      <c r="R63" s="786"/>
      <c r="S63" s="786"/>
      <c r="T63" s="786"/>
      <c r="U63" s="798"/>
    </row>
    <row r="64" spans="1:98" s="799" customFormat="1" x14ac:dyDescent="0.2">
      <c r="A64" s="783" t="s">
        <v>1622</v>
      </c>
      <c r="B64" s="783">
        <v>10</v>
      </c>
      <c r="C64" s="784">
        <v>7.1</v>
      </c>
      <c r="D64" s="784">
        <v>3.3</v>
      </c>
      <c r="E64" s="784">
        <f t="shared" si="25"/>
        <v>3.0303030303030303</v>
      </c>
      <c r="F64" s="783">
        <v>11</v>
      </c>
      <c r="G64" s="784">
        <f>(11+3+4+6+14+12+12+3+4+3+3)/11</f>
        <v>6.8181818181818183</v>
      </c>
      <c r="H64" s="784">
        <v>4</v>
      </c>
      <c r="I64" s="784">
        <f t="shared" si="26"/>
        <v>2.75</v>
      </c>
      <c r="J64" s="784">
        <v>11</v>
      </c>
      <c r="K64" s="784">
        <f>(0.4+0.3+0.5+0.3+0.4+0.6+0.5+0.3+0.1+1+0.6)/11*10</f>
        <v>4.545454545454545</v>
      </c>
      <c r="L64" s="784">
        <v>2.2999999999999998</v>
      </c>
      <c r="M64" s="784">
        <f t="shared" si="27"/>
        <v>4.7826086956521747</v>
      </c>
      <c r="N64" s="783" t="s">
        <v>27</v>
      </c>
      <c r="O64" s="783"/>
      <c r="P64" s="783"/>
      <c r="Q64" s="825"/>
      <c r="R64" s="786"/>
      <c r="S64" s="786"/>
      <c r="T64" s="786"/>
      <c r="U64" s="798"/>
    </row>
    <row r="65" spans="1:98" s="799" customFormat="1" x14ac:dyDescent="0.2">
      <c r="A65" s="783" t="s">
        <v>1623</v>
      </c>
      <c r="B65" s="783">
        <v>10</v>
      </c>
      <c r="C65" s="784">
        <v>6.8</v>
      </c>
      <c r="D65" s="784">
        <v>3</v>
      </c>
      <c r="E65" s="784">
        <f t="shared" si="25"/>
        <v>3.3333333333333335</v>
      </c>
      <c r="F65" s="783">
        <v>9</v>
      </c>
      <c r="G65" s="784">
        <f>(3+6+11+8+6+16+11+6)/8</f>
        <v>8.375</v>
      </c>
      <c r="H65" s="784">
        <v>3.1</v>
      </c>
      <c r="I65" s="784">
        <f t="shared" si="26"/>
        <v>2.903225806451613</v>
      </c>
      <c r="J65" s="784">
        <v>14</v>
      </c>
      <c r="K65" s="784">
        <f>(0.2+0.1+0.2+0.04+1.1+0.6+0.8+0.5+0.5+0.5+0.6+0.4+0.4+1.7)/14*10</f>
        <v>5.4571428571428573</v>
      </c>
      <c r="L65" s="784">
        <v>5</v>
      </c>
      <c r="M65" s="784">
        <f t="shared" si="27"/>
        <v>2.8</v>
      </c>
      <c r="N65" s="783"/>
      <c r="O65" s="783"/>
      <c r="P65" s="783"/>
      <c r="Q65" s="825"/>
      <c r="R65" s="786"/>
      <c r="S65" s="786"/>
      <c r="T65" s="786"/>
      <c r="U65" s="798"/>
    </row>
    <row r="66" spans="1:98" s="799" customFormat="1" x14ac:dyDescent="0.2">
      <c r="A66" s="783" t="s">
        <v>1624</v>
      </c>
      <c r="B66" s="783">
        <v>9</v>
      </c>
      <c r="C66" s="784">
        <v>5.3</v>
      </c>
      <c r="D66" s="784">
        <v>3.2</v>
      </c>
      <c r="E66" s="784">
        <f t="shared" si="25"/>
        <v>2.8125</v>
      </c>
      <c r="F66" s="783">
        <v>9</v>
      </c>
      <c r="G66" s="784">
        <f>(22+9+12+12+10+5+5)/7</f>
        <v>10.714285714285714</v>
      </c>
      <c r="H66" s="784">
        <v>1.9</v>
      </c>
      <c r="I66" s="784">
        <f t="shared" si="26"/>
        <v>4.7368421052631584</v>
      </c>
      <c r="J66" s="784">
        <v>15</v>
      </c>
      <c r="K66" s="784">
        <f>(10+15+8+21+8+4+15+9+3+3+2+5+4+13+2)/15</f>
        <v>8.1333333333333329</v>
      </c>
      <c r="L66" s="784">
        <v>4.8</v>
      </c>
      <c r="M66" s="784">
        <f t="shared" si="27"/>
        <v>3.125</v>
      </c>
      <c r="N66" s="783"/>
      <c r="O66" s="783"/>
      <c r="P66" s="783"/>
      <c r="Q66" s="825"/>
      <c r="R66" s="786"/>
      <c r="S66" s="786"/>
      <c r="T66" s="786"/>
      <c r="U66" s="798"/>
    </row>
    <row r="67" spans="1:98" s="799" customFormat="1" x14ac:dyDescent="0.2">
      <c r="A67" s="783" t="s">
        <v>1625</v>
      </c>
      <c r="B67" s="783">
        <v>7</v>
      </c>
      <c r="C67" s="784">
        <v>7.5</v>
      </c>
      <c r="D67" s="784">
        <v>2.7</v>
      </c>
      <c r="E67" s="784">
        <f t="shared" si="25"/>
        <v>2.5925925925925926</v>
      </c>
      <c r="F67" s="783">
        <v>8</v>
      </c>
      <c r="G67" s="784">
        <f>(10+16+11+6+6+7+4+3)/8</f>
        <v>7.875</v>
      </c>
      <c r="H67" s="784">
        <v>2.5</v>
      </c>
      <c r="I67" s="784">
        <f t="shared" si="26"/>
        <v>3.2</v>
      </c>
      <c r="J67" s="784">
        <v>12</v>
      </c>
      <c r="K67" s="784">
        <f>(2+2+3+11+11+4+5+16+16)/12</f>
        <v>5.833333333333333</v>
      </c>
      <c r="L67" s="784">
        <v>3.6</v>
      </c>
      <c r="M67" s="784">
        <f t="shared" si="27"/>
        <v>3.333333333333333</v>
      </c>
      <c r="N67" s="783"/>
      <c r="O67" s="783"/>
      <c r="P67" s="783"/>
      <c r="Q67" s="825"/>
      <c r="R67" s="786"/>
      <c r="S67" s="786"/>
      <c r="T67" s="786"/>
      <c r="U67" s="798"/>
    </row>
    <row r="68" spans="1:98" s="800" customFormat="1" x14ac:dyDescent="0.2">
      <c r="A68" s="783" t="s">
        <v>1626</v>
      </c>
      <c r="B68" s="783">
        <v>10</v>
      </c>
      <c r="C68" s="784">
        <v>8.8000000000000007</v>
      </c>
      <c r="D68" s="784">
        <v>2.5</v>
      </c>
      <c r="E68" s="784">
        <f t="shared" si="25"/>
        <v>4</v>
      </c>
      <c r="F68" s="783">
        <v>8</v>
      </c>
      <c r="G68" s="784">
        <f>AVERAGE(5,11,4,13,14,7,8,4,3)</f>
        <v>7.666666666666667</v>
      </c>
      <c r="H68" s="784">
        <v>2.2000000000000002</v>
      </c>
      <c r="I68" s="784">
        <f t="shared" si="26"/>
        <v>3.6363636363636362</v>
      </c>
      <c r="J68" s="784">
        <v>9</v>
      </c>
      <c r="K68" s="784">
        <f>(14+10+8+11+11+4)/9</f>
        <v>6.4444444444444446</v>
      </c>
      <c r="L68" s="784">
        <v>2.7</v>
      </c>
      <c r="M68" s="784">
        <f t="shared" si="27"/>
        <v>3.333333333333333</v>
      </c>
      <c r="N68" s="783"/>
      <c r="O68" s="783"/>
      <c r="P68" s="783"/>
      <c r="Q68" s="825"/>
      <c r="R68" s="786">
        <v>18</v>
      </c>
      <c r="S68" s="786">
        <f>+O63*18</f>
        <v>129.02600060757953</v>
      </c>
      <c r="T68" s="784">
        <f>+S68/10</f>
        <v>12.902600060757953</v>
      </c>
      <c r="U68" s="818"/>
      <c r="V68" s="799"/>
      <c r="W68" s="799"/>
      <c r="X68" s="799"/>
      <c r="Y68" s="799"/>
      <c r="Z68" s="799"/>
      <c r="AA68" s="799"/>
      <c r="AB68" s="799"/>
      <c r="AC68" s="799"/>
      <c r="AD68" s="799"/>
      <c r="AE68" s="799"/>
      <c r="AF68" s="799"/>
      <c r="AG68" s="799"/>
      <c r="AH68" s="799"/>
      <c r="AI68" s="799"/>
      <c r="AJ68" s="799"/>
      <c r="AK68" s="799"/>
      <c r="AL68" s="799"/>
      <c r="AM68" s="799"/>
      <c r="AN68" s="799"/>
      <c r="AO68" s="799"/>
      <c r="AP68" s="799"/>
      <c r="AQ68" s="799"/>
      <c r="AR68" s="799"/>
      <c r="AS68" s="799"/>
      <c r="AT68" s="799"/>
      <c r="AU68" s="799"/>
      <c r="AV68" s="799"/>
      <c r="AW68" s="799"/>
      <c r="AX68" s="799"/>
      <c r="AY68" s="799"/>
      <c r="AZ68" s="799"/>
      <c r="BA68" s="799"/>
      <c r="BB68" s="799"/>
      <c r="BC68" s="799"/>
      <c r="BD68" s="799"/>
      <c r="BE68" s="799"/>
      <c r="BF68" s="799"/>
      <c r="BG68" s="799"/>
      <c r="BH68" s="799"/>
      <c r="BI68" s="799"/>
      <c r="BJ68" s="799"/>
      <c r="BK68" s="799"/>
      <c r="BL68" s="799"/>
      <c r="BM68" s="799"/>
      <c r="BN68" s="799"/>
      <c r="BO68" s="799"/>
      <c r="BP68" s="799"/>
      <c r="BQ68" s="799"/>
      <c r="BR68" s="799"/>
      <c r="BS68" s="799"/>
      <c r="BT68" s="799"/>
      <c r="BU68" s="799"/>
      <c r="BV68" s="799"/>
      <c r="BW68" s="799"/>
      <c r="BX68" s="799"/>
      <c r="BY68" s="799"/>
      <c r="BZ68" s="799"/>
      <c r="CA68" s="799"/>
      <c r="CB68" s="799"/>
      <c r="CC68" s="799"/>
      <c r="CD68" s="799"/>
      <c r="CE68" s="799"/>
      <c r="CF68" s="799"/>
      <c r="CG68" s="799"/>
      <c r="CH68" s="799"/>
      <c r="CI68" s="799"/>
      <c r="CJ68" s="799"/>
      <c r="CK68" s="799"/>
      <c r="CL68" s="799"/>
      <c r="CM68" s="799"/>
      <c r="CN68" s="799"/>
      <c r="CO68" s="799"/>
      <c r="CP68" s="799"/>
      <c r="CQ68" s="799"/>
      <c r="CR68" s="799"/>
      <c r="CS68" s="799"/>
      <c r="CT68" s="799"/>
    </row>
    <row r="69" spans="1:98" s="801" customFormat="1" hidden="1" x14ac:dyDescent="0.2">
      <c r="A69" s="777" t="s">
        <v>1636</v>
      </c>
      <c r="B69" s="781" t="s">
        <v>1637</v>
      </c>
      <c r="C69" s="790"/>
      <c r="D69" s="790"/>
      <c r="E69" s="790"/>
      <c r="F69" s="781" t="s">
        <v>1638</v>
      </c>
      <c r="G69" s="781"/>
      <c r="H69" s="781"/>
      <c r="I69" s="790"/>
      <c r="J69" s="781" t="s">
        <v>1639</v>
      </c>
      <c r="K69" s="781"/>
      <c r="L69" s="781"/>
      <c r="M69" s="790"/>
      <c r="N69" s="781"/>
      <c r="O69" s="781"/>
      <c r="P69" s="781"/>
      <c r="Q69" s="826"/>
      <c r="R69" s="791"/>
      <c r="S69" s="791"/>
      <c r="T69" s="791"/>
      <c r="U69" s="819"/>
      <c r="V69" s="817"/>
      <c r="W69" s="817"/>
      <c r="X69" s="817"/>
      <c r="Y69" s="817"/>
      <c r="Z69" s="817"/>
      <c r="AA69" s="817"/>
      <c r="AB69" s="817"/>
      <c r="AC69" s="817"/>
      <c r="AD69" s="817"/>
      <c r="AE69" s="817"/>
      <c r="AF69" s="817"/>
      <c r="AG69" s="817"/>
      <c r="AH69" s="817"/>
      <c r="AI69" s="817"/>
      <c r="AJ69" s="817"/>
      <c r="AK69" s="817"/>
      <c r="AL69" s="817"/>
      <c r="AM69" s="817"/>
      <c r="AN69" s="817"/>
      <c r="AO69" s="817"/>
      <c r="AP69" s="817"/>
      <c r="AQ69" s="817"/>
      <c r="AR69" s="817"/>
      <c r="AS69" s="817"/>
      <c r="AT69" s="817"/>
      <c r="AU69" s="817"/>
      <c r="AV69" s="817"/>
      <c r="AW69" s="817"/>
      <c r="AX69" s="817"/>
      <c r="AY69" s="817"/>
      <c r="AZ69" s="817"/>
      <c r="BA69" s="817"/>
      <c r="BB69" s="817"/>
      <c r="BC69" s="817"/>
      <c r="BD69" s="817"/>
      <c r="BE69" s="817"/>
      <c r="BF69" s="817"/>
      <c r="BG69" s="817"/>
      <c r="BH69" s="817"/>
      <c r="BI69" s="817"/>
      <c r="BJ69" s="817"/>
      <c r="BK69" s="817"/>
      <c r="BL69" s="817"/>
      <c r="BM69" s="817"/>
      <c r="BN69" s="817"/>
      <c r="BO69" s="817"/>
      <c r="BP69" s="817"/>
      <c r="BQ69" s="817"/>
      <c r="BR69" s="817"/>
      <c r="BS69" s="817"/>
      <c r="BT69" s="817"/>
      <c r="BU69" s="817"/>
      <c r="BV69" s="817"/>
      <c r="BW69" s="817"/>
      <c r="BX69" s="817"/>
      <c r="BY69" s="817"/>
      <c r="BZ69" s="817"/>
      <c r="CA69" s="817"/>
      <c r="CB69" s="817"/>
      <c r="CC69" s="817"/>
      <c r="CD69" s="817"/>
      <c r="CE69" s="817"/>
      <c r="CF69" s="817"/>
      <c r="CG69" s="817"/>
      <c r="CH69" s="817"/>
      <c r="CI69" s="817"/>
      <c r="CJ69" s="817"/>
      <c r="CK69" s="817"/>
      <c r="CL69" s="817"/>
      <c r="CM69" s="817"/>
      <c r="CN69" s="817"/>
      <c r="CO69" s="817"/>
      <c r="CP69" s="817"/>
      <c r="CQ69" s="817"/>
      <c r="CR69" s="817"/>
      <c r="CS69" s="817"/>
      <c r="CT69" s="817"/>
    </row>
    <row r="70" spans="1:98" s="799" customFormat="1" hidden="1" x14ac:dyDescent="0.2">
      <c r="A70" s="783" t="s">
        <v>1621</v>
      </c>
      <c r="B70" s="802">
        <v>23</v>
      </c>
      <c r="C70" s="784">
        <v>11</v>
      </c>
      <c r="D70" s="784">
        <v>6.3</v>
      </c>
      <c r="E70" s="784">
        <f t="shared" ref="E70:E75" si="28">B70/D70</f>
        <v>3.6507936507936507</v>
      </c>
      <c r="F70" s="783">
        <v>12</v>
      </c>
      <c r="G70" s="783">
        <v>11.7</v>
      </c>
      <c r="H70" s="783">
        <v>3.7</v>
      </c>
      <c r="I70" s="784">
        <f t="shared" ref="I70:I75" si="29">F70/H70</f>
        <v>3.243243243243243</v>
      </c>
      <c r="J70" s="783">
        <v>8</v>
      </c>
      <c r="K70" s="783">
        <f>(3+11+24+20+15+6+7+3)/8</f>
        <v>11.125</v>
      </c>
      <c r="L70" s="783">
        <v>3.3</v>
      </c>
      <c r="M70" s="784">
        <f t="shared" ref="M70:M75" si="30">J70/L70</f>
        <v>2.4242424242424243</v>
      </c>
      <c r="N70" s="784">
        <f>SUM(B70:B75,F70:F75,J70:J75)/18</f>
        <v>14.166666666666666</v>
      </c>
      <c r="O70" s="784">
        <f>SUM(C70:C75,G70:G75,K70:K75)/18</f>
        <v>10.075676638176638</v>
      </c>
      <c r="P70" s="784">
        <f>SUM(D70:D75,H70:H75,L70:L75)/18</f>
        <v>4.1055555555555561</v>
      </c>
      <c r="Q70" s="825">
        <f>SUM(E70:E75,I70:I75,M70:M75)/18</f>
        <v>3.4588519825062409</v>
      </c>
      <c r="R70" s="786"/>
      <c r="S70" s="786"/>
      <c r="T70" s="786"/>
      <c r="U70" s="798"/>
    </row>
    <row r="71" spans="1:98" s="799" customFormat="1" hidden="1" x14ac:dyDescent="0.2">
      <c r="A71" s="783" t="s">
        <v>1622</v>
      </c>
      <c r="B71" s="783">
        <v>16</v>
      </c>
      <c r="C71" s="784">
        <v>7.2</v>
      </c>
      <c r="D71" s="784">
        <v>4.5</v>
      </c>
      <c r="E71" s="784">
        <f t="shared" si="28"/>
        <v>3.5555555555555554</v>
      </c>
      <c r="F71" s="783">
        <v>15</v>
      </c>
      <c r="G71" s="783">
        <v>8.6</v>
      </c>
      <c r="H71" s="783">
        <v>4.3</v>
      </c>
      <c r="I71" s="784">
        <f t="shared" si="29"/>
        <v>3.4883720930232558</v>
      </c>
      <c r="J71" s="783">
        <v>12</v>
      </c>
      <c r="K71" s="783">
        <f>+(16+42+39+4+12+32+19+5+11+13+6+6)/12</f>
        <v>17.083333333333332</v>
      </c>
      <c r="L71" s="783">
        <v>4.5</v>
      </c>
      <c r="M71" s="784">
        <f t="shared" si="30"/>
        <v>2.6666666666666665</v>
      </c>
      <c r="N71" s="783" t="s">
        <v>27</v>
      </c>
      <c r="O71" s="783"/>
      <c r="P71" s="783"/>
      <c r="Q71" s="825"/>
      <c r="R71" s="786"/>
      <c r="S71" s="786"/>
      <c r="T71" s="786"/>
      <c r="U71" s="798"/>
    </row>
    <row r="72" spans="1:98" s="799" customFormat="1" hidden="1" x14ac:dyDescent="0.2">
      <c r="A72" s="783" t="s">
        <v>1623</v>
      </c>
      <c r="B72" s="783">
        <v>17</v>
      </c>
      <c r="C72" s="784">
        <v>8.1999999999999993</v>
      </c>
      <c r="D72" s="784">
        <v>4.2</v>
      </c>
      <c r="E72" s="784">
        <f t="shared" si="28"/>
        <v>4.0476190476190474</v>
      </c>
      <c r="F72" s="783">
        <v>6</v>
      </c>
      <c r="G72" s="783">
        <v>7.2</v>
      </c>
      <c r="H72" s="783">
        <v>2</v>
      </c>
      <c r="I72" s="784">
        <f t="shared" si="29"/>
        <v>3</v>
      </c>
      <c r="J72" s="783">
        <v>4</v>
      </c>
      <c r="K72" s="783">
        <f>+(12+4+7+3)/4</f>
        <v>6.5</v>
      </c>
      <c r="L72" s="783">
        <v>2.8</v>
      </c>
      <c r="M72" s="784">
        <f t="shared" si="30"/>
        <v>1.4285714285714286</v>
      </c>
      <c r="N72" s="783"/>
      <c r="O72" s="783"/>
      <c r="P72" s="783"/>
      <c r="Q72" s="825"/>
      <c r="R72" s="786"/>
      <c r="S72" s="786"/>
      <c r="T72" s="786"/>
      <c r="U72" s="798"/>
    </row>
    <row r="73" spans="1:98" s="799" customFormat="1" hidden="1" x14ac:dyDescent="0.2">
      <c r="A73" s="783" t="s">
        <v>1624</v>
      </c>
      <c r="B73" s="783">
        <v>11</v>
      </c>
      <c r="C73" s="784">
        <v>6.5</v>
      </c>
      <c r="D73" s="784">
        <v>4</v>
      </c>
      <c r="E73" s="784">
        <f t="shared" si="28"/>
        <v>2.75</v>
      </c>
      <c r="F73" s="783">
        <v>9</v>
      </c>
      <c r="G73" s="783">
        <v>9.8000000000000007</v>
      </c>
      <c r="H73" s="783">
        <v>2.5</v>
      </c>
      <c r="I73" s="784">
        <f t="shared" si="29"/>
        <v>3.6</v>
      </c>
      <c r="J73" s="783">
        <v>10</v>
      </c>
      <c r="K73" s="783">
        <f>+(27+15+22+12+16+10+8+4)/8</f>
        <v>14.25</v>
      </c>
      <c r="L73" s="783">
        <v>3.2</v>
      </c>
      <c r="M73" s="784">
        <f t="shared" si="30"/>
        <v>3.125</v>
      </c>
      <c r="N73" s="783"/>
      <c r="O73" s="783"/>
      <c r="P73" s="783"/>
      <c r="Q73" s="825"/>
      <c r="R73" s="786"/>
      <c r="S73" s="786"/>
      <c r="T73" s="786"/>
      <c r="U73" s="798"/>
    </row>
    <row r="74" spans="1:98" s="799" customFormat="1" hidden="1" x14ac:dyDescent="0.2">
      <c r="A74" s="783" t="s">
        <v>1625</v>
      </c>
      <c r="B74" s="783">
        <v>34</v>
      </c>
      <c r="C74" s="784">
        <v>9.5</v>
      </c>
      <c r="D74" s="784">
        <v>9.5</v>
      </c>
      <c r="E74" s="784">
        <f t="shared" si="28"/>
        <v>3.5789473684210527</v>
      </c>
      <c r="F74" s="783">
        <v>24</v>
      </c>
      <c r="G74" s="783">
        <v>12.5</v>
      </c>
      <c r="H74" s="783">
        <v>6.7</v>
      </c>
      <c r="I74" s="784">
        <f t="shared" si="29"/>
        <v>3.5820895522388061</v>
      </c>
      <c r="J74" s="783">
        <v>16</v>
      </c>
      <c r="K74" s="783">
        <f>+(15+17+15+15+13+8+11+7+23+25+3+16+11+12+4+9)/16</f>
        <v>12.75</v>
      </c>
      <c r="L74" s="783">
        <v>2.8</v>
      </c>
      <c r="M74" s="784">
        <f t="shared" si="30"/>
        <v>5.7142857142857144</v>
      </c>
      <c r="N74" s="783"/>
      <c r="O74" s="783"/>
      <c r="P74" s="783"/>
      <c r="Q74" s="825"/>
      <c r="R74" s="786"/>
      <c r="S74" s="786"/>
      <c r="T74" s="786"/>
      <c r="U74" s="798"/>
    </row>
    <row r="75" spans="1:98" s="800" customFormat="1" hidden="1" x14ac:dyDescent="0.2">
      <c r="A75" s="783" t="s">
        <v>1626</v>
      </c>
      <c r="B75" s="783">
        <v>17</v>
      </c>
      <c r="C75" s="784">
        <v>8.5</v>
      </c>
      <c r="D75" s="784">
        <v>3.1</v>
      </c>
      <c r="E75" s="784">
        <f t="shared" si="28"/>
        <v>5.4838709677419351</v>
      </c>
      <c r="F75" s="783">
        <v>8</v>
      </c>
      <c r="G75" s="783">
        <v>8.8000000000000007</v>
      </c>
      <c r="H75" s="783">
        <v>3.8</v>
      </c>
      <c r="I75" s="784">
        <f t="shared" si="29"/>
        <v>2.1052631578947367</v>
      </c>
      <c r="J75" s="783">
        <v>13</v>
      </c>
      <c r="K75" s="783">
        <f>+(14+17+14+3+3+9+12+8+14+13+9+9+7)/13</f>
        <v>10.153846153846153</v>
      </c>
      <c r="L75" s="783">
        <v>2.7</v>
      </c>
      <c r="M75" s="784">
        <f t="shared" si="30"/>
        <v>4.8148148148148149</v>
      </c>
      <c r="N75" s="783"/>
      <c r="O75" s="783"/>
      <c r="P75" s="783"/>
      <c r="Q75" s="825"/>
      <c r="R75" s="786">
        <v>18</v>
      </c>
      <c r="S75" s="786">
        <f>+O70*18</f>
        <v>181.3621794871795</v>
      </c>
      <c r="T75" s="784">
        <f>+S75/10</f>
        <v>18.136217948717949</v>
      </c>
      <c r="U75" s="818"/>
      <c r="V75" s="799"/>
      <c r="W75" s="799"/>
      <c r="X75" s="799"/>
      <c r="Y75" s="799"/>
      <c r="Z75" s="799"/>
      <c r="AA75" s="799"/>
      <c r="AB75" s="799"/>
      <c r="AC75" s="799"/>
      <c r="AD75" s="799"/>
      <c r="AE75" s="799"/>
      <c r="AF75" s="799"/>
      <c r="AG75" s="799"/>
      <c r="AH75" s="799"/>
      <c r="AI75" s="799"/>
      <c r="AJ75" s="799"/>
      <c r="AK75" s="799"/>
      <c r="AL75" s="799"/>
      <c r="AM75" s="799"/>
      <c r="AN75" s="799"/>
      <c r="AO75" s="799"/>
      <c r="AP75" s="799"/>
      <c r="AQ75" s="799"/>
      <c r="AR75" s="799"/>
      <c r="AS75" s="799"/>
      <c r="AT75" s="799"/>
      <c r="AU75" s="799"/>
      <c r="AV75" s="799"/>
      <c r="AW75" s="799"/>
      <c r="AX75" s="799"/>
      <c r="AY75" s="799"/>
      <c r="AZ75" s="799"/>
      <c r="BA75" s="799"/>
      <c r="BB75" s="799"/>
      <c r="BC75" s="799"/>
      <c r="BD75" s="799"/>
      <c r="BE75" s="799"/>
      <c r="BF75" s="799"/>
      <c r="BG75" s="799"/>
      <c r="BH75" s="799"/>
      <c r="BI75" s="799"/>
      <c r="BJ75" s="799"/>
      <c r="BK75" s="799"/>
      <c r="BL75" s="799"/>
      <c r="BM75" s="799"/>
      <c r="BN75" s="799"/>
      <c r="BO75" s="799"/>
      <c r="BP75" s="799"/>
      <c r="BQ75" s="799"/>
      <c r="BR75" s="799"/>
      <c r="BS75" s="799"/>
      <c r="BT75" s="799"/>
      <c r="BU75" s="799"/>
      <c r="BV75" s="799"/>
      <c r="BW75" s="799"/>
      <c r="BX75" s="799"/>
      <c r="BY75" s="799"/>
      <c r="BZ75" s="799"/>
      <c r="CA75" s="799"/>
      <c r="CB75" s="799"/>
      <c r="CC75" s="799"/>
      <c r="CD75" s="799"/>
      <c r="CE75" s="799"/>
      <c r="CF75" s="799"/>
      <c r="CG75" s="799"/>
      <c r="CH75" s="799"/>
      <c r="CI75" s="799"/>
      <c r="CJ75" s="799"/>
      <c r="CK75" s="799"/>
      <c r="CL75" s="799"/>
      <c r="CM75" s="799"/>
      <c r="CN75" s="799"/>
      <c r="CO75" s="799"/>
      <c r="CP75" s="799"/>
      <c r="CQ75" s="799"/>
      <c r="CR75" s="799"/>
      <c r="CS75" s="799"/>
      <c r="CT75" s="799"/>
    </row>
    <row r="76" spans="1:98" s="782" customFormat="1" x14ac:dyDescent="0.2">
      <c r="A76" s="781" t="s">
        <v>1640</v>
      </c>
      <c r="B76" s="781"/>
      <c r="C76" s="790"/>
      <c r="D76" s="790"/>
      <c r="E76" s="790"/>
      <c r="F76" s="781"/>
      <c r="G76" s="781"/>
      <c r="H76" s="781"/>
      <c r="I76" s="790"/>
      <c r="J76" s="781"/>
      <c r="K76" s="781"/>
      <c r="L76" s="781"/>
      <c r="M76" s="790"/>
      <c r="N76" s="781"/>
      <c r="O76" s="781"/>
      <c r="P76" s="781"/>
      <c r="Q76" s="826"/>
      <c r="R76" s="791"/>
      <c r="S76" s="791"/>
      <c r="T76" s="791"/>
      <c r="U76" s="819"/>
      <c r="V76" s="817"/>
      <c r="W76" s="817"/>
      <c r="X76" s="817"/>
      <c r="Y76" s="817"/>
      <c r="Z76" s="817"/>
      <c r="AA76" s="817"/>
      <c r="AB76" s="817"/>
      <c r="AC76" s="817"/>
      <c r="AD76" s="817"/>
      <c r="AE76" s="817"/>
      <c r="AF76" s="817"/>
      <c r="AG76" s="817"/>
      <c r="AH76" s="817"/>
      <c r="AI76" s="817"/>
      <c r="AJ76" s="817"/>
      <c r="AK76" s="817"/>
      <c r="AL76" s="817"/>
      <c r="AM76" s="817"/>
      <c r="AN76" s="817"/>
      <c r="AO76" s="817"/>
      <c r="AP76" s="817"/>
      <c r="AQ76" s="817"/>
      <c r="AR76" s="817"/>
      <c r="AS76" s="817"/>
      <c r="AT76" s="817"/>
      <c r="AU76" s="817"/>
      <c r="AV76" s="817"/>
      <c r="AW76" s="817"/>
      <c r="AX76" s="817"/>
      <c r="AY76" s="817"/>
      <c r="AZ76" s="817"/>
      <c r="BA76" s="817"/>
      <c r="BB76" s="817"/>
      <c r="BC76" s="817"/>
      <c r="BD76" s="817"/>
      <c r="BE76" s="817"/>
      <c r="BF76" s="817"/>
      <c r="BG76" s="817"/>
      <c r="BH76" s="817"/>
      <c r="BI76" s="817"/>
      <c r="BJ76" s="817"/>
      <c r="BK76" s="817"/>
      <c r="BL76" s="817"/>
      <c r="BM76" s="817"/>
      <c r="BN76" s="817"/>
      <c r="BO76" s="817"/>
      <c r="BP76" s="817"/>
      <c r="BQ76" s="817"/>
      <c r="BR76" s="817"/>
      <c r="BS76" s="817"/>
      <c r="BT76" s="817"/>
      <c r="BU76" s="817"/>
      <c r="BV76" s="817"/>
      <c r="BW76" s="817"/>
      <c r="BX76" s="817"/>
      <c r="BY76" s="817"/>
      <c r="BZ76" s="817"/>
      <c r="CA76" s="817"/>
      <c r="CB76" s="817"/>
      <c r="CC76" s="817"/>
      <c r="CD76" s="817"/>
      <c r="CE76" s="817"/>
      <c r="CF76" s="817"/>
      <c r="CG76" s="817"/>
      <c r="CH76" s="817"/>
      <c r="CI76" s="817"/>
      <c r="CJ76" s="817"/>
      <c r="CK76" s="817"/>
      <c r="CL76" s="817"/>
      <c r="CM76" s="817"/>
      <c r="CN76" s="817"/>
      <c r="CO76" s="817"/>
      <c r="CP76" s="817"/>
      <c r="CQ76" s="817"/>
      <c r="CR76" s="817"/>
      <c r="CS76" s="817"/>
      <c r="CT76" s="817"/>
    </row>
    <row r="77" spans="1:98" x14ac:dyDescent="0.2">
      <c r="A77" s="783" t="s">
        <v>1621</v>
      </c>
      <c r="B77" s="802">
        <v>5</v>
      </c>
      <c r="C77" s="784">
        <f>+(8+13+21+13+32)/5</f>
        <v>17.399999999999999</v>
      </c>
      <c r="D77" s="784">
        <v>3.8</v>
      </c>
      <c r="E77" s="784">
        <f t="shared" ref="E77:E82" si="31">B77/D77</f>
        <v>1.3157894736842106</v>
      </c>
      <c r="F77" s="802">
        <v>7</v>
      </c>
      <c r="G77" s="784">
        <f>+(16+12+10+12+7+11+2)/7</f>
        <v>10</v>
      </c>
      <c r="H77" s="783">
        <v>3.4</v>
      </c>
      <c r="I77" s="784">
        <f t="shared" ref="I77:I82" si="32">F77/H77</f>
        <v>2.0588235294117649</v>
      </c>
      <c r="J77" s="802">
        <v>14</v>
      </c>
      <c r="K77" s="784">
        <f>+(8+7+4+13+15+4+6+15+8+8+10+12+7+3)/14</f>
        <v>8.5714285714285712</v>
      </c>
      <c r="L77" s="783">
        <v>9.4</v>
      </c>
      <c r="M77" s="784">
        <f t="shared" ref="M77:M82" si="33">J77/L77</f>
        <v>1.4893617021276595</v>
      </c>
      <c r="N77" s="784">
        <f>SUM(B77:B82,F77:F82,J77:J82)/18</f>
        <v>8.5</v>
      </c>
      <c r="O77" s="784">
        <f>SUM(C77:C82,G77:G82,K77:K82)/18</f>
        <v>11.812465929132596</v>
      </c>
      <c r="P77" s="784">
        <f>SUM(D77:D82,H77:H82,L77:L82)/18</f>
        <v>4.6944444444444446</v>
      </c>
      <c r="Q77" s="825">
        <f>SUM(E77:E82,I77:I82,M77:M82)/18</f>
        <v>1.8686569412682583</v>
      </c>
      <c r="R77" s="786"/>
      <c r="S77" s="786"/>
      <c r="T77" s="786"/>
      <c r="U77" s="798"/>
    </row>
    <row r="78" spans="1:98" x14ac:dyDescent="0.2">
      <c r="A78" s="783" t="s">
        <v>1622</v>
      </c>
      <c r="B78" s="783">
        <v>6</v>
      </c>
      <c r="C78" s="784">
        <f>+(9+10+6+14+7+8)/6</f>
        <v>9</v>
      </c>
      <c r="D78" s="784">
        <v>4</v>
      </c>
      <c r="E78" s="784">
        <f t="shared" si="31"/>
        <v>1.5</v>
      </c>
      <c r="F78" s="783">
        <v>7</v>
      </c>
      <c r="G78" s="784">
        <f>+(9+3+13+20+16+9+6)/7</f>
        <v>10.857142857142858</v>
      </c>
      <c r="H78" s="783">
        <v>3.1</v>
      </c>
      <c r="I78" s="784">
        <f t="shared" si="32"/>
        <v>2.258064516129032</v>
      </c>
      <c r="J78" s="783">
        <v>12</v>
      </c>
      <c r="K78" s="784">
        <f>+(17+9+4+11+15+12+11+25+6+7+13+8)/12</f>
        <v>11.5</v>
      </c>
      <c r="L78" s="783">
        <v>5.5</v>
      </c>
      <c r="M78" s="784">
        <f t="shared" si="33"/>
        <v>2.1818181818181817</v>
      </c>
      <c r="N78" s="783"/>
      <c r="O78" s="783"/>
      <c r="P78" s="783"/>
      <c r="Q78" s="825"/>
      <c r="R78" s="786"/>
      <c r="S78" s="786"/>
      <c r="T78" s="786"/>
      <c r="U78" s="798"/>
    </row>
    <row r="79" spans="1:98" x14ac:dyDescent="0.2">
      <c r="A79" s="783" t="s">
        <v>1623</v>
      </c>
      <c r="B79" s="783">
        <v>5</v>
      </c>
      <c r="C79" s="784">
        <f>+(4+6+13+12+40)/5</f>
        <v>15</v>
      </c>
      <c r="D79" s="784">
        <v>2.8</v>
      </c>
      <c r="E79" s="784">
        <f t="shared" si="31"/>
        <v>1.7857142857142858</v>
      </c>
      <c r="F79" s="783">
        <v>6</v>
      </c>
      <c r="G79" s="784">
        <f>+(25+18+13+12+12+4)/6</f>
        <v>14</v>
      </c>
      <c r="H79" s="783">
        <v>2.5</v>
      </c>
      <c r="I79" s="784">
        <f t="shared" si="32"/>
        <v>2.4</v>
      </c>
      <c r="J79" s="783">
        <v>9</v>
      </c>
      <c r="K79" s="784">
        <f>+(16+12+4+20+15+21+8+13+5)/9</f>
        <v>12.666666666666666</v>
      </c>
      <c r="L79" s="783">
        <v>5.5</v>
      </c>
      <c r="M79" s="784">
        <f t="shared" si="33"/>
        <v>1.6363636363636365</v>
      </c>
      <c r="N79" s="783"/>
      <c r="O79" s="783"/>
      <c r="P79" s="783"/>
      <c r="Q79" s="825"/>
      <c r="R79" s="786"/>
      <c r="S79" s="786"/>
      <c r="T79" s="786"/>
      <c r="U79" s="798"/>
    </row>
    <row r="80" spans="1:98" x14ac:dyDescent="0.2">
      <c r="A80" s="783" t="s">
        <v>1624</v>
      </c>
      <c r="B80" s="783">
        <v>9</v>
      </c>
      <c r="C80" s="784">
        <f>+(17+6+17+30+10+4+29+10+16)/9</f>
        <v>15.444444444444445</v>
      </c>
      <c r="D80" s="784">
        <v>4</v>
      </c>
      <c r="E80" s="784">
        <f t="shared" si="31"/>
        <v>2.25</v>
      </c>
      <c r="F80" s="783">
        <v>9</v>
      </c>
      <c r="G80" s="784">
        <f>+(2+9+6+5+6+13+6)/7</f>
        <v>6.7142857142857144</v>
      </c>
      <c r="H80" s="783">
        <v>4.2</v>
      </c>
      <c r="I80" s="784">
        <f t="shared" si="32"/>
        <v>2.1428571428571428</v>
      </c>
      <c r="J80" s="783">
        <v>11</v>
      </c>
      <c r="K80" s="784">
        <f>+(7+8+9+22+12+31+13+9+5+6+4)/11</f>
        <v>11.454545454545455</v>
      </c>
      <c r="L80" s="783">
        <v>5.0999999999999996</v>
      </c>
      <c r="M80" s="784">
        <f t="shared" si="33"/>
        <v>2.1568627450980395</v>
      </c>
      <c r="N80" s="783"/>
      <c r="O80" s="783"/>
      <c r="P80" s="783"/>
      <c r="Q80" s="825"/>
      <c r="R80" s="786"/>
      <c r="S80" s="786"/>
      <c r="T80" s="786"/>
      <c r="U80" s="798"/>
    </row>
    <row r="81" spans="1:98" x14ac:dyDescent="0.2">
      <c r="A81" s="783" t="s">
        <v>1625</v>
      </c>
      <c r="B81" s="783">
        <v>4</v>
      </c>
      <c r="C81" s="784">
        <f>+(30+9+11+6)/4</f>
        <v>14</v>
      </c>
      <c r="D81" s="784">
        <v>3</v>
      </c>
      <c r="E81" s="784">
        <f t="shared" si="31"/>
        <v>1.3333333333333333</v>
      </c>
      <c r="F81" s="783">
        <v>9</v>
      </c>
      <c r="G81" s="784">
        <f>+(29+16+7+10+4+15+5+4+4)/9</f>
        <v>10.444444444444445</v>
      </c>
      <c r="H81" s="783">
        <v>3.7</v>
      </c>
      <c r="I81" s="784">
        <f t="shared" si="32"/>
        <v>2.4324324324324325</v>
      </c>
      <c r="J81" s="783">
        <v>14</v>
      </c>
      <c r="K81" s="784">
        <f>+(41+24+17+3+10+4+10+12+3+5+6+19+28+8)/14</f>
        <v>13.571428571428571</v>
      </c>
      <c r="L81" s="783">
        <v>7.3</v>
      </c>
      <c r="M81" s="784">
        <f t="shared" si="33"/>
        <v>1.9178082191780823</v>
      </c>
      <c r="N81" s="783"/>
      <c r="O81" s="783"/>
      <c r="P81" s="783"/>
      <c r="Q81" s="825"/>
      <c r="R81" s="786"/>
      <c r="S81" s="786"/>
      <c r="T81" s="786"/>
      <c r="U81" s="798"/>
    </row>
    <row r="82" spans="1:98" x14ac:dyDescent="0.2">
      <c r="A82" s="783" t="s">
        <v>1626</v>
      </c>
      <c r="B82" s="783">
        <v>6</v>
      </c>
      <c r="C82" s="784">
        <f>(27+10+16+4+2+25)/6</f>
        <v>14</v>
      </c>
      <c r="D82" s="784">
        <v>4.7</v>
      </c>
      <c r="E82" s="784">
        <f t="shared" si="31"/>
        <v>1.2765957446808509</v>
      </c>
      <c r="F82" s="783">
        <v>5</v>
      </c>
      <c r="G82" s="784">
        <f>+(4+2+11+16+14)/5</f>
        <v>9.4</v>
      </c>
      <c r="H82" s="783">
        <v>2.5</v>
      </c>
      <c r="I82" s="784">
        <f t="shared" si="32"/>
        <v>2</v>
      </c>
      <c r="J82" s="783">
        <v>15</v>
      </c>
      <c r="K82" s="784">
        <f>+(6+9+11+13+13+12+6+10+11+7+6+3+17+5)/15</f>
        <v>8.6</v>
      </c>
      <c r="L82" s="783">
        <v>10</v>
      </c>
      <c r="M82" s="784">
        <f t="shared" si="33"/>
        <v>1.5</v>
      </c>
      <c r="N82" s="783"/>
      <c r="O82" s="783"/>
      <c r="P82" s="783"/>
      <c r="Q82" s="825"/>
      <c r="R82" s="786">
        <v>18</v>
      </c>
      <c r="S82" s="786">
        <f>+O77*18</f>
        <v>212.62438672438674</v>
      </c>
      <c r="T82" s="784">
        <f>+S82/10</f>
        <v>21.262438672438673</v>
      </c>
      <c r="U82" s="818"/>
    </row>
    <row r="83" spans="1:98" s="782" customFormat="1" x14ac:dyDescent="0.2">
      <c r="A83" s="781" t="s">
        <v>1641</v>
      </c>
      <c r="B83" s="781"/>
      <c r="C83" s="790"/>
      <c r="D83" s="790"/>
      <c r="E83" s="790"/>
      <c r="F83" s="781"/>
      <c r="G83" s="781"/>
      <c r="H83" s="781"/>
      <c r="I83" s="790"/>
      <c r="J83" s="781"/>
      <c r="K83" s="781"/>
      <c r="L83" s="781"/>
      <c r="M83" s="790"/>
      <c r="N83" s="781"/>
      <c r="O83" s="781"/>
      <c r="P83" s="781"/>
      <c r="Q83" s="826"/>
      <c r="R83" s="791"/>
      <c r="S83" s="791"/>
      <c r="T83" s="791"/>
      <c r="U83" s="819"/>
      <c r="V83" s="817"/>
      <c r="W83" s="817"/>
      <c r="X83" s="817"/>
      <c r="Y83" s="817"/>
      <c r="Z83" s="817"/>
      <c r="AA83" s="817"/>
      <c r="AB83" s="817"/>
      <c r="AC83" s="817"/>
      <c r="AD83" s="817"/>
      <c r="AE83" s="817"/>
      <c r="AF83" s="817"/>
      <c r="AG83" s="817"/>
      <c r="AH83" s="817"/>
      <c r="AI83" s="817"/>
      <c r="AJ83" s="817"/>
      <c r="AK83" s="817"/>
      <c r="AL83" s="817"/>
      <c r="AM83" s="817"/>
      <c r="AN83" s="817"/>
      <c r="AO83" s="817"/>
      <c r="AP83" s="817"/>
      <c r="AQ83" s="817"/>
      <c r="AR83" s="817"/>
      <c r="AS83" s="817"/>
      <c r="AT83" s="817"/>
      <c r="AU83" s="817"/>
      <c r="AV83" s="817"/>
      <c r="AW83" s="817"/>
      <c r="AX83" s="817"/>
      <c r="AY83" s="817"/>
      <c r="AZ83" s="817"/>
      <c r="BA83" s="817"/>
      <c r="BB83" s="817"/>
      <c r="BC83" s="817"/>
      <c r="BD83" s="817"/>
      <c r="BE83" s="817"/>
      <c r="BF83" s="817"/>
      <c r="BG83" s="817"/>
      <c r="BH83" s="817"/>
      <c r="BI83" s="817"/>
      <c r="BJ83" s="817"/>
      <c r="BK83" s="817"/>
      <c r="BL83" s="817"/>
      <c r="BM83" s="817"/>
      <c r="BN83" s="817"/>
      <c r="BO83" s="817"/>
      <c r="BP83" s="817"/>
      <c r="BQ83" s="817"/>
      <c r="BR83" s="817"/>
      <c r="BS83" s="817"/>
      <c r="BT83" s="817"/>
      <c r="BU83" s="817"/>
      <c r="BV83" s="817"/>
      <c r="BW83" s="817"/>
      <c r="BX83" s="817"/>
      <c r="BY83" s="817"/>
      <c r="BZ83" s="817"/>
      <c r="CA83" s="817"/>
      <c r="CB83" s="817"/>
      <c r="CC83" s="817"/>
      <c r="CD83" s="817"/>
      <c r="CE83" s="817"/>
      <c r="CF83" s="817"/>
      <c r="CG83" s="817"/>
      <c r="CH83" s="817"/>
      <c r="CI83" s="817"/>
      <c r="CJ83" s="817"/>
      <c r="CK83" s="817"/>
      <c r="CL83" s="817"/>
      <c r="CM83" s="817"/>
      <c r="CN83" s="817"/>
      <c r="CO83" s="817"/>
      <c r="CP83" s="817"/>
      <c r="CQ83" s="817"/>
      <c r="CR83" s="817"/>
      <c r="CS83" s="817"/>
      <c r="CT83" s="817"/>
    </row>
    <row r="84" spans="1:98" x14ac:dyDescent="0.2">
      <c r="A84" s="783" t="s">
        <v>1621</v>
      </c>
      <c r="B84" s="802">
        <v>7</v>
      </c>
      <c r="C84" s="784">
        <f>+(12+9+3+4+10+10+5)/7</f>
        <v>7.5714285714285712</v>
      </c>
      <c r="D84" s="784">
        <v>3.3</v>
      </c>
      <c r="E84" s="784">
        <f t="shared" ref="E84:E89" si="34">B84/D84</f>
        <v>2.1212121212121211</v>
      </c>
      <c r="F84" s="783"/>
      <c r="G84" s="783"/>
      <c r="H84" s="783"/>
      <c r="I84" s="784"/>
      <c r="J84" s="783"/>
      <c r="K84" s="783"/>
      <c r="L84" s="783"/>
      <c r="M84" s="784"/>
      <c r="N84" s="784">
        <f>SUM(B84:B101)/18</f>
        <v>5.5555555555555554</v>
      </c>
      <c r="O84" s="784">
        <f>SUM(C84:C101)/18</f>
        <v>9.4598544973544954</v>
      </c>
      <c r="P84" s="784">
        <f>SUM(D84:D101)/18</f>
        <v>2.1333333333333333</v>
      </c>
      <c r="Q84" s="825">
        <f>+N84/P84</f>
        <v>2.6041666666666665</v>
      </c>
      <c r="R84" s="786"/>
      <c r="S84" s="786"/>
      <c r="T84" s="786"/>
      <c r="U84" s="798"/>
    </row>
    <row r="85" spans="1:98" x14ac:dyDescent="0.2">
      <c r="A85" s="783" t="s">
        <v>1622</v>
      </c>
      <c r="B85" s="783">
        <v>8</v>
      </c>
      <c r="C85" s="784">
        <f>+(16+20+3+7+14+7+4+7)/8</f>
        <v>9.75</v>
      </c>
      <c r="D85" s="784">
        <v>3</v>
      </c>
      <c r="E85" s="784">
        <f t="shared" si="34"/>
        <v>2.6666666666666665</v>
      </c>
      <c r="F85" s="783"/>
      <c r="G85" s="783"/>
      <c r="H85" s="783"/>
      <c r="I85" s="784"/>
      <c r="J85" s="783"/>
      <c r="K85" s="783"/>
      <c r="L85" s="783"/>
      <c r="M85" s="784"/>
      <c r="N85" s="783"/>
      <c r="O85" s="783"/>
      <c r="P85" s="783"/>
      <c r="Q85" s="825"/>
      <c r="R85" s="786"/>
      <c r="S85" s="786"/>
      <c r="T85" s="786"/>
      <c r="U85" s="798"/>
    </row>
    <row r="86" spans="1:98" x14ac:dyDescent="0.2">
      <c r="A86" s="783" t="s">
        <v>1623</v>
      </c>
      <c r="B86" s="783">
        <v>8</v>
      </c>
      <c r="C86" s="784">
        <f>(3+5+11+12+20+9+20+21)/8</f>
        <v>12.625</v>
      </c>
      <c r="D86" s="784">
        <v>3.2</v>
      </c>
      <c r="E86" s="784">
        <f t="shared" si="34"/>
        <v>2.5</v>
      </c>
      <c r="F86" s="783"/>
      <c r="G86" s="783"/>
      <c r="H86" s="783"/>
      <c r="I86" s="784"/>
      <c r="J86" s="783"/>
      <c r="K86" s="783"/>
      <c r="L86" s="783"/>
      <c r="M86" s="784"/>
      <c r="N86" s="783"/>
      <c r="O86" s="783"/>
      <c r="P86" s="783"/>
      <c r="Q86" s="825"/>
      <c r="R86" s="786"/>
      <c r="S86" s="786"/>
      <c r="T86" s="786"/>
      <c r="U86" s="798"/>
    </row>
    <row r="87" spans="1:98" x14ac:dyDescent="0.2">
      <c r="A87" s="783" t="s">
        <v>1624</v>
      </c>
      <c r="B87" s="783">
        <v>6</v>
      </c>
      <c r="C87" s="784">
        <f>+(3+6+13+24+3+29)/6</f>
        <v>13</v>
      </c>
      <c r="D87" s="784">
        <v>1.9</v>
      </c>
      <c r="E87" s="784">
        <f t="shared" si="34"/>
        <v>3.1578947368421053</v>
      </c>
      <c r="F87" s="783"/>
      <c r="G87" s="783"/>
      <c r="H87" s="783"/>
      <c r="I87" s="784"/>
      <c r="J87" s="783"/>
      <c r="K87" s="783"/>
      <c r="L87" s="783"/>
      <c r="M87" s="784"/>
      <c r="N87" s="783"/>
      <c r="O87" s="783"/>
      <c r="P87" s="783"/>
      <c r="Q87" s="825"/>
      <c r="R87" s="786"/>
      <c r="S87" s="786"/>
      <c r="T87" s="786"/>
      <c r="U87" s="798"/>
    </row>
    <row r="88" spans="1:98" x14ac:dyDescent="0.2">
      <c r="A88" s="783" t="s">
        <v>1625</v>
      </c>
      <c r="B88" s="783">
        <v>6</v>
      </c>
      <c r="C88" s="784">
        <f>+(13+17+15+14+10+5)/6</f>
        <v>12.333333333333334</v>
      </c>
      <c r="D88" s="784">
        <v>2.4</v>
      </c>
      <c r="E88" s="784">
        <f t="shared" si="34"/>
        <v>2.5</v>
      </c>
      <c r="F88" s="783"/>
      <c r="G88" s="783"/>
      <c r="H88" s="783"/>
      <c r="I88" s="784"/>
      <c r="J88" s="783"/>
      <c r="K88" s="783"/>
      <c r="L88" s="783"/>
      <c r="M88" s="784"/>
      <c r="N88" s="783"/>
      <c r="O88" s="783"/>
      <c r="P88" s="783"/>
      <c r="Q88" s="825"/>
      <c r="R88" s="803"/>
      <c r="S88" s="803"/>
      <c r="T88" s="803"/>
      <c r="U88" s="815"/>
    </row>
    <row r="89" spans="1:98" x14ac:dyDescent="0.2">
      <c r="A89" s="783" t="s">
        <v>1626</v>
      </c>
      <c r="B89" s="783">
        <v>6</v>
      </c>
      <c r="C89" s="784">
        <f>+(6+9+2+2+9+14)/6</f>
        <v>7</v>
      </c>
      <c r="D89" s="784">
        <v>2.2999999999999998</v>
      </c>
      <c r="E89" s="784">
        <f t="shared" si="34"/>
        <v>2.6086956521739131</v>
      </c>
      <c r="F89" s="783"/>
      <c r="G89" s="783"/>
      <c r="H89" s="783"/>
      <c r="I89" s="784"/>
      <c r="J89" s="783"/>
      <c r="K89" s="783"/>
      <c r="L89" s="783"/>
      <c r="M89" s="784"/>
      <c r="N89" s="783"/>
      <c r="O89" s="783"/>
      <c r="P89" s="783"/>
      <c r="Q89" s="825"/>
      <c r="R89" s="803"/>
      <c r="S89" s="803"/>
      <c r="T89" s="803"/>
      <c r="U89" s="815"/>
    </row>
    <row r="90" spans="1:98" x14ac:dyDescent="0.2">
      <c r="A90" s="783" t="s">
        <v>1627</v>
      </c>
      <c r="B90" s="783">
        <v>6</v>
      </c>
      <c r="C90" s="784">
        <f>+(10+4+14+3+7+3)/6</f>
        <v>6.833333333333333</v>
      </c>
      <c r="D90" s="784">
        <v>2.2999999999999998</v>
      </c>
      <c r="E90" s="784">
        <f t="shared" ref="E90:E95" si="35">B90/D90</f>
        <v>2.6086956521739131</v>
      </c>
      <c r="F90" s="783"/>
      <c r="G90" s="783"/>
      <c r="H90" s="783"/>
      <c r="I90" s="784"/>
      <c r="J90" s="783"/>
      <c r="K90" s="783"/>
      <c r="L90" s="783"/>
      <c r="M90" s="784"/>
      <c r="N90" s="783"/>
      <c r="O90" s="783"/>
      <c r="P90" s="783"/>
      <c r="Q90" s="825"/>
      <c r="R90" s="803"/>
      <c r="S90" s="803"/>
      <c r="T90" s="803"/>
      <c r="U90" s="815"/>
    </row>
    <row r="91" spans="1:98" x14ac:dyDescent="0.2">
      <c r="A91" s="783" t="s">
        <v>1628</v>
      </c>
      <c r="B91" s="783">
        <v>6</v>
      </c>
      <c r="C91" s="784">
        <f>+(5+15+13+18+10)/6</f>
        <v>10.166666666666666</v>
      </c>
      <c r="D91" s="784">
        <v>2.2000000000000002</v>
      </c>
      <c r="E91" s="784">
        <f t="shared" si="35"/>
        <v>2.7272727272727271</v>
      </c>
      <c r="F91" s="783"/>
      <c r="G91" s="783"/>
      <c r="H91" s="783"/>
      <c r="I91" s="784"/>
      <c r="J91" s="783"/>
      <c r="K91" s="783"/>
      <c r="L91" s="783"/>
      <c r="M91" s="784"/>
      <c r="N91" s="783"/>
      <c r="O91" s="783"/>
      <c r="P91" s="783"/>
      <c r="Q91" s="825"/>
      <c r="R91" s="803"/>
      <c r="S91" s="803"/>
      <c r="T91" s="803"/>
      <c r="U91" s="815"/>
    </row>
    <row r="92" spans="1:98" x14ac:dyDescent="0.2">
      <c r="A92" s="783" t="s">
        <v>1642</v>
      </c>
      <c r="B92" s="783">
        <v>5</v>
      </c>
      <c r="C92" s="784">
        <f>+(15+11+2+4+6)/5</f>
        <v>7.6</v>
      </c>
      <c r="D92" s="784">
        <v>1.5</v>
      </c>
      <c r="E92" s="784">
        <f t="shared" si="35"/>
        <v>3.3333333333333335</v>
      </c>
      <c r="F92" s="783"/>
      <c r="G92" s="783"/>
      <c r="H92" s="783"/>
      <c r="I92" s="784"/>
      <c r="J92" s="783"/>
      <c r="K92" s="783"/>
      <c r="L92" s="783"/>
      <c r="M92" s="784"/>
      <c r="N92" s="783"/>
      <c r="O92" s="783"/>
      <c r="P92" s="783"/>
      <c r="Q92" s="825"/>
      <c r="R92" s="803"/>
      <c r="S92" s="803"/>
      <c r="T92" s="803"/>
      <c r="U92" s="815"/>
    </row>
    <row r="93" spans="1:98" x14ac:dyDescent="0.2">
      <c r="A93" s="783" t="s">
        <v>1643</v>
      </c>
      <c r="B93" s="783">
        <v>7</v>
      </c>
      <c r="C93" s="784">
        <f>+(4+2+12+16+17+5+12)/7</f>
        <v>9.7142857142857135</v>
      </c>
      <c r="D93" s="784">
        <v>2</v>
      </c>
      <c r="E93" s="784">
        <f t="shared" si="35"/>
        <v>3.5</v>
      </c>
      <c r="F93" s="783"/>
      <c r="G93" s="783"/>
      <c r="H93" s="783"/>
      <c r="I93" s="784"/>
      <c r="J93" s="783"/>
      <c r="K93" s="783"/>
      <c r="L93" s="783"/>
      <c r="M93" s="784"/>
      <c r="N93" s="783"/>
      <c r="O93" s="783"/>
      <c r="P93" s="783"/>
      <c r="Q93" s="825"/>
      <c r="R93" s="803"/>
      <c r="S93" s="803"/>
      <c r="T93" s="803"/>
      <c r="U93" s="815"/>
    </row>
    <row r="94" spans="1:98" x14ac:dyDescent="0.2">
      <c r="A94" s="783" t="s">
        <v>1644</v>
      </c>
      <c r="B94" s="783">
        <v>6</v>
      </c>
      <c r="C94" s="784">
        <f>+(11+5+7+9+13)/6</f>
        <v>7.5</v>
      </c>
      <c r="D94" s="784">
        <v>2</v>
      </c>
      <c r="E94" s="784">
        <f t="shared" si="35"/>
        <v>3</v>
      </c>
      <c r="F94" s="783"/>
      <c r="G94" s="783"/>
      <c r="H94" s="783"/>
      <c r="I94" s="784"/>
      <c r="J94" s="783"/>
      <c r="K94" s="783"/>
      <c r="L94" s="783"/>
      <c r="M94" s="784"/>
      <c r="N94" s="783"/>
      <c r="O94" s="783"/>
      <c r="P94" s="783"/>
      <c r="Q94" s="825"/>
      <c r="R94" s="803"/>
      <c r="S94" s="803"/>
      <c r="T94" s="803"/>
      <c r="U94" s="815"/>
    </row>
    <row r="95" spans="1:98" x14ac:dyDescent="0.2">
      <c r="A95" s="783" t="s">
        <v>1645</v>
      </c>
      <c r="B95" s="783">
        <v>4</v>
      </c>
      <c r="C95" s="784">
        <f>+(26+15+6+3)/4</f>
        <v>12.5</v>
      </c>
      <c r="D95" s="784">
        <v>1.6</v>
      </c>
      <c r="E95" s="784">
        <f t="shared" si="35"/>
        <v>2.5</v>
      </c>
      <c r="F95" s="783"/>
      <c r="G95" s="783"/>
      <c r="H95" s="783"/>
      <c r="I95" s="784"/>
      <c r="J95" s="783"/>
      <c r="K95" s="783"/>
      <c r="L95" s="783"/>
      <c r="M95" s="784"/>
      <c r="N95" s="783"/>
      <c r="O95" s="783"/>
      <c r="P95" s="783"/>
      <c r="Q95" s="825"/>
      <c r="R95" s="803"/>
      <c r="S95" s="803"/>
      <c r="T95" s="803"/>
      <c r="U95" s="815"/>
    </row>
    <row r="96" spans="1:98" x14ac:dyDescent="0.2">
      <c r="A96" s="783" t="s">
        <v>1646</v>
      </c>
      <c r="B96" s="783">
        <v>5</v>
      </c>
      <c r="C96" s="784">
        <f>(5+23+2+11+7)/5</f>
        <v>9.6</v>
      </c>
      <c r="D96" s="784">
        <v>1.8</v>
      </c>
      <c r="E96" s="784">
        <f t="shared" ref="E96:E101" si="36">B96/D96</f>
        <v>2.7777777777777777</v>
      </c>
      <c r="F96" s="783"/>
      <c r="G96" s="783"/>
      <c r="H96" s="783"/>
      <c r="I96" s="784"/>
      <c r="J96" s="783"/>
      <c r="K96" s="783"/>
      <c r="L96" s="783"/>
      <c r="M96" s="784"/>
      <c r="N96" s="783"/>
      <c r="O96" s="783"/>
      <c r="P96" s="783"/>
      <c r="Q96" s="825"/>
      <c r="R96" s="803"/>
      <c r="S96" s="803"/>
      <c r="T96" s="803"/>
      <c r="U96" s="815"/>
    </row>
    <row r="97" spans="1:98" x14ac:dyDescent="0.2">
      <c r="A97" s="783" t="s">
        <v>1647</v>
      </c>
      <c r="B97" s="783">
        <v>5</v>
      </c>
      <c r="C97" s="784">
        <f>+(3+7+2+15+18)/5</f>
        <v>9</v>
      </c>
      <c r="D97" s="784">
        <v>1.7</v>
      </c>
      <c r="E97" s="784">
        <f t="shared" si="36"/>
        <v>2.9411764705882355</v>
      </c>
      <c r="F97" s="783"/>
      <c r="G97" s="783"/>
      <c r="H97" s="783"/>
      <c r="I97" s="784"/>
      <c r="J97" s="783"/>
      <c r="K97" s="783"/>
      <c r="L97" s="783"/>
      <c r="M97" s="784"/>
      <c r="N97" s="783"/>
      <c r="O97" s="783"/>
      <c r="P97" s="783"/>
      <c r="Q97" s="825"/>
      <c r="R97" s="803"/>
      <c r="S97" s="803"/>
      <c r="T97" s="803"/>
      <c r="U97" s="815"/>
    </row>
    <row r="98" spans="1:98" x14ac:dyDescent="0.2">
      <c r="A98" s="783" t="s">
        <v>1648</v>
      </c>
      <c r="B98" s="783">
        <v>3</v>
      </c>
      <c r="C98" s="784">
        <f>+(9+12+17)/3</f>
        <v>12.666666666666666</v>
      </c>
      <c r="D98" s="784">
        <v>1.4</v>
      </c>
      <c r="E98" s="784">
        <f t="shared" si="36"/>
        <v>2.1428571428571428</v>
      </c>
      <c r="F98" s="783"/>
      <c r="G98" s="783"/>
      <c r="H98" s="783"/>
      <c r="I98" s="784"/>
      <c r="J98" s="783"/>
      <c r="K98" s="783"/>
      <c r="L98" s="783"/>
      <c r="M98" s="784"/>
      <c r="N98" s="783"/>
      <c r="O98" s="783"/>
      <c r="P98" s="783"/>
      <c r="Q98" s="825"/>
      <c r="R98" s="803"/>
      <c r="S98" s="803"/>
      <c r="T98" s="803"/>
      <c r="U98" s="815"/>
    </row>
    <row r="99" spans="1:98" x14ac:dyDescent="0.2">
      <c r="A99" s="783" t="s">
        <v>1649</v>
      </c>
      <c r="B99" s="783">
        <v>4</v>
      </c>
      <c r="C99" s="784">
        <f>(5+4+19+7)/4</f>
        <v>8.75</v>
      </c>
      <c r="D99" s="784">
        <v>1.9</v>
      </c>
      <c r="E99" s="784">
        <f t="shared" si="36"/>
        <v>2.1052631578947367</v>
      </c>
      <c r="F99" s="783"/>
      <c r="G99" s="783"/>
      <c r="H99" s="783"/>
      <c r="I99" s="784"/>
      <c r="J99" s="783"/>
      <c r="K99" s="783"/>
      <c r="L99" s="783"/>
      <c r="M99" s="784"/>
      <c r="N99" s="783"/>
      <c r="O99" s="783"/>
      <c r="P99" s="783"/>
      <c r="Q99" s="825"/>
      <c r="R99" s="803"/>
      <c r="S99" s="803"/>
      <c r="T99" s="803"/>
      <c r="U99" s="815"/>
    </row>
    <row r="100" spans="1:98" x14ac:dyDescent="0.2">
      <c r="A100" s="783" t="s">
        <v>1650</v>
      </c>
      <c r="B100" s="783">
        <v>3</v>
      </c>
      <c r="C100" s="784">
        <f>+(3+3+11)/3</f>
        <v>5.666666666666667</v>
      </c>
      <c r="D100" s="784">
        <v>2.1</v>
      </c>
      <c r="E100" s="784">
        <f t="shared" si="36"/>
        <v>1.4285714285714286</v>
      </c>
      <c r="F100" s="783"/>
      <c r="G100" s="783"/>
      <c r="H100" s="783"/>
      <c r="I100" s="784"/>
      <c r="J100" s="783"/>
      <c r="K100" s="783"/>
      <c r="L100" s="783"/>
      <c r="M100" s="784"/>
      <c r="N100" s="783"/>
      <c r="O100" s="783"/>
      <c r="P100" s="783"/>
      <c r="Q100" s="825"/>
      <c r="R100" s="803"/>
      <c r="S100" s="803"/>
      <c r="T100" s="803"/>
      <c r="U100" s="815"/>
    </row>
    <row r="101" spans="1:98" x14ac:dyDescent="0.2">
      <c r="A101" s="783" t="s">
        <v>1651</v>
      </c>
      <c r="B101" s="783">
        <v>5</v>
      </c>
      <c r="C101" s="784">
        <f>+(10+2+15+10+3)/5</f>
        <v>8</v>
      </c>
      <c r="D101" s="784">
        <v>1.8</v>
      </c>
      <c r="E101" s="784">
        <f t="shared" si="36"/>
        <v>2.7777777777777777</v>
      </c>
      <c r="F101" s="783"/>
      <c r="G101" s="783"/>
      <c r="H101" s="783"/>
      <c r="I101" s="784"/>
      <c r="J101" s="783"/>
      <c r="K101" s="783"/>
      <c r="L101" s="783"/>
      <c r="M101" s="784"/>
      <c r="N101" s="783"/>
      <c r="O101" s="783"/>
      <c r="P101" s="783"/>
      <c r="Q101" s="825"/>
      <c r="R101" s="803">
        <v>18</v>
      </c>
      <c r="S101" s="786">
        <f>+O84*18</f>
        <v>170.27738095238092</v>
      </c>
      <c r="T101" s="784">
        <f>+S101/10</f>
        <v>17.027738095238092</v>
      </c>
      <c r="U101" s="818"/>
    </row>
    <row r="102" spans="1:98" s="782" customFormat="1" x14ac:dyDescent="0.2">
      <c r="A102" s="781" t="s">
        <v>38</v>
      </c>
      <c r="B102" s="781"/>
      <c r="C102" s="790"/>
      <c r="D102" s="790"/>
      <c r="E102" s="790"/>
      <c r="F102" s="781"/>
      <c r="G102" s="781"/>
      <c r="H102" s="781"/>
      <c r="I102" s="790"/>
      <c r="J102" s="781"/>
      <c r="K102" s="781"/>
      <c r="L102" s="781"/>
      <c r="M102" s="790"/>
      <c r="N102" s="781"/>
      <c r="O102" s="781"/>
      <c r="P102" s="781"/>
      <c r="Q102" s="826"/>
      <c r="R102" s="780"/>
      <c r="S102" s="780"/>
      <c r="T102" s="780"/>
      <c r="U102" s="821"/>
      <c r="V102" s="817"/>
      <c r="W102" s="817"/>
      <c r="X102" s="817"/>
      <c r="Y102" s="817"/>
      <c r="Z102" s="817"/>
      <c r="AA102" s="817"/>
      <c r="AB102" s="817"/>
      <c r="AC102" s="817"/>
      <c r="AD102" s="817"/>
      <c r="AE102" s="817"/>
      <c r="AF102" s="817"/>
      <c r="AG102" s="817"/>
      <c r="AH102" s="817"/>
      <c r="AI102" s="817"/>
      <c r="AJ102" s="817"/>
      <c r="AK102" s="817"/>
      <c r="AL102" s="817"/>
      <c r="AM102" s="817"/>
      <c r="AN102" s="817"/>
      <c r="AO102" s="817"/>
      <c r="AP102" s="817"/>
      <c r="AQ102" s="817"/>
      <c r="AR102" s="817"/>
      <c r="AS102" s="817"/>
      <c r="AT102" s="817"/>
      <c r="AU102" s="817"/>
      <c r="AV102" s="817"/>
      <c r="AW102" s="817"/>
      <c r="AX102" s="817"/>
      <c r="AY102" s="817"/>
      <c r="AZ102" s="817"/>
      <c r="BA102" s="817"/>
      <c r="BB102" s="817"/>
      <c r="BC102" s="817"/>
      <c r="BD102" s="817"/>
      <c r="BE102" s="817"/>
      <c r="BF102" s="817"/>
      <c r="BG102" s="817"/>
      <c r="BH102" s="817"/>
      <c r="BI102" s="817"/>
      <c r="BJ102" s="817"/>
      <c r="BK102" s="817"/>
      <c r="BL102" s="817"/>
      <c r="BM102" s="817"/>
      <c r="BN102" s="817"/>
      <c r="BO102" s="817"/>
      <c r="BP102" s="817"/>
      <c r="BQ102" s="817"/>
      <c r="BR102" s="817"/>
      <c r="BS102" s="817"/>
      <c r="BT102" s="817"/>
      <c r="BU102" s="817"/>
      <c r="BV102" s="817"/>
      <c r="BW102" s="817"/>
      <c r="BX102" s="817"/>
      <c r="BY102" s="817"/>
      <c r="BZ102" s="817"/>
      <c r="CA102" s="817"/>
      <c r="CB102" s="817"/>
      <c r="CC102" s="817"/>
      <c r="CD102" s="817"/>
      <c r="CE102" s="817"/>
      <c r="CF102" s="817"/>
      <c r="CG102" s="817"/>
      <c r="CH102" s="817"/>
      <c r="CI102" s="817"/>
      <c r="CJ102" s="817"/>
      <c r="CK102" s="817"/>
      <c r="CL102" s="817"/>
      <c r="CM102" s="817"/>
      <c r="CN102" s="817"/>
      <c r="CO102" s="817"/>
      <c r="CP102" s="817"/>
      <c r="CQ102" s="817"/>
      <c r="CR102" s="817"/>
      <c r="CS102" s="817"/>
      <c r="CT102" s="817"/>
    </row>
    <row r="103" spans="1:98" x14ac:dyDescent="0.2">
      <c r="A103" s="783" t="s">
        <v>1621</v>
      </c>
      <c r="B103" s="802">
        <v>4</v>
      </c>
      <c r="C103" s="784">
        <f>+(10+6+12+14)/4</f>
        <v>10.5</v>
      </c>
      <c r="D103" s="784">
        <v>3.6</v>
      </c>
      <c r="E103" s="784">
        <f t="shared" ref="E103:E108" si="37">B103/D103</f>
        <v>1.1111111111111112</v>
      </c>
      <c r="F103" s="783"/>
      <c r="G103" s="783"/>
      <c r="H103" s="783"/>
      <c r="I103" s="784"/>
      <c r="J103" s="783"/>
      <c r="K103" s="783"/>
      <c r="L103" s="783"/>
      <c r="M103" s="784"/>
      <c r="N103" s="784">
        <f>SUM(B103:B114)/12</f>
        <v>8.25</v>
      </c>
      <c r="O103" s="784">
        <f>SUM(C103:C114)/12</f>
        <v>9.1379755320931793</v>
      </c>
      <c r="P103" s="784">
        <f>SUM(D103:D114)/12</f>
        <v>3.7166666666666672</v>
      </c>
      <c r="Q103" s="825">
        <f>+N103/P103</f>
        <v>2.2197309417040354</v>
      </c>
      <c r="R103" s="803"/>
      <c r="S103" s="803"/>
      <c r="T103" s="803"/>
      <c r="U103" s="815"/>
    </row>
    <row r="104" spans="1:98" x14ac:dyDescent="0.2">
      <c r="A104" s="783" t="s">
        <v>1622</v>
      </c>
      <c r="B104" s="783">
        <v>9</v>
      </c>
      <c r="C104" s="784">
        <f>(3+3+8+12+10+10+6+11+23)/9</f>
        <v>9.5555555555555554</v>
      </c>
      <c r="D104" s="784">
        <v>4.4000000000000004</v>
      </c>
      <c r="E104" s="784">
        <f t="shared" si="37"/>
        <v>2.0454545454545454</v>
      </c>
      <c r="F104" s="783"/>
      <c r="G104" s="783"/>
      <c r="H104" s="783"/>
      <c r="I104" s="784"/>
      <c r="J104" s="783"/>
      <c r="K104" s="783"/>
      <c r="L104" s="783"/>
      <c r="M104" s="784"/>
      <c r="N104" s="783"/>
      <c r="O104" s="783"/>
      <c r="P104" s="783"/>
      <c r="Q104" s="825"/>
      <c r="R104" s="803"/>
      <c r="S104" s="803"/>
      <c r="T104" s="803"/>
      <c r="U104" s="815"/>
    </row>
    <row r="105" spans="1:98" x14ac:dyDescent="0.2">
      <c r="A105" s="783" t="s">
        <v>1623</v>
      </c>
      <c r="B105" s="783">
        <v>9</v>
      </c>
      <c r="C105" s="784">
        <f>+(5+11+9+16+10+12+9+8+3)/9</f>
        <v>9.2222222222222214</v>
      </c>
      <c r="D105" s="784">
        <v>3.3</v>
      </c>
      <c r="E105" s="784">
        <f t="shared" si="37"/>
        <v>2.7272727272727275</v>
      </c>
      <c r="F105" s="783"/>
      <c r="G105" s="783"/>
      <c r="H105" s="783"/>
      <c r="I105" s="784"/>
      <c r="J105" s="783"/>
      <c r="K105" s="783"/>
      <c r="L105" s="783"/>
      <c r="M105" s="784"/>
      <c r="N105" s="783"/>
      <c r="O105" s="783"/>
      <c r="P105" s="783"/>
      <c r="Q105" s="825"/>
      <c r="R105" s="803"/>
      <c r="S105" s="803"/>
      <c r="T105" s="803"/>
      <c r="U105" s="815"/>
    </row>
    <row r="106" spans="1:98" x14ac:dyDescent="0.2">
      <c r="A106" s="783" t="s">
        <v>1624</v>
      </c>
      <c r="B106" s="783">
        <v>3</v>
      </c>
      <c r="C106" s="784">
        <f>+(7+7+3)/3</f>
        <v>5.666666666666667</v>
      </c>
      <c r="D106" s="784">
        <v>1.8</v>
      </c>
      <c r="E106" s="784">
        <f t="shared" si="37"/>
        <v>1.6666666666666665</v>
      </c>
      <c r="F106" s="783"/>
      <c r="G106" s="783"/>
      <c r="H106" s="783"/>
      <c r="I106" s="784"/>
      <c r="J106" s="783"/>
      <c r="K106" s="783"/>
      <c r="L106" s="783"/>
      <c r="M106" s="784"/>
      <c r="N106" s="783"/>
      <c r="O106" s="783"/>
      <c r="P106" s="783"/>
      <c r="Q106" s="825"/>
      <c r="R106" s="803"/>
      <c r="S106" s="803"/>
      <c r="T106" s="803"/>
      <c r="U106" s="815"/>
    </row>
    <row r="107" spans="1:98" x14ac:dyDescent="0.2">
      <c r="A107" s="783" t="s">
        <v>1625</v>
      </c>
      <c r="B107" s="783">
        <v>5</v>
      </c>
      <c r="C107" s="784">
        <f>+(8+7+10+16+14)/5</f>
        <v>11</v>
      </c>
      <c r="D107" s="784">
        <v>2.8</v>
      </c>
      <c r="E107" s="784">
        <f t="shared" si="37"/>
        <v>1.7857142857142858</v>
      </c>
      <c r="F107" s="783"/>
      <c r="G107" s="783"/>
      <c r="H107" s="783"/>
      <c r="I107" s="784"/>
      <c r="J107" s="783"/>
      <c r="K107" s="783"/>
      <c r="L107" s="783"/>
      <c r="M107" s="784"/>
      <c r="N107" s="783"/>
      <c r="O107" s="783"/>
      <c r="P107" s="783"/>
      <c r="Q107" s="825"/>
      <c r="R107" s="803"/>
      <c r="S107" s="803"/>
      <c r="T107" s="803"/>
      <c r="U107" s="815"/>
    </row>
    <row r="108" spans="1:98" x14ac:dyDescent="0.2">
      <c r="A108" s="783" t="s">
        <v>1626</v>
      </c>
      <c r="B108" s="783">
        <v>18</v>
      </c>
      <c r="C108" s="784">
        <f>+(24+5+4+4+26+32+42+34+35+21+4+5+28+8+3+7+6)/17</f>
        <v>16.941176470588236</v>
      </c>
      <c r="D108" s="784">
        <v>9.1</v>
      </c>
      <c r="E108" s="784">
        <f t="shared" si="37"/>
        <v>1.9780219780219781</v>
      </c>
      <c r="F108" s="783"/>
      <c r="G108" s="783"/>
      <c r="H108" s="783"/>
      <c r="I108" s="784"/>
      <c r="J108" s="783"/>
      <c r="K108" s="783"/>
      <c r="L108" s="783"/>
      <c r="M108" s="784"/>
      <c r="N108" s="783"/>
      <c r="O108" s="783"/>
      <c r="P108" s="783"/>
      <c r="Q108" s="825"/>
      <c r="R108" s="803"/>
      <c r="S108" s="803"/>
      <c r="T108" s="803"/>
      <c r="U108" s="815"/>
    </row>
    <row r="109" spans="1:98" x14ac:dyDescent="0.2">
      <c r="A109" s="783" t="s">
        <v>1627</v>
      </c>
      <c r="B109" s="783">
        <v>15</v>
      </c>
      <c r="C109" s="784">
        <f>+(9+5+8+3+7+5+21+15+7+18+5+15+10+4+5)/15</f>
        <v>9.1333333333333329</v>
      </c>
      <c r="D109" s="784">
        <v>6.6</v>
      </c>
      <c r="E109" s="784">
        <f t="shared" ref="E109:E113" si="38">B109/D109</f>
        <v>2.2727272727272729</v>
      </c>
      <c r="F109" s="783"/>
      <c r="G109" s="783"/>
      <c r="H109" s="783"/>
      <c r="I109" s="784"/>
      <c r="J109" s="783"/>
      <c r="K109" s="783"/>
      <c r="L109" s="783"/>
      <c r="M109" s="784"/>
      <c r="N109" s="783"/>
      <c r="O109" s="783"/>
      <c r="P109" s="783"/>
      <c r="Q109" s="825"/>
      <c r="R109" s="803"/>
      <c r="S109" s="803"/>
      <c r="T109" s="803"/>
      <c r="U109" s="815"/>
    </row>
    <row r="110" spans="1:98" x14ac:dyDescent="0.2">
      <c r="A110" s="783" t="s">
        <v>1628</v>
      </c>
      <c r="B110" s="783">
        <v>6</v>
      </c>
      <c r="C110" s="784">
        <f>+(4+7+10+10+3+3)/6</f>
        <v>6.166666666666667</v>
      </c>
      <c r="D110" s="784">
        <v>2</v>
      </c>
      <c r="E110" s="784">
        <f t="shared" si="38"/>
        <v>3</v>
      </c>
      <c r="F110" s="783"/>
      <c r="G110" s="783"/>
      <c r="H110" s="783"/>
      <c r="I110" s="784"/>
      <c r="J110" s="783"/>
      <c r="K110" s="783"/>
      <c r="L110" s="783"/>
      <c r="M110" s="784"/>
      <c r="N110" s="783"/>
      <c r="O110" s="783"/>
      <c r="P110" s="783"/>
      <c r="Q110" s="825"/>
      <c r="R110" s="803"/>
      <c r="S110" s="803"/>
      <c r="T110" s="803"/>
      <c r="U110" s="815"/>
    </row>
    <row r="111" spans="1:98" x14ac:dyDescent="0.2">
      <c r="A111" s="783" t="s">
        <v>1642</v>
      </c>
      <c r="B111" s="783">
        <v>4</v>
      </c>
      <c r="C111" s="784">
        <f>+(4+6+7+3)/4</f>
        <v>5</v>
      </c>
      <c r="D111" s="784">
        <v>1.2</v>
      </c>
      <c r="E111" s="784">
        <f t="shared" si="38"/>
        <v>3.3333333333333335</v>
      </c>
      <c r="F111" s="783"/>
      <c r="G111" s="783"/>
      <c r="H111" s="783"/>
      <c r="I111" s="784"/>
      <c r="J111" s="783"/>
      <c r="K111" s="783"/>
      <c r="L111" s="783"/>
      <c r="M111" s="784"/>
      <c r="N111" s="783"/>
      <c r="O111" s="783"/>
      <c r="P111" s="783"/>
      <c r="Q111" s="825"/>
      <c r="R111" s="803"/>
      <c r="S111" s="803"/>
      <c r="T111" s="803"/>
      <c r="U111" s="815"/>
    </row>
    <row r="112" spans="1:98" x14ac:dyDescent="0.2">
      <c r="A112" s="783" t="s">
        <v>1643</v>
      </c>
      <c r="B112" s="783">
        <v>4</v>
      </c>
      <c r="C112" s="784">
        <f>+(3+5+2+18)/4</f>
        <v>7</v>
      </c>
      <c r="D112" s="784">
        <v>1.2</v>
      </c>
      <c r="E112" s="784">
        <f t="shared" si="38"/>
        <v>3.3333333333333335</v>
      </c>
      <c r="F112" s="783"/>
      <c r="G112" s="783"/>
      <c r="H112" s="783"/>
      <c r="I112" s="784"/>
      <c r="J112" s="783"/>
      <c r="K112" s="783"/>
      <c r="L112" s="783"/>
      <c r="M112" s="784"/>
      <c r="N112" s="783"/>
      <c r="O112" s="783"/>
      <c r="P112" s="783"/>
      <c r="Q112" s="825"/>
      <c r="R112" s="803"/>
      <c r="S112" s="803"/>
      <c r="T112" s="803"/>
      <c r="U112" s="815"/>
    </row>
    <row r="113" spans="1:98" x14ac:dyDescent="0.2">
      <c r="A113" s="783" t="s">
        <v>1644</v>
      </c>
      <c r="B113" s="783">
        <v>13</v>
      </c>
      <c r="C113" s="784">
        <f>+(4+7+12+6+9+3+8+16+19+9+4+11+5)/13</f>
        <v>8.6923076923076916</v>
      </c>
      <c r="D113" s="784">
        <v>5.5</v>
      </c>
      <c r="E113" s="784">
        <f t="shared" si="38"/>
        <v>2.3636363636363638</v>
      </c>
      <c r="F113" s="783"/>
      <c r="G113" s="783"/>
      <c r="H113" s="783"/>
      <c r="I113" s="784"/>
      <c r="J113" s="783"/>
      <c r="K113" s="783"/>
      <c r="L113" s="783"/>
      <c r="M113" s="784"/>
      <c r="N113" s="783"/>
      <c r="O113" s="783"/>
      <c r="P113" s="783"/>
      <c r="Q113" s="825"/>
      <c r="R113" s="803"/>
      <c r="S113" s="803"/>
      <c r="T113" s="803"/>
      <c r="U113" s="815"/>
    </row>
    <row r="114" spans="1:98" x14ac:dyDescent="0.2">
      <c r="A114" s="783" t="s">
        <v>1645</v>
      </c>
      <c r="B114" s="783">
        <v>9</v>
      </c>
      <c r="C114" s="784">
        <f>+(11+25+7+17+10+15+4+5+3)/9</f>
        <v>10.777777777777779</v>
      </c>
      <c r="D114" s="784">
        <v>3.1</v>
      </c>
      <c r="E114" s="784">
        <f t="shared" ref="E114" si="39">B114/D114</f>
        <v>2.903225806451613</v>
      </c>
      <c r="F114" s="783"/>
      <c r="G114" s="783"/>
      <c r="H114" s="783"/>
      <c r="I114" s="784"/>
      <c r="J114" s="783"/>
      <c r="K114" s="783"/>
      <c r="L114" s="783"/>
      <c r="M114" s="784"/>
      <c r="N114" s="783"/>
      <c r="O114" s="783"/>
      <c r="P114" s="783"/>
      <c r="Q114" s="825"/>
      <c r="R114" s="803">
        <v>12</v>
      </c>
      <c r="S114" s="786">
        <f>+O103*R114</f>
        <v>109.65570638511815</v>
      </c>
      <c r="T114" s="784">
        <f>+S114/10</f>
        <v>10.965570638511815</v>
      </c>
      <c r="U114" s="818"/>
    </row>
    <row r="115" spans="1:98" ht="7" customHeight="1" x14ac:dyDescent="0.2">
      <c r="A115" s="783"/>
      <c r="B115" s="783"/>
      <c r="C115" s="784"/>
      <c r="D115" s="784"/>
      <c r="E115" s="784"/>
      <c r="F115" s="783"/>
      <c r="G115" s="783"/>
      <c r="H115" s="783"/>
      <c r="I115" s="784"/>
      <c r="J115" s="783"/>
      <c r="K115" s="783"/>
      <c r="L115" s="783"/>
      <c r="M115" s="784"/>
      <c r="N115" s="783"/>
      <c r="O115" s="783"/>
      <c r="P115" s="783"/>
      <c r="Q115" s="825"/>
      <c r="R115" s="803"/>
      <c r="S115" s="786"/>
      <c r="T115" s="786"/>
      <c r="U115" s="798"/>
    </row>
    <row r="116" spans="1:98" x14ac:dyDescent="0.2">
      <c r="A116" s="783" t="s">
        <v>1770</v>
      </c>
      <c r="B116" s="783"/>
      <c r="C116" s="784">
        <f>MAX(C7:C114)</f>
        <v>19.5</v>
      </c>
      <c r="D116" s="784">
        <f>MAX(D7:D114)</f>
        <v>9.5</v>
      </c>
      <c r="E116" s="784">
        <f>MAX(E7:E114)</f>
        <v>10</v>
      </c>
      <c r="F116" s="783"/>
      <c r="G116" s="784">
        <f>MAX(G7:G114)</f>
        <v>17.8</v>
      </c>
      <c r="H116" s="783"/>
      <c r="I116" s="784"/>
      <c r="J116" s="783"/>
      <c r="K116" s="784">
        <f>MAX(K7:K114)</f>
        <v>18.3</v>
      </c>
      <c r="L116" s="783"/>
      <c r="M116" s="784"/>
      <c r="N116" s="784">
        <f>MAX(N7:N114)</f>
        <v>14.666666666666666</v>
      </c>
      <c r="O116" s="784">
        <f t="shared" ref="O116:Q116" si="40">MAX(O7:O114)</f>
        <v>13.783333333333335</v>
      </c>
      <c r="P116" s="784">
        <f t="shared" si="40"/>
        <v>7.916666666666667</v>
      </c>
      <c r="Q116" s="811">
        <f t="shared" si="40"/>
        <v>3.4656446033362536</v>
      </c>
      <c r="R116" s="803"/>
      <c r="S116" s="786"/>
      <c r="T116" s="786"/>
      <c r="U116" s="798"/>
    </row>
    <row r="117" spans="1:98" x14ac:dyDescent="0.2">
      <c r="A117" s="783" t="s">
        <v>1771</v>
      </c>
      <c r="B117" s="783"/>
      <c r="C117" s="784">
        <f>MIN(C7:C114)</f>
        <v>2</v>
      </c>
      <c r="D117" s="784">
        <f>MIN(D7:D114)</f>
        <v>0.4</v>
      </c>
      <c r="E117" s="784">
        <f>MIN(E7:E114)</f>
        <v>0.5</v>
      </c>
      <c r="F117" s="783"/>
      <c r="G117" s="784">
        <f>MIN(G7:G114)</f>
        <v>5.9</v>
      </c>
      <c r="H117" s="783"/>
      <c r="I117" s="784"/>
      <c r="J117" s="783"/>
      <c r="K117" s="784">
        <f>MIN(K7:K114)</f>
        <v>4.545454545454545</v>
      </c>
      <c r="L117" s="783"/>
      <c r="M117" s="784"/>
      <c r="N117" s="784">
        <f>MIN(N7:N114)</f>
        <v>5.5555555555555554</v>
      </c>
      <c r="O117" s="784">
        <f t="shared" ref="O117:Q117" si="41">MIN(O7:O114)</f>
        <v>5.3314285714285718</v>
      </c>
      <c r="P117" s="784">
        <f t="shared" si="41"/>
        <v>2.1333333333333333</v>
      </c>
      <c r="Q117" s="811">
        <f t="shared" si="41"/>
        <v>1.2165680628447366</v>
      </c>
      <c r="R117" s="803"/>
      <c r="S117" s="786"/>
      <c r="T117" s="786"/>
      <c r="U117" s="798"/>
    </row>
    <row r="118" spans="1:98" x14ac:dyDescent="0.2">
      <c r="A118" s="783" t="s">
        <v>84</v>
      </c>
      <c r="B118" s="783"/>
      <c r="C118" s="784"/>
      <c r="D118" s="784"/>
      <c r="E118" s="784"/>
      <c r="F118" s="783"/>
      <c r="G118" s="783"/>
      <c r="H118" s="783"/>
      <c r="I118" s="784"/>
      <c r="J118" s="783"/>
      <c r="K118" s="783"/>
      <c r="L118" s="783"/>
      <c r="M118" s="784"/>
      <c r="N118" s="784">
        <f>AVERAGE(N7:N103)</f>
        <v>10.352564102564104</v>
      </c>
      <c r="O118" s="784">
        <f t="shared" ref="O118:Q118" si="42">AVERAGE(O7:O103)</f>
        <v>10.474953938610764</v>
      </c>
      <c r="P118" s="784">
        <f t="shared" si="42"/>
        <v>4.3295441595441595</v>
      </c>
      <c r="Q118" s="811">
        <f t="shared" si="42"/>
        <v>2.6374725810175303</v>
      </c>
      <c r="R118" s="803"/>
      <c r="S118" s="786"/>
      <c r="T118" s="786"/>
      <c r="U118" s="798"/>
    </row>
    <row r="119" spans="1:98" s="772" customFormat="1" x14ac:dyDescent="0.2">
      <c r="A119" s="804" t="s">
        <v>1652</v>
      </c>
      <c r="B119" s="804"/>
      <c r="C119" s="805">
        <f>MAX(C116:K116)</f>
        <v>19.5</v>
      </c>
      <c r="D119" s="805"/>
      <c r="E119" s="805"/>
      <c r="F119" s="804"/>
      <c r="G119" s="804"/>
      <c r="H119" s="804"/>
      <c r="I119" s="805"/>
      <c r="J119" s="804"/>
      <c r="K119" s="804"/>
      <c r="L119" s="804"/>
      <c r="M119" s="805"/>
      <c r="N119" s="804"/>
      <c r="O119" s="804"/>
      <c r="P119" s="804"/>
      <c r="Q119" s="828"/>
      <c r="R119" s="806">
        <f>SUM(R12:R114)-R75</f>
        <v>197</v>
      </c>
      <c r="S119" s="807">
        <f>SUM(S12:S114)-S75</f>
        <v>2145.6406175266084</v>
      </c>
      <c r="T119" s="805">
        <f>+S119/10</f>
        <v>214.56406175266085</v>
      </c>
      <c r="U119" s="822"/>
      <c r="V119" s="823"/>
      <c r="W119" s="823"/>
      <c r="X119" s="823"/>
      <c r="Y119" s="823"/>
      <c r="Z119" s="823"/>
      <c r="AA119" s="823"/>
      <c r="AB119" s="823"/>
      <c r="AC119" s="823"/>
      <c r="AD119" s="823"/>
      <c r="AE119" s="823"/>
      <c r="AF119" s="823"/>
      <c r="AG119" s="823"/>
      <c r="AH119" s="823"/>
      <c r="AI119" s="823"/>
      <c r="AJ119" s="823"/>
      <c r="AK119" s="823"/>
      <c r="AL119" s="823"/>
      <c r="AM119" s="823"/>
      <c r="AN119" s="823"/>
      <c r="AO119" s="823"/>
      <c r="AP119" s="823"/>
      <c r="AQ119" s="823"/>
      <c r="AR119" s="823"/>
      <c r="AS119" s="823"/>
      <c r="AT119" s="823"/>
      <c r="AU119" s="823"/>
      <c r="AV119" s="823"/>
      <c r="AW119" s="823"/>
      <c r="AX119" s="823"/>
      <c r="AY119" s="823"/>
      <c r="AZ119" s="823"/>
      <c r="BA119" s="823"/>
      <c r="BB119" s="823"/>
      <c r="BC119" s="823"/>
      <c r="BD119" s="823"/>
      <c r="BE119" s="823"/>
      <c r="BF119" s="823"/>
      <c r="BG119" s="823"/>
      <c r="BH119" s="823"/>
      <c r="BI119" s="823"/>
      <c r="BJ119" s="823"/>
      <c r="BK119" s="823"/>
      <c r="BL119" s="823"/>
      <c r="BM119" s="823"/>
      <c r="BN119" s="823"/>
      <c r="BO119" s="823"/>
      <c r="BP119" s="823"/>
      <c r="BQ119" s="823"/>
      <c r="BR119" s="823"/>
      <c r="BS119" s="823"/>
      <c r="BT119" s="823"/>
      <c r="BU119" s="823"/>
      <c r="BV119" s="823"/>
      <c r="BW119" s="823"/>
      <c r="BX119" s="823"/>
      <c r="BY119" s="823"/>
      <c r="BZ119" s="823"/>
      <c r="CA119" s="823"/>
      <c r="CB119" s="823"/>
      <c r="CC119" s="823"/>
      <c r="CD119" s="823"/>
      <c r="CE119" s="823"/>
      <c r="CF119" s="823"/>
      <c r="CG119" s="823"/>
      <c r="CH119" s="823"/>
      <c r="CI119" s="823"/>
      <c r="CJ119" s="823"/>
      <c r="CK119" s="823"/>
      <c r="CL119" s="823"/>
      <c r="CM119" s="823"/>
      <c r="CN119" s="823"/>
      <c r="CO119" s="823"/>
      <c r="CP119" s="823"/>
      <c r="CQ119" s="823"/>
      <c r="CR119" s="823"/>
      <c r="CS119" s="823"/>
      <c r="CT119" s="823"/>
    </row>
    <row r="120" spans="1:98" x14ac:dyDescent="0.2">
      <c r="A120" s="808"/>
      <c r="B120" s="808"/>
      <c r="C120" s="787"/>
      <c r="D120" s="787"/>
      <c r="E120" s="787"/>
      <c r="F120" s="808"/>
      <c r="G120" s="808"/>
      <c r="H120" s="808"/>
      <c r="I120" s="787"/>
      <c r="J120" s="808"/>
      <c r="K120" s="808"/>
      <c r="L120" s="808"/>
      <c r="M120" s="787"/>
      <c r="N120" s="808"/>
      <c r="O120" s="808"/>
      <c r="P120" s="808"/>
      <c r="Q120" s="809"/>
      <c r="R120" s="776"/>
      <c r="S120" s="776"/>
      <c r="T120" s="776"/>
      <c r="U120" s="815"/>
    </row>
  </sheetData>
  <mergeCells count="8">
    <mergeCell ref="A1:T1"/>
    <mergeCell ref="A2:T2"/>
    <mergeCell ref="F49:G49"/>
    <mergeCell ref="F4:I4"/>
    <mergeCell ref="B4:E4"/>
    <mergeCell ref="J4:M4"/>
    <mergeCell ref="N4:Q4"/>
    <mergeCell ref="R4:T4"/>
  </mergeCells>
  <phoneticPr fontId="16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EB3F3858581944A2AD09F14A5782AB" ma:contentTypeVersion="13" ma:contentTypeDescription="Create a new document." ma:contentTypeScope="" ma:versionID="0ed78237fdaa11e62f95881282ada7aa">
  <xsd:schema xmlns:xsd="http://www.w3.org/2001/XMLSchema" xmlns:xs="http://www.w3.org/2001/XMLSchema" xmlns:p="http://schemas.microsoft.com/office/2006/metadata/properties" xmlns:ns3="d57e9fc8-b5ce-4ad9-aadf-57a232f05e32" xmlns:ns4="54ee928b-c371-4101-9391-8ec5d8e5c8f2" targetNamespace="http://schemas.microsoft.com/office/2006/metadata/properties" ma:root="true" ma:fieldsID="0f464e90317abaae394b31b7d5937362" ns3:_="" ns4:_="">
    <xsd:import namespace="d57e9fc8-b5ce-4ad9-aadf-57a232f05e32"/>
    <xsd:import namespace="54ee928b-c371-4101-9391-8ec5d8e5c8f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7e9fc8-b5ce-4ad9-aadf-57a232f05e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ee928b-c371-4101-9391-8ec5d8e5c8f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BEC523-264A-4F4A-9DC2-63B5BD89D31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3D0504-6DC1-4C30-AB6D-D69EE0C9CE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97F817-4CFA-4D84-87A7-C76D3C0FACED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0D97284-6D12-4021-BC1C-16150BB6DC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7e9fc8-b5ce-4ad9-aadf-57a232f05e32"/>
    <ds:schemaRef ds:uri="54ee928b-c371-4101-9391-8ec5d8e5c8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tissue samples</vt:lpstr>
      <vt:lpstr>root col (T0)</vt:lpstr>
      <vt:lpstr>Overview T1</vt:lpstr>
      <vt:lpstr>Overview T0</vt:lpstr>
      <vt:lpstr>root col (T1)</vt:lpstr>
      <vt:lpstr>T0 to T1</vt:lpstr>
      <vt:lpstr>Plant measures (T1)</vt:lpstr>
      <vt:lpstr>'Plant measures (T1)'!Print_Area</vt:lpstr>
      <vt:lpstr>'T0 to T1'!Print_Area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Jill Kowal</dc:creator>
  <cp:keywords/>
  <dc:description/>
  <cp:lastModifiedBy>Jill</cp:lastModifiedBy>
  <cp:revision/>
  <cp:lastPrinted>2020-06-29T19:30:49Z</cp:lastPrinted>
  <dcterms:created xsi:type="dcterms:W3CDTF">2019-06-20T10:01:52Z</dcterms:created>
  <dcterms:modified xsi:type="dcterms:W3CDTF">2020-07-03T16:28:12Z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0x0101001AEB3F3858581944A2AD09F14A5782AB</vt:lpwstr>
  </property>
</Properties>
</file>