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10" windowWidth="15120" windowHeight="6230" firstSheet="3" activeTab="6"/>
  </bookViews>
  <sheets>
    <sheet name="TPF Table" sheetId="6" r:id="rId1"/>
    <sheet name="TPF" sheetId="1" r:id="rId2"/>
    <sheet name="5 Water scarcity" sheetId="2" r:id="rId3"/>
    <sheet name="6 Flood risk" sheetId="3" r:id="rId4"/>
    <sheet name="7 Water quality" sheetId="4" r:id="rId5"/>
    <sheet name="8 Heat risk" sheetId="5" r:id="rId6"/>
    <sheet name="9 Economic Pressure" sheetId="7" r:id="rId7"/>
  </sheets>
  <calcPr calcId="162913"/>
</workbook>
</file>

<file path=xl/calcChain.xml><?xml version="1.0" encoding="utf-8"?>
<calcChain xmlns="http://schemas.openxmlformats.org/spreadsheetml/2006/main">
  <c r="C24" i="7" l="1"/>
  <c r="C25" i="7" s="1"/>
  <c r="C26" i="7" s="1"/>
  <c r="C27" i="7" s="1"/>
  <c r="C28" i="7" s="1"/>
  <c r="B9" i="7"/>
  <c r="B11" i="7" s="1"/>
  <c r="D17" i="7" l="1"/>
  <c r="D16" i="7"/>
  <c r="E12" i="1"/>
  <c r="F18" i="1"/>
  <c r="E6" i="1"/>
  <c r="E15" i="1" l="1"/>
  <c r="E14" i="1" l="1"/>
  <c r="E13" i="1"/>
  <c r="E2" i="5"/>
  <c r="E11" i="1" s="1"/>
  <c r="E5" i="5"/>
  <c r="D12" i="4"/>
  <c r="D10" i="4"/>
  <c r="C2" i="3"/>
  <c r="E9" i="1" s="1"/>
  <c r="D6" i="4" l="1"/>
  <c r="E10" i="1" s="1"/>
  <c r="D4" i="3"/>
  <c r="C10" i="2"/>
  <c r="E8" i="1" s="1"/>
  <c r="E7" i="1" l="1"/>
  <c r="E4" i="1"/>
</calcChain>
</file>

<file path=xl/sharedStrings.xml><?xml version="1.0" encoding="utf-8"?>
<sst xmlns="http://schemas.openxmlformats.org/spreadsheetml/2006/main" count="167" uniqueCount="128">
  <si>
    <t>Urbanisation rate</t>
  </si>
  <si>
    <t>Indicator</t>
  </si>
  <si>
    <t>#</t>
  </si>
  <si>
    <t>X</t>
  </si>
  <si>
    <t>Indicator value</t>
  </si>
  <si>
    <t>Source</t>
  </si>
  <si>
    <t>Comment</t>
  </si>
  <si>
    <t>Additional information required?</t>
  </si>
  <si>
    <t>http://www.forbes.com/2010/10/07/cities-china-chicago-opinions-columnists-joel-kotkin.html</t>
  </si>
  <si>
    <t>Additional context source</t>
  </si>
  <si>
    <t>http://smartcities.gov.in/writereaddata/CitiesProfile/Gujarat_Ahmadabad.pdf</t>
  </si>
  <si>
    <t>Burden of disease</t>
  </si>
  <si>
    <t>Education rate</t>
  </si>
  <si>
    <t>Country level</t>
  </si>
  <si>
    <t>Political stability</t>
  </si>
  <si>
    <t>Water scarcity</t>
  </si>
  <si>
    <t>http://pdf.wri.org/aqueduct_metadata_global.pdf#page=11</t>
  </si>
  <si>
    <t>Score</t>
  </si>
  <si>
    <t xml:space="preserve">5.2 Groundwater scarcity </t>
  </si>
  <si>
    <t xml:space="preserve"> 5.3 Salinization &amp; seawater intrusion</t>
  </si>
  <si>
    <t xml:space="preserve">5.1 Fresh water scarcity </t>
  </si>
  <si>
    <t>https://guj-nwrws.gujarat.gov.in/showpage.aspx?contentid=1454&amp;lang=english</t>
  </si>
  <si>
    <t>Average</t>
  </si>
  <si>
    <t>State level</t>
  </si>
  <si>
    <t>see tab</t>
  </si>
  <si>
    <t>Flood risk</t>
  </si>
  <si>
    <t>6.4 Land subsidence</t>
  </si>
  <si>
    <t xml:space="preserve">6.3 River peak discharges </t>
  </si>
  <si>
    <t>6.1 Urban drainage flood</t>
  </si>
  <si>
    <t xml:space="preserve">6.2 Sea level rise </t>
  </si>
  <si>
    <t xml:space="preserve">6 Flood risk </t>
  </si>
  <si>
    <t xml:space="preserve">Water quality </t>
  </si>
  <si>
    <t>City level</t>
  </si>
  <si>
    <t>7.1 Surface water quality</t>
  </si>
  <si>
    <t>7.2 Biodiversity</t>
  </si>
  <si>
    <t>Indicator 7: Water quality</t>
  </si>
  <si>
    <t>Value</t>
  </si>
  <si>
    <t>Heat risk</t>
  </si>
  <si>
    <t>Number of combined tropical nights (&gt;20 oC) and hot days(&gt;35 oC) in the period 2071-2100, where the maximum is set on 50 days. The number is standardized using the following formula</t>
  </si>
  <si>
    <t>Indicator 8: Heat risk</t>
  </si>
  <si>
    <t>total</t>
  </si>
  <si>
    <t>x</t>
  </si>
  <si>
    <t>value</t>
  </si>
  <si>
    <t>Percentage of green and blue urban area</t>
  </si>
  <si>
    <t>Economic pressure</t>
  </si>
  <si>
    <t>Unemployment rate</t>
  </si>
  <si>
    <t>Poverty rate</t>
  </si>
  <si>
    <t>City / Urban level of Gujarat</t>
  </si>
  <si>
    <t xml:space="preserve">Inflation </t>
  </si>
  <si>
    <t>https://www.weforum.org/agenda/2016/10/india-megacities-by-2030-united-nations?utm_content=buffer4daef&amp;utm_medium=social&amp;utm_source=facebook.com&amp;utm_campaign=buffer</t>
  </si>
  <si>
    <t>UN Habitat (2016) WCR.Statistical-Annex.2016-03-31</t>
  </si>
  <si>
    <t>National level according to UN WCR (2016) is 13,7</t>
  </si>
  <si>
    <t>City level over 2005-2015</t>
  </si>
  <si>
    <t>1. Urbanisation rate</t>
  </si>
  <si>
    <t>2. Burden of disease</t>
  </si>
  <si>
    <t>3. Education rate</t>
  </si>
  <si>
    <t>4. Political stability</t>
  </si>
  <si>
    <t>5. Water scarcity</t>
  </si>
  <si>
    <t>6. Flood risk</t>
  </si>
  <si>
    <t xml:space="preserve">7. Water quality </t>
  </si>
  <si>
    <t>8. Heat risk</t>
  </si>
  <si>
    <t>9. Economic pressure</t>
  </si>
  <si>
    <t>10. Unemployment rate</t>
  </si>
  <si>
    <t>11. Poverty rate</t>
  </si>
  <si>
    <t xml:space="preserve">12. Inflation </t>
  </si>
  <si>
    <t>Social</t>
  </si>
  <si>
    <t>Environmental</t>
  </si>
  <si>
    <t xml:space="preserve">Financial </t>
  </si>
  <si>
    <t xml:space="preserve">Trends and pressures </t>
  </si>
  <si>
    <t>No concern</t>
  </si>
  <si>
    <t>Low concern</t>
  </si>
  <si>
    <t>Medium concern</t>
  </si>
  <si>
    <t>Concern</t>
  </si>
  <si>
    <t>Great concern</t>
  </si>
  <si>
    <t>Sources</t>
  </si>
  <si>
    <t>Srivastava (2015) Occupational resilience to floods across the urban-rural domain in Greater Ahmedabad</t>
  </si>
  <si>
    <t>http://timesofindia.indiatimes.com/city/ahmedabad/Gujarat-unemployment-figures-remained-same-for-23-years/articleshow/18806975.cms</t>
  </si>
  <si>
    <t>http://www.ndtv.com/india-news/survey-says-gujarat-has-lowest-unemployment-narendra-modi-is-delighted-492092</t>
  </si>
  <si>
    <t>http://www.ilo.org/wcmsp5/groups/public/---asia/---ro-bangkok/documents/publication/wcms_181745.pdf</t>
  </si>
  <si>
    <t>Sub indicator</t>
  </si>
  <si>
    <t xml:space="preserve">See CBF </t>
  </si>
  <si>
    <t>0 - 0.5</t>
  </si>
  <si>
    <t>0.5 - 1.5</t>
  </si>
  <si>
    <t xml:space="preserve">1.5 - 2.5 </t>
  </si>
  <si>
    <t>2.5 - 3.5</t>
  </si>
  <si>
    <t>3.5 - 4</t>
  </si>
  <si>
    <t xml:space="preserve">TPI </t>
  </si>
  <si>
    <t>Value for average</t>
  </si>
  <si>
    <t>USD</t>
  </si>
  <si>
    <t>GDP per capita</t>
  </si>
  <si>
    <t>INDR</t>
  </si>
  <si>
    <t>per year</t>
  </si>
  <si>
    <t>per day</t>
  </si>
  <si>
    <t xml:space="preserve">Population </t>
  </si>
  <si>
    <t>million</t>
  </si>
  <si>
    <t xml:space="preserve">USD </t>
  </si>
  <si>
    <t>million USD</t>
  </si>
  <si>
    <t>GDP per capita / day</t>
  </si>
  <si>
    <t>Source: http://www.lloyds.com/cityriskindex/locations/city/ahmedabad</t>
  </si>
  <si>
    <t>Source: http://statisticstimes.com/economy/gdp-capita-of-indian-states.php</t>
  </si>
  <si>
    <t>Gujarat GDP</t>
  </si>
  <si>
    <t xml:space="preserve">India GDP </t>
  </si>
  <si>
    <t>trillion</t>
  </si>
  <si>
    <t>(12 0s)</t>
  </si>
  <si>
    <t>http://data.worldbank.org/country/india</t>
  </si>
  <si>
    <t>http://www.economist.com/news/finance-and-economics/21638147-how-modi-nomics-was-forged-one-indias-most-business-friendly-states</t>
  </si>
  <si>
    <t>7,4% of India</t>
  </si>
  <si>
    <t>billion</t>
  </si>
  <si>
    <t>Gujarat GDP/cap/day</t>
  </si>
  <si>
    <t>Gujarat GDP/cap</t>
  </si>
  <si>
    <t>(9 0s)</t>
  </si>
  <si>
    <t>(6 0s)</t>
  </si>
  <si>
    <t>India GDP per capita</t>
  </si>
  <si>
    <t>Average annual GDP Ahmedabad</t>
  </si>
  <si>
    <t>This might be an underestimation, local data does not allow for a more critical reflection</t>
  </si>
  <si>
    <t>WHO. DALY rates. Accessed on 16-12-2016. http://gamapserver.who.int/gho/interactive_charts/mbd/as_daly_rates/atlas.html</t>
  </si>
  <si>
    <t>World Bank. Primary completion rate, total (% of relevant age group). Accessed on 16-12-2016. http://data.worldbank.org/indicator/SE.PRM.CMPT.ZS?view=map</t>
  </si>
  <si>
    <t>GDP of Indian States. Times Statistics. Accessed on 16-12-2016. http://statisticstimes.com/economy/gdp-capita-of-indian-states.php</t>
  </si>
  <si>
    <t>World Bank. WGI. Accessed on 16-12-2016. http://info.worldbank.org/governance/wgi/index.aspx#faq</t>
  </si>
  <si>
    <t>Times of India. Accessed on 16-12-2016. http://timesofindia.indiatimes.com/india/Patna-tops-cities-in-unemployment-Survey/articleshow/24770327.cms</t>
  </si>
  <si>
    <t>Reserve Bank of India. Number and Percentage of Population Below Poverty Line. Accessed on 16-12-2016. https://www.rbi.org.in/scripts/PublicationsView.aspx?id=15283</t>
  </si>
  <si>
    <t>World Bank. Inflation indicator. Accessed on 16-12-2016. http://data.worldbank.org/indicator/FP.CPI.TOTL.ZG?view=map</t>
  </si>
  <si>
    <t>Gujarat Ground Water Board. State profile. Accessed on 16-12-2016. http://cgwb.gov.in/gw_profiles/st_Gujarat.htm</t>
  </si>
  <si>
    <t>World resource institute. Baseline water stress. Accessed on 16-12-2016.</t>
  </si>
  <si>
    <t>World resource institute. Groundwater stress. Accessed on 16-12-2016.</t>
  </si>
  <si>
    <t>Environmental performance indexes per country. Surface water quality. India. Accessed on 16-12-2016. http://www.ciesin.columbia.edu/repository/epi/data/2010EPI_country_profiles.pdf</t>
  </si>
  <si>
    <t>Environmental performance indexes per country. Biodiversity. India. Accessed on 16-12-2016. http://www.ciesin.columbia.edu/repository/epi/data/2010EPI_country_profiles.pdf</t>
  </si>
  <si>
    <t>Ahmedabad Municipal Corporation. Heat Action Plan. Accessed on 16-12-2016. https://www.nrdc.org/sites/default/files/ahmedabad-heat-action-plan-2016.pdf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</si>
</sst>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</font>
    <font>
      <b/>
      <sz val="13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horizontal="left" vertical="top"/>
    </xf>
    <xf numFmtId="0" fontId="0" fillId="3" borderId="0" xfId="0" applyFill="1"/>
    <xf numFmtId="0" fontId="0" fillId="4" borderId="0" xfId="0" applyFill="1"/>
    <xf numFmtId="0" fontId="3" fillId="0" borderId="0" xfId="1" applyAlignment="1" applyProtection="1"/>
    <xf numFmtId="2" fontId="0" fillId="0" borderId="0" xfId="0" applyNumberFormat="1" applyFill="1" applyBorder="1"/>
    <xf numFmtId="0" fontId="0" fillId="5" borderId="0" xfId="0" applyFill="1"/>
    <xf numFmtId="0" fontId="0" fillId="0" borderId="1" xfId="0" applyBorder="1"/>
    <xf numFmtId="0" fontId="0" fillId="6" borderId="0" xfId="0" applyFill="1"/>
    <xf numFmtId="0" fontId="0" fillId="2" borderId="0" xfId="0" applyFill="1"/>
    <xf numFmtId="0" fontId="0" fillId="0" borderId="0" xfId="0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NumberFormat="1" applyAlignment="1">
      <alignment horizontal="left" vertical="top" wrapText="1"/>
    </xf>
    <xf numFmtId="0" fontId="0" fillId="0" borderId="0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7" borderId="1" xfId="0" applyFill="1" applyBorder="1"/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8" borderId="0" xfId="0" applyFill="1"/>
    <xf numFmtId="0" fontId="0" fillId="8" borderId="2" xfId="0" applyFill="1" applyBorder="1"/>
    <xf numFmtId="0" fontId="0" fillId="8" borderId="4" xfId="0" applyFill="1" applyBorder="1"/>
    <xf numFmtId="0" fontId="0" fillId="8" borderId="7" xfId="0" applyFill="1" applyBorder="1"/>
    <xf numFmtId="0" fontId="0" fillId="7" borderId="1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1" fillId="5" borderId="0" xfId="0" applyFont="1" applyFill="1"/>
    <xf numFmtId="0" fontId="0" fillId="4" borderId="11" xfId="0" applyFill="1" applyBorder="1" applyAlignment="1">
      <alignment horizontal="center"/>
    </xf>
    <xf numFmtId="0" fontId="0" fillId="9" borderId="0" xfId="0" applyFill="1"/>
    <xf numFmtId="2" fontId="0" fillId="3" borderId="0" xfId="0" applyNumberFormat="1" applyFill="1"/>
    <xf numFmtId="0" fontId="2" fillId="2" borderId="0" xfId="0" applyFont="1" applyFill="1" applyBorder="1" applyAlignment="1">
      <alignment horizontal="center" vertical="top"/>
    </xf>
    <xf numFmtId="0" fontId="1" fillId="0" borderId="0" xfId="0" applyFont="1" applyFill="1" applyBorder="1"/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/>
    <xf numFmtId="10" fontId="0" fillId="0" borderId="0" xfId="0" applyNumberFormat="1"/>
    <xf numFmtId="0" fontId="0" fillId="8" borderId="3" xfId="0" applyFill="1" applyBorder="1"/>
    <xf numFmtId="0" fontId="0" fillId="8" borderId="5" xfId="0" applyFill="1" applyBorder="1"/>
    <xf numFmtId="0" fontId="0" fillId="8" borderId="14" xfId="0" applyFill="1" applyBorder="1"/>
    <xf numFmtId="0" fontId="4" fillId="2" borderId="1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1080323820282096E-3"/>
          <c:w val="0.96523983712531791"/>
          <c:h val="0.9948919676179718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'TPF Table'!$B$4:$B$15</c:f>
              <c:strCache>
                <c:ptCount val="12"/>
                <c:pt idx="0">
                  <c:v>Trends and pressures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val>
            <c:numRef>
              <c:f>TPF!$E$4:$E$15</c:f>
              <c:numCache>
                <c:formatCode>General</c:formatCode>
                <c:ptCount val="12"/>
                <c:pt idx="0">
                  <c:v>3.3456683999999992</c:v>
                </c:pt>
                <c:pt idx="1">
                  <c:v>2</c:v>
                </c:pt>
                <c:pt idx="2">
                  <c:v>2.410136719999997</c:v>
                </c:pt>
                <c:pt idx="3">
                  <c:v>2.7359999999999998</c:v>
                </c:pt>
                <c:pt idx="4">
                  <c:v>3.6666666666666665</c:v>
                </c:pt>
                <c:pt idx="5">
                  <c:v>1.75</c:v>
                </c:pt>
                <c:pt idx="6">
                  <c:v>1.6320000000000001</c:v>
                </c:pt>
                <c:pt idx="7">
                  <c:v>4</c:v>
                </c:pt>
                <c:pt idx="8">
                  <c:v>2.9821886350878613</c:v>
                </c:pt>
                <c:pt idx="9">
                  <c:v>-0.20438759999999989</c:v>
                </c:pt>
                <c:pt idx="10">
                  <c:v>1.5679740400000002</c:v>
                </c:pt>
                <c:pt idx="11">
                  <c:v>3.0660578675199996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03-4673-98B8-FB5999111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axId val="88931328"/>
        <c:axId val="87757568"/>
      </c:barChart>
      <c:catAx>
        <c:axId val="88931328"/>
        <c:scaling>
          <c:orientation val="maxMin"/>
        </c:scaling>
        <c:delete val="1"/>
        <c:axPos val="l"/>
        <c:majorTickMark val="none"/>
        <c:minorTickMark val="none"/>
        <c:tickLblPos val="none"/>
        <c:crossAx val="87757568"/>
        <c:crosses val="autoZero"/>
        <c:auto val="1"/>
        <c:lblAlgn val="ctr"/>
        <c:lblOffset val="100"/>
        <c:noMultiLvlLbl val="0"/>
      </c:catAx>
      <c:valAx>
        <c:axId val="87757568"/>
        <c:scaling>
          <c:orientation val="minMax"/>
          <c:max val="4"/>
          <c:min val="0"/>
        </c:scaling>
        <c:delete val="1"/>
        <c:axPos val="t"/>
        <c:numFmt formatCode="General" sourceLinked="1"/>
        <c:majorTickMark val="none"/>
        <c:minorTickMark val="none"/>
        <c:tickLblPos val="none"/>
        <c:crossAx val="88931328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38101</xdr:colOff>
      <xdr:row>3</xdr:row>
      <xdr:rowOff>19050</xdr:rowOff>
    </xdr:from>
    <xdr:to>
      <xdr:col>8</xdr:col>
      <xdr:colOff>161925</xdr:colOff>
      <xdr:row>14</xdr:row>
      <xdr:rowOff>180975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martcities.gov.in/writereaddata/CitiesProfile/Gujarat_Ahmadabad.pdf" TargetMode="External"/><Relationship Id="rId2" Type="http://schemas.openxmlformats.org/officeDocument/2006/relationships/hyperlink" Target="http://statisticstimes.com/economy/gdp-capita-of-indian-states.php" TargetMode="External"/><Relationship Id="rId1" Type="http://schemas.openxmlformats.org/officeDocument/2006/relationships/hyperlink" Target="http://www.forbes.com/2010/10/07/cities-china-chicago-opinions-columnists-joel-kotkin.html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zoomScale="85" zoomScaleNormal="85" workbookViewId="0">
      <selection activeCell="M10" sqref="M10"/>
    </sheetView>
  </sheetViews>
  <sheetFormatPr defaultRowHeight="14.5" x14ac:dyDescent="0.35"/>
  <cols>
    <col min="2" max="2" width="7.26953125" customWidth="1"/>
    <col min="3" max="3" width="18.81640625" customWidth="1"/>
    <col min="4" max="4" width="22.26953125" bestFit="1" customWidth="1"/>
    <col min="5" max="5" width="9.1796875" customWidth="1"/>
    <col min="9" max="9" width="2.81640625" customWidth="1"/>
    <col min="10" max="10" width="8.26953125" customWidth="1"/>
    <col min="11" max="11" width="7.7265625" bestFit="1" customWidth="1"/>
    <col min="12" max="12" width="16" bestFit="1" customWidth="1"/>
    <col min="15" max="15" width="8.453125" customWidth="1"/>
    <col min="16" max="16" width="17.6328125" customWidth="1"/>
    <col min="17" max="17" width="1.453125" customWidth="1"/>
    <col min="18" max="18" width="23.7265625" customWidth="1"/>
  </cols>
  <sheetData>
    <row r="1" spans="1:20" x14ac:dyDescent="0.3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x14ac:dyDescent="0.35">
      <c r="A3" s="25"/>
      <c r="B3" s="25"/>
      <c r="C3" s="25"/>
      <c r="D3" s="25"/>
      <c r="E3" s="22"/>
      <c r="F3" s="23">
        <v>1</v>
      </c>
      <c r="G3" s="23">
        <v>2</v>
      </c>
      <c r="H3" s="23">
        <v>3</v>
      </c>
      <c r="I3" s="24">
        <v>4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x14ac:dyDescent="0.35">
      <c r="A4" s="25"/>
      <c r="B4" s="45" t="s">
        <v>68</v>
      </c>
      <c r="C4" s="47" t="s">
        <v>65</v>
      </c>
      <c r="D4" s="21" t="s">
        <v>53</v>
      </c>
      <c r="E4" s="16"/>
      <c r="F4" s="11"/>
      <c r="G4" s="11"/>
      <c r="H4" s="11"/>
      <c r="I4" s="17"/>
      <c r="J4" s="25"/>
      <c r="K4" s="33" t="s">
        <v>81</v>
      </c>
      <c r="L4" s="26" t="s">
        <v>69</v>
      </c>
      <c r="M4" s="25"/>
      <c r="N4" s="25"/>
      <c r="O4" s="45" t="s">
        <v>68</v>
      </c>
      <c r="P4" s="46" t="s">
        <v>65</v>
      </c>
      <c r="Q4" s="44"/>
      <c r="R4" s="26" t="s">
        <v>53</v>
      </c>
      <c r="S4" s="25"/>
      <c r="T4" s="25"/>
    </row>
    <row r="5" spans="1:20" x14ac:dyDescent="0.35">
      <c r="A5" s="25"/>
      <c r="B5" s="45"/>
      <c r="C5" s="47"/>
      <c r="D5" s="8" t="s">
        <v>54</v>
      </c>
      <c r="E5" s="16"/>
      <c r="F5" s="11"/>
      <c r="G5" s="11"/>
      <c r="H5" s="11"/>
      <c r="I5" s="17"/>
      <c r="J5" s="25"/>
      <c r="K5" s="31" t="s">
        <v>82</v>
      </c>
      <c r="L5" s="27" t="s">
        <v>70</v>
      </c>
      <c r="M5" s="25"/>
      <c r="N5" s="25"/>
      <c r="O5" s="45"/>
      <c r="P5" s="46"/>
      <c r="Q5" s="42"/>
      <c r="R5" s="27" t="s">
        <v>54</v>
      </c>
      <c r="S5" s="25"/>
      <c r="T5" s="25"/>
    </row>
    <row r="6" spans="1:20" x14ac:dyDescent="0.35">
      <c r="A6" s="25"/>
      <c r="B6" s="45"/>
      <c r="C6" s="47"/>
      <c r="D6" s="8" t="s">
        <v>55</v>
      </c>
      <c r="E6" s="16"/>
      <c r="F6" s="11"/>
      <c r="G6" s="11"/>
      <c r="H6" s="11"/>
      <c r="I6" s="17"/>
      <c r="J6" s="25"/>
      <c r="K6" s="31" t="s">
        <v>83</v>
      </c>
      <c r="L6" s="27" t="s">
        <v>71</v>
      </c>
      <c r="M6" s="25"/>
      <c r="N6" s="25"/>
      <c r="O6" s="45"/>
      <c r="P6" s="46"/>
      <c r="Q6" s="42"/>
      <c r="R6" s="27" t="s">
        <v>55</v>
      </c>
      <c r="S6" s="25"/>
      <c r="T6" s="25"/>
    </row>
    <row r="7" spans="1:20" x14ac:dyDescent="0.35">
      <c r="A7" s="25"/>
      <c r="B7" s="45"/>
      <c r="C7" s="47"/>
      <c r="D7" s="21" t="s">
        <v>56</v>
      </c>
      <c r="E7" s="16"/>
      <c r="F7" s="11"/>
      <c r="G7" s="11"/>
      <c r="H7" s="11"/>
      <c r="I7" s="17"/>
      <c r="J7" s="25"/>
      <c r="K7" s="29" t="s">
        <v>84</v>
      </c>
      <c r="L7" s="27" t="s">
        <v>72</v>
      </c>
      <c r="M7" s="25"/>
      <c r="N7" s="25"/>
      <c r="O7" s="45"/>
      <c r="P7" s="46"/>
      <c r="Q7" s="43"/>
      <c r="R7" s="28" t="s">
        <v>56</v>
      </c>
      <c r="S7" s="25"/>
      <c r="T7" s="25"/>
    </row>
    <row r="8" spans="1:20" x14ac:dyDescent="0.35">
      <c r="A8" s="25"/>
      <c r="B8" s="45"/>
      <c r="C8" s="47" t="s">
        <v>66</v>
      </c>
      <c r="D8" s="21" t="s">
        <v>57</v>
      </c>
      <c r="E8" s="16"/>
      <c r="F8" s="11"/>
      <c r="G8" s="11"/>
      <c r="H8" s="11"/>
      <c r="I8" s="17"/>
      <c r="J8" s="25"/>
      <c r="K8" s="30" t="s">
        <v>85</v>
      </c>
      <c r="L8" s="28" t="s">
        <v>73</v>
      </c>
      <c r="M8" s="25"/>
      <c r="N8" s="25"/>
      <c r="O8" s="45"/>
      <c r="P8" s="46" t="s">
        <v>66</v>
      </c>
      <c r="Q8" s="44"/>
      <c r="R8" s="26" t="s">
        <v>57</v>
      </c>
      <c r="S8" s="25"/>
      <c r="T8" s="25"/>
    </row>
    <row r="9" spans="1:20" x14ac:dyDescent="0.35">
      <c r="A9" s="25"/>
      <c r="B9" s="45"/>
      <c r="C9" s="47"/>
      <c r="D9" s="8" t="s">
        <v>58</v>
      </c>
      <c r="E9" s="16"/>
      <c r="F9" s="11"/>
      <c r="G9" s="11"/>
      <c r="H9" s="11"/>
      <c r="I9" s="17"/>
      <c r="J9" s="25"/>
      <c r="K9" s="25"/>
      <c r="L9" s="25"/>
      <c r="M9" s="25"/>
      <c r="N9" s="25"/>
      <c r="O9" s="45"/>
      <c r="P9" s="46"/>
      <c r="Q9" s="42"/>
      <c r="R9" s="27" t="s">
        <v>58</v>
      </c>
      <c r="S9" s="25"/>
      <c r="T9" s="25"/>
    </row>
    <row r="10" spans="1:20" x14ac:dyDescent="0.35">
      <c r="A10" s="25"/>
      <c r="B10" s="45"/>
      <c r="C10" s="47"/>
      <c r="D10" s="8" t="s">
        <v>59</v>
      </c>
      <c r="E10" s="16"/>
      <c r="F10" s="11"/>
      <c r="G10" s="11"/>
      <c r="H10" s="11"/>
      <c r="I10" s="17"/>
      <c r="J10" s="25"/>
      <c r="K10" s="25"/>
      <c r="L10" s="25"/>
      <c r="M10" s="25"/>
      <c r="N10" s="25"/>
      <c r="O10" s="45"/>
      <c r="P10" s="46"/>
      <c r="Q10" s="42"/>
      <c r="R10" s="27" t="s">
        <v>59</v>
      </c>
      <c r="S10" s="25"/>
      <c r="T10" s="25"/>
    </row>
    <row r="11" spans="1:20" x14ac:dyDescent="0.35">
      <c r="A11" s="25"/>
      <c r="B11" s="45"/>
      <c r="C11" s="47"/>
      <c r="D11" s="21" t="s">
        <v>60</v>
      </c>
      <c r="E11" s="16"/>
      <c r="F11" s="11"/>
      <c r="G11" s="11"/>
      <c r="H11" s="11"/>
      <c r="I11" s="17"/>
      <c r="J11" s="25"/>
      <c r="K11" s="25"/>
      <c r="L11" s="25"/>
      <c r="M11" s="25"/>
      <c r="N11" s="25"/>
      <c r="O11" s="45"/>
      <c r="P11" s="46"/>
      <c r="Q11" s="43"/>
      <c r="R11" s="28" t="s">
        <v>60</v>
      </c>
      <c r="S11" s="25"/>
      <c r="T11" s="25"/>
    </row>
    <row r="12" spans="1:20" x14ac:dyDescent="0.35">
      <c r="A12" s="25"/>
      <c r="B12" s="45"/>
      <c r="C12" s="47" t="s">
        <v>67</v>
      </c>
      <c r="D12" s="21" t="s">
        <v>61</v>
      </c>
      <c r="E12" s="16"/>
      <c r="F12" s="11"/>
      <c r="G12" s="11"/>
      <c r="H12" s="11"/>
      <c r="I12" s="17"/>
      <c r="J12" s="25"/>
      <c r="K12" s="25"/>
      <c r="L12" s="25"/>
      <c r="M12" s="25"/>
      <c r="N12" s="25"/>
      <c r="O12" s="45"/>
      <c r="P12" s="46" t="s">
        <v>67</v>
      </c>
      <c r="Q12" s="42"/>
      <c r="R12" s="27" t="s">
        <v>61</v>
      </c>
      <c r="S12" s="25"/>
      <c r="T12" s="25"/>
    </row>
    <row r="13" spans="1:20" x14ac:dyDescent="0.35">
      <c r="A13" s="25"/>
      <c r="B13" s="45"/>
      <c r="C13" s="47"/>
      <c r="D13" s="8" t="s">
        <v>62</v>
      </c>
      <c r="E13" s="16"/>
      <c r="F13" s="11"/>
      <c r="G13" s="11"/>
      <c r="H13" s="11"/>
      <c r="I13" s="17"/>
      <c r="J13" s="25"/>
      <c r="K13" s="25"/>
      <c r="L13" s="25"/>
      <c r="M13" s="25"/>
      <c r="N13" s="25"/>
      <c r="O13" s="45"/>
      <c r="P13" s="46"/>
      <c r="Q13" s="42"/>
      <c r="R13" s="27" t="s">
        <v>62</v>
      </c>
      <c r="S13" s="25"/>
      <c r="T13" s="25"/>
    </row>
    <row r="14" spans="1:20" x14ac:dyDescent="0.35">
      <c r="A14" s="25"/>
      <c r="B14" s="45"/>
      <c r="C14" s="47"/>
      <c r="D14" s="8" t="s">
        <v>63</v>
      </c>
      <c r="E14" s="16"/>
      <c r="F14" s="11"/>
      <c r="G14" s="11"/>
      <c r="H14" s="11"/>
      <c r="I14" s="17"/>
      <c r="J14" s="25"/>
      <c r="K14" s="25"/>
      <c r="L14" s="25"/>
      <c r="M14" s="25"/>
      <c r="N14" s="25"/>
      <c r="O14" s="45"/>
      <c r="P14" s="46"/>
      <c r="Q14" s="42"/>
      <c r="R14" s="27" t="s">
        <v>63</v>
      </c>
      <c r="S14" s="25"/>
      <c r="T14" s="25"/>
    </row>
    <row r="15" spans="1:20" x14ac:dyDescent="0.35">
      <c r="A15" s="25"/>
      <c r="B15" s="45"/>
      <c r="C15" s="47"/>
      <c r="D15" s="21" t="s">
        <v>64</v>
      </c>
      <c r="E15" s="18"/>
      <c r="F15" s="19"/>
      <c r="G15" s="19"/>
      <c r="H15" s="19"/>
      <c r="I15" s="20"/>
      <c r="J15" s="25"/>
      <c r="K15" s="25"/>
      <c r="L15" s="25"/>
      <c r="M15" s="25"/>
      <c r="N15" s="25"/>
      <c r="O15" s="45"/>
      <c r="P15" s="46"/>
      <c r="Q15" s="43"/>
      <c r="R15" s="28" t="s">
        <v>64</v>
      </c>
      <c r="S15" s="25"/>
      <c r="T15" s="25"/>
    </row>
    <row r="16" spans="1:20" x14ac:dyDescent="0.3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x14ac:dyDescent="0.3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x14ac:dyDescent="0.3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x14ac:dyDescent="0.3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x14ac:dyDescent="0.3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x14ac:dyDescent="0.3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15" customHeight="1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15" customHeight="1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5" customHeight="1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15" customHeight="1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15" customHeight="1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15" customHeight="1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15" customHeight="1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5" customHeight="1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15" customHeight="1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15" customHeight="1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15" customHeight="1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15" customHeight="1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20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20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20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20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20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20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20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20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8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8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8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8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8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8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8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8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8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8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</row>
    <row r="59" spans="1:18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8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8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8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1:18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</sheetData>
  <mergeCells count="8">
    <mergeCell ref="B4:B15"/>
    <mergeCell ref="O4:O15"/>
    <mergeCell ref="P4:P7"/>
    <mergeCell ref="P8:P11"/>
    <mergeCell ref="P12:P15"/>
    <mergeCell ref="C4:C7"/>
    <mergeCell ref="C8:C11"/>
    <mergeCell ref="C12:C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3"/>
  <sheetViews>
    <sheetView zoomScale="85" zoomScaleNormal="85" workbookViewId="0">
      <selection activeCell="H15" sqref="H15"/>
    </sheetView>
  </sheetViews>
  <sheetFormatPr defaultRowHeight="14.5" x14ac:dyDescent="0.35"/>
  <cols>
    <col min="1" max="1" width="5.26953125" customWidth="1"/>
    <col min="2" max="2" width="3.453125" customWidth="1"/>
    <col min="3" max="3" width="19.1796875" bestFit="1" customWidth="1"/>
    <col min="5" max="5" width="14.26953125" bestFit="1" customWidth="1"/>
    <col min="6" max="6" width="16.453125" bestFit="1" customWidth="1"/>
    <col min="7" max="7" width="13.1796875" customWidth="1"/>
  </cols>
  <sheetData>
    <row r="3" spans="2:13" x14ac:dyDescent="0.35">
      <c r="B3" s="2" t="s">
        <v>2</v>
      </c>
      <c r="C3" s="2" t="s">
        <v>1</v>
      </c>
      <c r="D3" s="2" t="s">
        <v>3</v>
      </c>
      <c r="E3" s="2" t="s">
        <v>4</v>
      </c>
      <c r="F3" s="2" t="s">
        <v>87</v>
      </c>
      <c r="G3" s="2" t="s">
        <v>5</v>
      </c>
      <c r="H3" s="2" t="s">
        <v>6</v>
      </c>
      <c r="I3" s="2" t="s">
        <v>7</v>
      </c>
      <c r="J3" s="2" t="s">
        <v>9</v>
      </c>
      <c r="K3" s="2"/>
    </row>
    <row r="4" spans="2:13" x14ac:dyDescent="0.35">
      <c r="B4">
        <v>1</v>
      </c>
      <c r="C4" t="s">
        <v>0</v>
      </c>
      <c r="D4">
        <v>3.38</v>
      </c>
      <c r="E4" s="3">
        <f>-0.114*D4*D4+1.3275*D4+0.1611</f>
        <v>3.3456683999999992</v>
      </c>
      <c r="F4" s="34">
        <v>3.3456683999999992</v>
      </c>
      <c r="G4" t="s">
        <v>50</v>
      </c>
      <c r="H4" t="s">
        <v>52</v>
      </c>
      <c r="J4" s="5" t="s">
        <v>8</v>
      </c>
      <c r="K4" t="s">
        <v>49</v>
      </c>
    </row>
    <row r="5" spans="2:13" x14ac:dyDescent="0.35">
      <c r="B5">
        <v>2</v>
      </c>
      <c r="C5" t="s">
        <v>11</v>
      </c>
      <c r="D5">
        <v>47950</v>
      </c>
      <c r="E5" s="3">
        <v>2</v>
      </c>
      <c r="F5" s="34">
        <v>2</v>
      </c>
      <c r="G5" t="s">
        <v>115</v>
      </c>
      <c r="H5" t="s">
        <v>13</v>
      </c>
    </row>
    <row r="6" spans="2:13" x14ac:dyDescent="0.35">
      <c r="B6">
        <v>3</v>
      </c>
      <c r="C6" t="s">
        <v>12</v>
      </c>
      <c r="D6">
        <v>96.2</v>
      </c>
      <c r="E6" s="3">
        <f>-0.00001*D6*D6*D6+0.0012*D6*D6-0.0426*D6+4.3057</f>
        <v>2.410136719999997</v>
      </c>
      <c r="F6" s="34">
        <v>2.410136719999997</v>
      </c>
      <c r="G6" s="5" t="s">
        <v>116</v>
      </c>
      <c r="H6" t="s">
        <v>13</v>
      </c>
    </row>
    <row r="7" spans="2:13" x14ac:dyDescent="0.35">
      <c r="B7">
        <v>4</v>
      </c>
      <c r="C7" t="s">
        <v>14</v>
      </c>
      <c r="D7">
        <v>-0.92</v>
      </c>
      <c r="E7" s="3">
        <f>4-((D7--2.5)/(2.5--2.5)*4)</f>
        <v>2.7359999999999998</v>
      </c>
      <c r="F7" s="34">
        <v>2.7359999999999998</v>
      </c>
      <c r="G7" t="s">
        <v>118</v>
      </c>
      <c r="H7" t="s">
        <v>13</v>
      </c>
    </row>
    <row r="8" spans="2:13" x14ac:dyDescent="0.35">
      <c r="B8">
        <v>5</v>
      </c>
      <c r="C8" t="s">
        <v>15</v>
      </c>
      <c r="D8" s="4"/>
      <c r="E8" s="3">
        <f>'5 Water scarcity'!C10</f>
        <v>3.6666666666666665</v>
      </c>
      <c r="F8" s="34">
        <v>3.6666666666666665</v>
      </c>
      <c r="G8" t="s">
        <v>24</v>
      </c>
      <c r="H8" t="s">
        <v>23</v>
      </c>
    </row>
    <row r="9" spans="2:13" x14ac:dyDescent="0.35">
      <c r="B9">
        <v>6</v>
      </c>
      <c r="C9" t="s">
        <v>25</v>
      </c>
      <c r="D9" s="4"/>
      <c r="E9" s="3">
        <f>'6 Flood risk'!C2</f>
        <v>1.75</v>
      </c>
      <c r="F9" s="34">
        <v>1.75</v>
      </c>
      <c r="G9" t="s">
        <v>24</v>
      </c>
      <c r="H9" t="s">
        <v>32</v>
      </c>
    </row>
    <row r="10" spans="2:13" x14ac:dyDescent="0.35">
      <c r="B10">
        <v>7</v>
      </c>
      <c r="C10" t="s">
        <v>31</v>
      </c>
      <c r="D10" s="4"/>
      <c r="E10" s="3">
        <f>'7 Water quality'!D6</f>
        <v>1.6320000000000001</v>
      </c>
      <c r="F10" s="34">
        <v>1.6320000000000001</v>
      </c>
      <c r="G10" t="s">
        <v>24</v>
      </c>
      <c r="H10" t="s">
        <v>13</v>
      </c>
    </row>
    <row r="11" spans="2:13" x14ac:dyDescent="0.35">
      <c r="B11">
        <v>8</v>
      </c>
      <c r="C11" t="s">
        <v>37</v>
      </c>
      <c r="D11" s="4"/>
      <c r="E11" s="3">
        <f>'8 Heat risk'!E2</f>
        <v>4</v>
      </c>
      <c r="F11" s="34">
        <v>4</v>
      </c>
      <c r="G11" t="s">
        <v>24</v>
      </c>
      <c r="H11" t="s">
        <v>32</v>
      </c>
    </row>
    <row r="12" spans="2:13" x14ac:dyDescent="0.35">
      <c r="B12">
        <v>9</v>
      </c>
      <c r="C12" t="s">
        <v>44</v>
      </c>
      <c r="D12" s="38">
        <v>4.2493150684931509</v>
      </c>
      <c r="E12" s="3">
        <f>-0.783*LN(D12)+4.115</f>
        <v>2.9821886350878613</v>
      </c>
      <c r="F12" s="34">
        <v>2.9821886350878613</v>
      </c>
      <c r="G12" s="5" t="s">
        <v>117</v>
      </c>
      <c r="H12" t="s">
        <v>23</v>
      </c>
    </row>
    <row r="13" spans="2:13" x14ac:dyDescent="0.35">
      <c r="B13">
        <v>10</v>
      </c>
      <c r="C13" t="s">
        <v>45</v>
      </c>
      <c r="D13">
        <v>1.3</v>
      </c>
      <c r="E13" s="3">
        <f>0.0002*D13^3-0.0173*D13^2+0.5077*D13-0.8356</f>
        <v>-0.20438759999999989</v>
      </c>
      <c r="F13" s="34">
        <v>0</v>
      </c>
      <c r="G13" t="s">
        <v>119</v>
      </c>
      <c r="H13" t="s">
        <v>32</v>
      </c>
      <c r="I13" t="s">
        <v>114</v>
      </c>
      <c r="J13" t="s">
        <v>76</v>
      </c>
      <c r="K13" s="5" t="s">
        <v>10</v>
      </c>
      <c r="L13" t="s">
        <v>77</v>
      </c>
      <c r="M13" t="s">
        <v>78</v>
      </c>
    </row>
    <row r="14" spans="2:13" x14ac:dyDescent="0.35">
      <c r="B14">
        <v>11</v>
      </c>
      <c r="C14" t="s">
        <v>46</v>
      </c>
      <c r="D14">
        <v>10.14</v>
      </c>
      <c r="E14" s="3">
        <f>-0.0001*D14^2+0.0404*D14+1.1686</f>
        <v>1.5679740400000002</v>
      </c>
      <c r="F14" s="34">
        <v>1.5679740400000002</v>
      </c>
      <c r="G14" t="s">
        <v>120</v>
      </c>
      <c r="H14" t="s">
        <v>47</v>
      </c>
      <c r="I14" t="s">
        <v>51</v>
      </c>
    </row>
    <row r="15" spans="2:13" x14ac:dyDescent="0.35">
      <c r="B15">
        <v>12</v>
      </c>
      <c r="C15" t="s">
        <v>48</v>
      </c>
      <c r="D15">
        <v>5.8719999999999999</v>
      </c>
      <c r="E15" s="3">
        <f>(0.0025*D15^3)-(0.0744*D15^2)+(0.8662*D15)+0.0389</f>
        <v>3.0660578675199996</v>
      </c>
      <c r="F15" s="34">
        <v>3.0660578675199996</v>
      </c>
      <c r="G15" t="s">
        <v>121</v>
      </c>
      <c r="H15" t="s">
        <v>13</v>
      </c>
    </row>
    <row r="16" spans="2:13" x14ac:dyDescent="0.35">
      <c r="B16" s="15"/>
      <c r="C16" s="15"/>
      <c r="E16" s="15"/>
      <c r="F16" s="15"/>
      <c r="G16" s="15"/>
      <c r="H16" s="15"/>
      <c r="I16" s="15"/>
      <c r="J16" s="11"/>
      <c r="K16" s="11"/>
    </row>
    <row r="17" spans="2:11" x14ac:dyDescent="0.35">
      <c r="B17" s="15"/>
      <c r="C17" s="15"/>
      <c r="D17" s="15"/>
      <c r="E17" s="15"/>
      <c r="F17" s="15"/>
      <c r="G17" s="15"/>
      <c r="H17" s="15"/>
      <c r="I17" s="6"/>
      <c r="J17" s="6"/>
      <c r="K17" s="11"/>
    </row>
    <row r="18" spans="2:11" x14ac:dyDescent="0.35">
      <c r="B18" s="15"/>
      <c r="C18" s="15"/>
      <c r="E18" s="36" t="s">
        <v>86</v>
      </c>
      <c r="F18" s="35">
        <f>AVERAGE(F4:F15)</f>
        <v>2.4297243607728767</v>
      </c>
      <c r="G18" s="15"/>
      <c r="H18" s="15"/>
      <c r="I18" s="15"/>
      <c r="J18" s="11"/>
      <c r="K18" s="11"/>
    </row>
    <row r="19" spans="2:11" x14ac:dyDescent="0.35">
      <c r="B19" s="15"/>
      <c r="C19" s="15"/>
      <c r="D19" s="15"/>
      <c r="E19" s="15"/>
      <c r="F19" s="15"/>
      <c r="G19" s="15"/>
      <c r="H19" s="15"/>
      <c r="I19" s="15"/>
    </row>
    <row r="20" spans="2:11" x14ac:dyDescent="0.35">
      <c r="B20" s="15"/>
      <c r="C20" s="15"/>
      <c r="D20" s="15"/>
      <c r="E20" s="15"/>
      <c r="F20" s="15"/>
      <c r="G20" s="15"/>
      <c r="H20" s="15"/>
      <c r="I20" s="15"/>
    </row>
    <row r="21" spans="2:11" x14ac:dyDescent="0.35">
      <c r="B21" s="15"/>
      <c r="C21" s="15"/>
      <c r="D21" s="15"/>
      <c r="E21" s="15"/>
      <c r="F21" s="37"/>
      <c r="G21" s="37"/>
      <c r="H21" s="37"/>
      <c r="I21" s="37"/>
      <c r="J21" s="37"/>
      <c r="K21" s="37"/>
    </row>
    <row r="22" spans="2:11" x14ac:dyDescent="0.35"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2:11" x14ac:dyDescent="0.35">
      <c r="B23" s="15"/>
      <c r="C23" s="15"/>
      <c r="D23" s="15"/>
      <c r="E23" s="15"/>
      <c r="F23" s="15"/>
      <c r="G23" s="15"/>
      <c r="H23" s="15"/>
      <c r="I23" s="15"/>
    </row>
  </sheetData>
  <hyperlinks>
    <hyperlink ref="J4" r:id="rId1"/>
    <hyperlink ref="G12" r:id="rId2" display="http://statisticstimes.com/economy/gdp-capita-of-indian-states.php"/>
    <hyperlink ref="K13" r:id="rId3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I10"/>
  <sheetViews>
    <sheetView workbookViewId="0">
      <selection activeCell="G8" sqref="G8"/>
    </sheetView>
  </sheetViews>
  <sheetFormatPr defaultRowHeight="14.5" x14ac:dyDescent="0.35"/>
  <cols>
    <col min="2" max="2" width="34.453125" bestFit="1" customWidth="1"/>
  </cols>
  <sheetData>
    <row r="6" spans="2:9" x14ac:dyDescent="0.35">
      <c r="B6" s="1" t="s">
        <v>79</v>
      </c>
      <c r="C6" s="1" t="s">
        <v>17</v>
      </c>
      <c r="E6" s="1" t="s">
        <v>5</v>
      </c>
    </row>
    <row r="7" spans="2:9" x14ac:dyDescent="0.35">
      <c r="B7" t="s">
        <v>20</v>
      </c>
      <c r="C7">
        <v>4</v>
      </c>
      <c r="E7" t="s">
        <v>123</v>
      </c>
      <c r="F7" t="s">
        <v>16</v>
      </c>
    </row>
    <row r="8" spans="2:9" x14ac:dyDescent="0.35">
      <c r="B8" t="s">
        <v>18</v>
      </c>
      <c r="C8">
        <v>4</v>
      </c>
      <c r="E8" t="s">
        <v>124</v>
      </c>
      <c r="F8" t="s">
        <v>16</v>
      </c>
      <c r="G8" t="s">
        <v>122</v>
      </c>
    </row>
    <row r="9" spans="2:9" x14ac:dyDescent="0.35">
      <c r="B9" t="s">
        <v>19</v>
      </c>
      <c r="C9">
        <v>3</v>
      </c>
      <c r="E9" t="s">
        <v>122</v>
      </c>
      <c r="F9" t="s">
        <v>21</v>
      </c>
    </row>
    <row r="10" spans="2:9" x14ac:dyDescent="0.35">
      <c r="B10" s="7" t="s">
        <v>22</v>
      </c>
      <c r="C10" s="7">
        <f>AVERAGE(C7:C9)</f>
        <v>3.6666666666666665</v>
      </c>
      <c r="D10" s="7"/>
      <c r="E10" s="7"/>
      <c r="F10" s="7"/>
      <c r="G10" s="7"/>
      <c r="H10" s="7"/>
      <c r="I10" s="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4"/>
  <sheetViews>
    <sheetView workbookViewId="0">
      <selection activeCell="G10" sqref="G10"/>
    </sheetView>
  </sheetViews>
  <sheetFormatPr defaultRowHeight="14.5" x14ac:dyDescent="0.35"/>
  <cols>
    <col min="2" max="2" width="23.81640625" bestFit="1" customWidth="1"/>
  </cols>
  <sheetData>
    <row r="2" spans="2:7" x14ac:dyDescent="0.35">
      <c r="B2" s="1" t="s">
        <v>30</v>
      </c>
      <c r="C2" s="9">
        <f>AVERAGE(C4,C7,C10:C18)</f>
        <v>1.75</v>
      </c>
      <c r="G2" s="32" t="s">
        <v>74</v>
      </c>
    </row>
    <row r="3" spans="2:7" x14ac:dyDescent="0.35">
      <c r="E3" t="s">
        <v>3</v>
      </c>
      <c r="G3" s="7"/>
    </row>
    <row r="4" spans="2:7" x14ac:dyDescent="0.35">
      <c r="B4" t="s">
        <v>28</v>
      </c>
      <c r="C4" s="3">
        <v>4</v>
      </c>
      <c r="D4" s="3">
        <f>(E4-31.7)/(69.6-31.7)*5</f>
        <v>-2.8627968337730874</v>
      </c>
      <c r="E4" s="8">
        <v>10</v>
      </c>
      <c r="G4" s="7"/>
    </row>
    <row r="5" spans="2:7" x14ac:dyDescent="0.35">
      <c r="G5" s="7"/>
    </row>
    <row r="6" spans="2:7" x14ac:dyDescent="0.35">
      <c r="G6" s="7"/>
    </row>
    <row r="7" spans="2:7" x14ac:dyDescent="0.35">
      <c r="B7" t="s">
        <v>29</v>
      </c>
      <c r="C7" s="3">
        <v>0</v>
      </c>
      <c r="G7" s="7"/>
    </row>
    <row r="8" spans="2:7" x14ac:dyDescent="0.35">
      <c r="G8" s="7"/>
    </row>
    <row r="9" spans="2:7" x14ac:dyDescent="0.35">
      <c r="G9" s="7"/>
    </row>
    <row r="10" spans="2:7" x14ac:dyDescent="0.35">
      <c r="B10" t="s">
        <v>27</v>
      </c>
      <c r="C10" s="3">
        <v>2</v>
      </c>
      <c r="G10" s="7" t="s">
        <v>75</v>
      </c>
    </row>
    <row r="11" spans="2:7" x14ac:dyDescent="0.35">
      <c r="G11" s="7"/>
    </row>
    <row r="12" spans="2:7" x14ac:dyDescent="0.35">
      <c r="G12" s="7"/>
    </row>
    <row r="13" spans="2:7" x14ac:dyDescent="0.35">
      <c r="B13" t="s">
        <v>26</v>
      </c>
      <c r="C13" s="3">
        <v>1</v>
      </c>
      <c r="G13" s="7"/>
    </row>
    <row r="14" spans="2:7" x14ac:dyDescent="0.35">
      <c r="G14" s="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12"/>
  <sheetViews>
    <sheetView workbookViewId="0">
      <selection activeCell="E13" sqref="E13"/>
    </sheetView>
  </sheetViews>
  <sheetFormatPr defaultRowHeight="14.5" x14ac:dyDescent="0.35"/>
  <cols>
    <col min="2" max="2" width="23.1796875" bestFit="1" customWidth="1"/>
  </cols>
  <sheetData>
    <row r="6" spans="2:5" x14ac:dyDescent="0.35">
      <c r="B6" s="1" t="s">
        <v>35</v>
      </c>
      <c r="D6" s="9">
        <f>AVERAGE(D10,D12)</f>
        <v>1.6320000000000001</v>
      </c>
    </row>
    <row r="9" spans="2:5" x14ac:dyDescent="0.35">
      <c r="C9" s="1" t="s">
        <v>3</v>
      </c>
      <c r="D9" s="1" t="s">
        <v>36</v>
      </c>
      <c r="E9" s="1" t="s">
        <v>5</v>
      </c>
    </row>
    <row r="10" spans="2:5" x14ac:dyDescent="0.35">
      <c r="B10" t="s">
        <v>33</v>
      </c>
      <c r="C10">
        <v>50.1</v>
      </c>
      <c r="D10" s="3">
        <f>(100-C10)/25</f>
        <v>1.996</v>
      </c>
      <c r="E10" t="s">
        <v>125</v>
      </c>
    </row>
    <row r="12" spans="2:5" x14ac:dyDescent="0.35">
      <c r="B12" t="s">
        <v>34</v>
      </c>
      <c r="C12">
        <v>68.3</v>
      </c>
      <c r="D12" s="3">
        <f>(100-C12)/25</f>
        <v>1.268</v>
      </c>
      <c r="E12" t="s">
        <v>126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"/>
  <sheetViews>
    <sheetView workbookViewId="0">
      <selection activeCell="F6" sqref="F6"/>
    </sheetView>
  </sheetViews>
  <sheetFormatPr defaultRowHeight="14.5" x14ac:dyDescent="0.35"/>
  <cols>
    <col min="2" max="2" width="3.54296875" customWidth="1"/>
    <col min="3" max="3" width="41.81640625" customWidth="1"/>
  </cols>
  <sheetData>
    <row r="1" spans="2:6" x14ac:dyDescent="0.35">
      <c r="E1" t="s">
        <v>40</v>
      </c>
    </row>
    <row r="2" spans="2:6" x14ac:dyDescent="0.35">
      <c r="B2" s="10"/>
      <c r="C2" s="10" t="s">
        <v>39</v>
      </c>
      <c r="E2" s="9">
        <f>AVERAGE(E5:E6)</f>
        <v>4</v>
      </c>
    </row>
    <row r="4" spans="2:6" x14ac:dyDescent="0.35">
      <c r="D4" t="s">
        <v>41</v>
      </c>
      <c r="E4" t="s">
        <v>42</v>
      </c>
      <c r="F4" t="s">
        <v>5</v>
      </c>
    </row>
    <row r="5" spans="2:6" ht="72.5" x14ac:dyDescent="0.35">
      <c r="B5" s="12">
        <v>1</v>
      </c>
      <c r="C5" s="13" t="s">
        <v>38</v>
      </c>
      <c r="D5">
        <v>50</v>
      </c>
      <c r="E5" s="3">
        <f>(D5/50)*4</f>
        <v>4</v>
      </c>
      <c r="F5" t="s">
        <v>127</v>
      </c>
    </row>
    <row r="6" spans="2:6" x14ac:dyDescent="0.35">
      <c r="B6" s="12">
        <v>2</v>
      </c>
      <c r="C6" s="14" t="s">
        <v>43</v>
      </c>
      <c r="D6">
        <v>3.5</v>
      </c>
      <c r="E6" s="3">
        <v>4</v>
      </c>
      <c r="F6" t="s">
        <v>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32"/>
  <sheetViews>
    <sheetView tabSelected="1" topLeftCell="A14" workbookViewId="0">
      <selection activeCell="F24" sqref="F24"/>
    </sheetView>
  </sheetViews>
  <sheetFormatPr defaultRowHeight="14.5" x14ac:dyDescent="0.35"/>
  <cols>
    <col min="2" max="2" width="19.54296875" bestFit="1" customWidth="1"/>
    <col min="3" max="3" width="12" bestFit="1" customWidth="1"/>
    <col min="4" max="8" width="10.54296875" bestFit="1" customWidth="1"/>
  </cols>
  <sheetData>
    <row r="4" spans="2:9" x14ac:dyDescent="0.35">
      <c r="B4" s="15"/>
      <c r="C4" s="37"/>
      <c r="D4" s="37"/>
      <c r="E4" s="37"/>
      <c r="F4" s="37"/>
      <c r="G4" s="37"/>
      <c r="H4" s="37"/>
      <c r="I4" s="37"/>
    </row>
    <row r="5" spans="2:9" x14ac:dyDescent="0.35">
      <c r="D5" s="15"/>
      <c r="E5" s="15"/>
      <c r="F5" s="15"/>
      <c r="G5" s="15"/>
      <c r="H5" s="15"/>
    </row>
    <row r="6" spans="2:9" x14ac:dyDescent="0.35">
      <c r="B6" s="1" t="s">
        <v>113</v>
      </c>
      <c r="C6" s="39"/>
      <c r="D6" s="40" t="s">
        <v>93</v>
      </c>
      <c r="E6" s="39"/>
      <c r="F6" s="39"/>
      <c r="G6" s="39"/>
      <c r="H6" s="39"/>
    </row>
    <row r="7" spans="2:9" x14ac:dyDescent="0.35">
      <c r="B7">
        <v>118000</v>
      </c>
      <c r="C7" t="s">
        <v>96</v>
      </c>
      <c r="D7">
        <v>7.3</v>
      </c>
      <c r="E7" t="s">
        <v>94</v>
      </c>
    </row>
    <row r="8" spans="2:9" x14ac:dyDescent="0.35">
      <c r="B8" s="1" t="s">
        <v>89</v>
      </c>
    </row>
    <row r="9" spans="2:9" x14ac:dyDescent="0.35">
      <c r="B9" s="39">
        <f>B7/D7</f>
        <v>16164.383561643835</v>
      </c>
      <c r="C9" t="s">
        <v>95</v>
      </c>
    </row>
    <row r="10" spans="2:9" x14ac:dyDescent="0.35">
      <c r="B10" s="1" t="s">
        <v>97</v>
      </c>
    </row>
    <row r="11" spans="2:9" x14ac:dyDescent="0.35">
      <c r="B11" s="39">
        <f>B9/365</f>
        <v>44.285982360668044</v>
      </c>
      <c r="C11" t="s">
        <v>95</v>
      </c>
    </row>
    <row r="12" spans="2:9" x14ac:dyDescent="0.35">
      <c r="B12" s="15" t="s">
        <v>98</v>
      </c>
    </row>
    <row r="15" spans="2:9" x14ac:dyDescent="0.35">
      <c r="C15" s="1" t="s">
        <v>91</v>
      </c>
      <c r="D15" s="1" t="s">
        <v>92</v>
      </c>
    </row>
    <row r="16" spans="2:9" x14ac:dyDescent="0.35">
      <c r="B16" s="1" t="s">
        <v>90</v>
      </c>
      <c r="C16">
        <v>106831</v>
      </c>
      <c r="D16">
        <f>C16/365</f>
        <v>292.68767123287671</v>
      </c>
    </row>
    <row r="17" spans="2:8" x14ac:dyDescent="0.35">
      <c r="B17" s="1" t="s">
        <v>88</v>
      </c>
      <c r="C17">
        <v>1551</v>
      </c>
      <c r="D17" s="3">
        <f>C17/365</f>
        <v>4.2493150684931509</v>
      </c>
    </row>
    <row r="18" spans="2:8" x14ac:dyDescent="0.35">
      <c r="B18" t="s">
        <v>99</v>
      </c>
    </row>
    <row r="22" spans="2:8" x14ac:dyDescent="0.35">
      <c r="F22" s="1" t="s">
        <v>5</v>
      </c>
    </row>
    <row r="23" spans="2:8" x14ac:dyDescent="0.35">
      <c r="B23" s="1" t="s">
        <v>101</v>
      </c>
      <c r="C23" s="39">
        <v>2.0739999999999998</v>
      </c>
      <c r="D23" t="s">
        <v>102</v>
      </c>
      <c r="E23" t="s">
        <v>103</v>
      </c>
      <c r="F23" t="s">
        <v>104</v>
      </c>
    </row>
    <row r="24" spans="2:8" x14ac:dyDescent="0.35">
      <c r="B24" s="1" t="s">
        <v>100</v>
      </c>
      <c r="C24" s="39">
        <f>C23*0.074</f>
        <v>0.15347599999999997</v>
      </c>
      <c r="D24" t="s">
        <v>102</v>
      </c>
      <c r="E24" t="s">
        <v>103</v>
      </c>
      <c r="F24" t="s">
        <v>105</v>
      </c>
    </row>
    <row r="25" spans="2:8" x14ac:dyDescent="0.35">
      <c r="B25" s="41" t="s">
        <v>106</v>
      </c>
      <c r="C25" s="39">
        <f>C24*1000</f>
        <v>153.47599999999997</v>
      </c>
      <c r="D25" t="s">
        <v>107</v>
      </c>
      <c r="E25" t="s">
        <v>110</v>
      </c>
    </row>
    <row r="26" spans="2:8" x14ac:dyDescent="0.35">
      <c r="C26" s="39">
        <f>C25*1000</f>
        <v>153475.99999999997</v>
      </c>
      <c r="D26" t="s">
        <v>94</v>
      </c>
      <c r="E26" t="s">
        <v>111</v>
      </c>
    </row>
    <row r="27" spans="2:8" x14ac:dyDescent="0.35">
      <c r="B27" t="s">
        <v>109</v>
      </c>
      <c r="C27" s="39">
        <f>C26/D7</f>
        <v>21024.109589041091</v>
      </c>
    </row>
    <row r="28" spans="2:8" x14ac:dyDescent="0.35">
      <c r="B28" t="s">
        <v>108</v>
      </c>
      <c r="C28" s="39">
        <f>C27/365</f>
        <v>57.60030024394819</v>
      </c>
      <c r="D28" s="39"/>
      <c r="E28" s="39"/>
      <c r="F28" s="39"/>
      <c r="G28" s="39"/>
      <c r="H28" s="39"/>
    </row>
    <row r="32" spans="2:8" x14ac:dyDescent="0.35">
      <c r="B32" s="1" t="s">
        <v>112</v>
      </c>
      <c r="C32">
        <v>1581</v>
      </c>
      <c r="D3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TPF Table</vt:lpstr>
      <vt:lpstr>TPF</vt:lpstr>
      <vt:lpstr>5 Water scarcity</vt:lpstr>
      <vt:lpstr>6 Flood risk</vt:lpstr>
      <vt:lpstr>7 Water quality</vt:lpstr>
      <vt:lpstr>8 Heat risk</vt:lpstr>
      <vt:lpstr>9 Economic Pressure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2018-03-23T07:54:06Z</dcterms:modified>
</cp:coreProperties>
</file>